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Hydraulics\Standards\Bedding and Backfill for pipes\Bedding Quantities Computed\"/>
    </mc:Choice>
  </mc:AlternateContent>
  <bookViews>
    <workbookView xWindow="29040" yWindow="0" windowWidth="28800" windowHeight="12435" tabRatio="725" activeTab="8"/>
  </bookViews>
  <sheets>
    <sheet name="Design Reference Tables" sheetId="51" r:id="rId1"/>
    <sheet name="Rigid Round Culvert " sheetId="6" state="hidden" r:id="rId2"/>
    <sheet name="Rigid Arch Culvert" sheetId="24" state="hidden" r:id="rId3"/>
    <sheet name="Flex Round Culv_3040" sheetId="31" state="hidden" r:id="rId4"/>
    <sheet name="Flex Round Culv_3041" sheetId="32" state="hidden" r:id="rId5"/>
    <sheet name="Flex Arch Culv_3040" sheetId="41" state="hidden" r:id="rId6"/>
    <sheet name="Flex Arch Culv_3041" sheetId="42" state="hidden" r:id="rId7"/>
    <sheet name="Round Pipe Aprons" sheetId="48" r:id="rId8"/>
    <sheet name="Arch Pipe Aprons" sheetId="5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1" i="24" l="1"/>
  <c r="X7" i="24"/>
  <c r="X6" i="24"/>
  <c r="S7" i="24"/>
  <c r="S8" i="24"/>
  <c r="U8" i="24" s="1"/>
  <c r="X8" i="24" s="1"/>
  <c r="Y8" i="24" s="1"/>
  <c r="S9" i="24"/>
  <c r="S10" i="24"/>
  <c r="S11" i="24"/>
  <c r="S12" i="24"/>
  <c r="U12" i="24" s="1"/>
  <c r="X12" i="24" s="1"/>
  <c r="Y12" i="24" s="1"/>
  <c r="S13" i="24"/>
  <c r="S14" i="24"/>
  <c r="S15" i="24"/>
  <c r="S16" i="24"/>
  <c r="U16" i="24" s="1"/>
  <c r="X16" i="24" s="1"/>
  <c r="Y16" i="24" s="1"/>
  <c r="S17" i="24"/>
  <c r="S18" i="24"/>
  <c r="S19" i="24"/>
  <c r="S20" i="24"/>
  <c r="U20" i="24" s="1"/>
  <c r="X20" i="24" s="1"/>
  <c r="Y20" i="24" s="1"/>
  <c r="S6" i="24"/>
  <c r="V6" i="24"/>
  <c r="U7" i="24"/>
  <c r="Y7" i="24" s="1"/>
  <c r="U9" i="24"/>
  <c r="X9" i="24" s="1"/>
  <c r="Y9" i="24" s="1"/>
  <c r="U10" i="24"/>
  <c r="X10" i="24" s="1"/>
  <c r="Y10" i="24" s="1"/>
  <c r="U11" i="24"/>
  <c r="X11" i="24" s="1"/>
  <c r="U13" i="24"/>
  <c r="X13" i="24" s="1"/>
  <c r="Y13" i="24" s="1"/>
  <c r="U14" i="24"/>
  <c r="X14" i="24" s="1"/>
  <c r="Y14" i="24" s="1"/>
  <c r="U15" i="24"/>
  <c r="X15" i="24" s="1"/>
  <c r="Y15" i="24" s="1"/>
  <c r="U17" i="24"/>
  <c r="X17" i="24" s="1"/>
  <c r="Y17" i="24" s="1"/>
  <c r="U18" i="24"/>
  <c r="X18" i="24" s="1"/>
  <c r="Y18" i="24" s="1"/>
  <c r="U19" i="24"/>
  <c r="X19" i="24" s="1"/>
  <c r="Y19" i="24" s="1"/>
  <c r="U6" i="24"/>
  <c r="I20" i="24" l="1"/>
  <c r="H20" i="24"/>
  <c r="I18" i="24"/>
  <c r="I17" i="24"/>
  <c r="I16" i="24"/>
  <c r="I15" i="24"/>
  <c r="I14" i="24"/>
  <c r="I13" i="24"/>
  <c r="I12" i="24"/>
  <c r="H12" i="24"/>
  <c r="I10" i="24"/>
  <c r="I9" i="24"/>
  <c r="I8" i="24"/>
  <c r="I7" i="24"/>
  <c r="H7" i="24"/>
  <c r="G7" i="24"/>
  <c r="I6" i="24"/>
  <c r="H6" i="24"/>
  <c r="O29" i="51" l="1"/>
  <c r="O30" i="51"/>
  <c r="O31" i="51"/>
  <c r="O32" i="51"/>
  <c r="O33" i="51"/>
  <c r="O34" i="51"/>
  <c r="O35" i="51"/>
  <c r="O28" i="51"/>
  <c r="O17" i="51"/>
  <c r="O18" i="51"/>
  <c r="O19" i="51"/>
  <c r="O20" i="51"/>
  <c r="O21" i="51"/>
  <c r="O22" i="51"/>
  <c r="O23" i="51"/>
  <c r="O24" i="51"/>
  <c r="O25" i="51"/>
  <c r="O26" i="51"/>
  <c r="O27" i="51"/>
  <c r="O16" i="51"/>
  <c r="L29" i="51"/>
  <c r="L30" i="51"/>
  <c r="L31" i="51"/>
  <c r="L32" i="51"/>
  <c r="L33" i="51"/>
  <c r="L34" i="51"/>
  <c r="L35" i="51"/>
  <c r="L28" i="51"/>
  <c r="L13" i="51"/>
  <c r="L14" i="51"/>
  <c r="L15" i="51"/>
  <c r="L16" i="51"/>
  <c r="L17" i="51"/>
  <c r="L18" i="51"/>
  <c r="L19" i="51"/>
  <c r="L20" i="51"/>
  <c r="L21" i="51"/>
  <c r="L22" i="51"/>
  <c r="L23" i="51"/>
  <c r="L24" i="51"/>
  <c r="L25" i="51"/>
  <c r="L26" i="51"/>
  <c r="L27" i="51"/>
  <c r="L12" i="51"/>
  <c r="D13" i="51"/>
  <c r="D14" i="51"/>
  <c r="D15" i="51"/>
  <c r="D16" i="51"/>
  <c r="D17" i="51"/>
  <c r="D18" i="51"/>
  <c r="D19" i="51"/>
  <c r="D20" i="51"/>
  <c r="D21" i="51"/>
  <c r="D22" i="51"/>
  <c r="D23" i="51"/>
  <c r="D24" i="51"/>
  <c r="D25" i="51"/>
  <c r="D26" i="51"/>
  <c r="D27" i="51"/>
  <c r="D28" i="51"/>
  <c r="D29" i="51"/>
  <c r="D30" i="51"/>
  <c r="D31" i="51"/>
  <c r="D32" i="51"/>
  <c r="D12" i="51"/>
  <c r="M35" i="51"/>
  <c r="J35" i="51"/>
  <c r="M34" i="51"/>
  <c r="J34" i="51"/>
  <c r="E34" i="51"/>
  <c r="M33" i="51"/>
  <c r="J33" i="51"/>
  <c r="E33" i="51"/>
  <c r="M32" i="51"/>
  <c r="J32" i="51"/>
  <c r="E32" i="51"/>
  <c r="B32" i="51"/>
  <c r="M31" i="51"/>
  <c r="J31" i="51"/>
  <c r="B31" i="51"/>
  <c r="M30" i="51"/>
  <c r="J30" i="51"/>
  <c r="E30" i="51"/>
  <c r="B30" i="51"/>
  <c r="M29" i="51"/>
  <c r="J29" i="51"/>
  <c r="E29" i="51"/>
  <c r="B29" i="51"/>
  <c r="M28" i="51"/>
  <c r="J28" i="51"/>
  <c r="E28" i="51"/>
  <c r="B28" i="51"/>
  <c r="M27" i="51"/>
  <c r="J27" i="51"/>
  <c r="B27" i="51"/>
  <c r="M26" i="51"/>
  <c r="J26" i="51"/>
  <c r="E26" i="51"/>
  <c r="B26" i="51"/>
  <c r="M25" i="51"/>
  <c r="J25" i="51"/>
  <c r="B25" i="51"/>
  <c r="M24" i="51"/>
  <c r="J24" i="51"/>
  <c r="E24" i="51"/>
  <c r="B24" i="51"/>
  <c r="M23" i="51"/>
  <c r="J23" i="51"/>
  <c r="E23" i="51"/>
  <c r="B23" i="51"/>
  <c r="M22" i="51"/>
  <c r="J22" i="51"/>
  <c r="E22" i="51"/>
  <c r="B22" i="51"/>
  <c r="M21" i="51"/>
  <c r="J21" i="51"/>
  <c r="E21" i="51"/>
  <c r="B21" i="51"/>
  <c r="M20" i="51"/>
  <c r="J20" i="51"/>
  <c r="E20" i="51"/>
  <c r="B20" i="51"/>
  <c r="M19" i="51"/>
  <c r="J19" i="51"/>
  <c r="B19" i="51"/>
  <c r="M18" i="51"/>
  <c r="J18" i="51"/>
  <c r="E18" i="51"/>
  <c r="B18" i="51"/>
  <c r="M17" i="51"/>
  <c r="J17" i="51"/>
  <c r="B17" i="51"/>
  <c r="M16" i="51"/>
  <c r="J16" i="51"/>
  <c r="E16" i="51"/>
  <c r="B16" i="51"/>
  <c r="J15" i="51"/>
  <c r="B15" i="51"/>
  <c r="J14" i="51"/>
  <c r="E14" i="51"/>
  <c r="B14" i="51"/>
  <c r="J13" i="51"/>
  <c r="B13" i="51"/>
  <c r="J12" i="51"/>
  <c r="B12" i="51"/>
  <c r="AK12" i="50" l="1"/>
  <c r="AL12" i="50" s="1"/>
  <c r="AK13" i="50"/>
  <c r="AL13" i="50" s="1"/>
  <c r="AK14" i="50"/>
  <c r="AL14" i="50" s="1"/>
  <c r="AK15" i="50"/>
  <c r="AL15" i="50" s="1"/>
  <c r="AK16" i="50"/>
  <c r="AL16" i="50" s="1"/>
  <c r="AK17" i="50"/>
  <c r="AL17" i="50" s="1"/>
  <c r="AK18" i="50"/>
  <c r="AL18" i="50" s="1"/>
  <c r="AK19" i="50"/>
  <c r="AL19" i="50" s="1"/>
  <c r="AK21" i="50"/>
  <c r="AL21" i="50" s="1"/>
  <c r="AK11" i="50"/>
  <c r="AL11" i="50" s="1"/>
  <c r="AH12" i="50"/>
  <c r="AI12" i="50" s="1"/>
  <c r="AH13" i="50"/>
  <c r="AI13" i="50" s="1"/>
  <c r="AH14" i="50"/>
  <c r="AI14" i="50" s="1"/>
  <c r="AH15" i="50"/>
  <c r="AI15" i="50" s="1"/>
  <c r="AH16" i="50"/>
  <c r="AI16" i="50" s="1"/>
  <c r="AH17" i="50"/>
  <c r="AI17" i="50" s="1"/>
  <c r="AH18" i="50"/>
  <c r="AI18" i="50" s="1"/>
  <c r="AH19" i="50"/>
  <c r="AI19" i="50" s="1"/>
  <c r="AH21" i="50"/>
  <c r="AI21" i="50" s="1"/>
  <c r="AH11" i="50"/>
  <c r="AI11" i="50" s="1"/>
  <c r="AE12" i="50"/>
  <c r="AF12" i="50" s="1"/>
  <c r="AE13" i="50"/>
  <c r="AF13" i="50" s="1"/>
  <c r="AE14" i="50"/>
  <c r="AF14" i="50" s="1"/>
  <c r="AE11" i="50"/>
  <c r="AF11" i="50" s="1"/>
  <c r="AB11" i="50"/>
  <c r="AC11" i="50" s="1"/>
  <c r="AB12" i="50"/>
  <c r="AC12" i="50" s="1"/>
  <c r="AB13" i="50"/>
  <c r="AC13" i="50" s="1"/>
  <c r="AB14" i="50"/>
  <c r="AC14" i="50" s="1"/>
  <c r="AB15" i="50"/>
  <c r="AC15" i="50" s="1"/>
  <c r="AB16" i="50"/>
  <c r="AC16" i="50" s="1"/>
  <c r="AB17" i="50"/>
  <c r="AC17" i="50" s="1"/>
  <c r="AB18" i="50"/>
  <c r="AC18" i="50" s="1"/>
  <c r="AB19" i="50"/>
  <c r="AC19" i="50" s="1"/>
  <c r="AB20" i="50"/>
  <c r="AC20" i="50" s="1"/>
  <c r="AB21" i="50"/>
  <c r="AC21" i="50" s="1"/>
  <c r="AB10" i="50"/>
  <c r="AC10" i="50" s="1"/>
  <c r="R24" i="50"/>
  <c r="S24" i="50" s="1"/>
  <c r="R23" i="50"/>
  <c r="S23" i="50" s="1"/>
  <c r="R22" i="50"/>
  <c r="S22" i="50" s="1"/>
  <c r="R21" i="50"/>
  <c r="S21" i="50" s="1"/>
  <c r="R20" i="50"/>
  <c r="S20" i="50" s="1"/>
  <c r="M21" i="50"/>
  <c r="N21" i="50" s="1"/>
  <c r="M22" i="50"/>
  <c r="N22" i="50" s="1"/>
  <c r="M23" i="50"/>
  <c r="N23" i="50" s="1"/>
  <c r="M24" i="50"/>
  <c r="N24" i="50" s="1"/>
  <c r="M20" i="50"/>
  <c r="N20" i="50" s="1"/>
  <c r="H11" i="50"/>
  <c r="I11" i="50" s="1"/>
  <c r="H12" i="50"/>
  <c r="I12" i="50" s="1"/>
  <c r="H13" i="50"/>
  <c r="I13" i="50" s="1"/>
  <c r="H14" i="50"/>
  <c r="I14" i="50" s="1"/>
  <c r="H15" i="50"/>
  <c r="I15" i="50" s="1"/>
  <c r="H16" i="50"/>
  <c r="I16" i="50" s="1"/>
  <c r="H17" i="50"/>
  <c r="I17" i="50" s="1"/>
  <c r="H18" i="50"/>
  <c r="I18" i="50" s="1"/>
  <c r="H19" i="50"/>
  <c r="I19" i="50" s="1"/>
  <c r="H10" i="50"/>
  <c r="I10" i="50" s="1"/>
  <c r="AH15" i="48" l="1"/>
  <c r="AI15" i="48" s="1"/>
  <c r="AH16" i="48"/>
  <c r="AI16" i="48" s="1"/>
  <c r="AH18" i="48"/>
  <c r="AI18" i="48" s="1"/>
  <c r="AH20" i="48"/>
  <c r="AH21" i="48"/>
  <c r="AI21" i="48" s="1"/>
  <c r="AH22" i="48"/>
  <c r="AI22" i="48" s="1"/>
  <c r="AH23" i="48"/>
  <c r="AI23" i="48" s="1"/>
  <c r="AH24" i="48"/>
  <c r="AI24" i="48" s="1"/>
  <c r="AH14" i="48"/>
  <c r="AI14" i="48" s="1"/>
  <c r="AE15" i="48"/>
  <c r="AF15" i="48" s="1"/>
  <c r="AE16" i="48"/>
  <c r="AF16" i="48" s="1"/>
  <c r="AE18" i="48"/>
  <c r="AF18" i="48" s="1"/>
  <c r="AE20" i="48"/>
  <c r="AF20" i="48" s="1"/>
  <c r="AE21" i="48"/>
  <c r="AF21" i="48" s="1"/>
  <c r="AE22" i="48"/>
  <c r="AF22" i="48" s="1"/>
  <c r="AE23" i="48"/>
  <c r="AF23" i="48" s="1"/>
  <c r="AE24" i="48"/>
  <c r="AF24" i="48" s="1"/>
  <c r="AE14" i="48"/>
  <c r="Y28" i="48"/>
  <c r="Y27" i="48"/>
  <c r="E28" i="48"/>
  <c r="Z28" i="48" s="1"/>
  <c r="E29" i="48"/>
  <c r="E30" i="48"/>
  <c r="E31" i="48"/>
  <c r="E32" i="48"/>
  <c r="E33" i="48"/>
  <c r="E34" i="48"/>
  <c r="E27" i="48"/>
  <c r="Z27" i="48" s="1"/>
  <c r="AC15" i="48"/>
  <c r="AB15" i="48"/>
  <c r="AB16" i="48"/>
  <c r="AC16" i="48" s="1"/>
  <c r="AB18" i="48"/>
  <c r="AC18" i="48" s="1"/>
  <c r="AB20" i="48"/>
  <c r="AC20" i="48" s="1"/>
  <c r="AB14" i="48"/>
  <c r="AC14" i="48" s="1"/>
  <c r="Z23" i="48"/>
  <c r="Z24" i="48"/>
  <c r="Y13" i="48"/>
  <c r="Z13" i="48" s="1"/>
  <c r="Y14" i="48"/>
  <c r="Z14" i="48" s="1"/>
  <c r="Y15" i="48"/>
  <c r="Z15" i="48" s="1"/>
  <c r="Y16" i="48"/>
  <c r="Z16" i="48" s="1"/>
  <c r="Y18" i="48"/>
  <c r="Z18" i="48" s="1"/>
  <c r="Y20" i="48"/>
  <c r="Z20" i="48" s="1"/>
  <c r="Y21" i="48"/>
  <c r="Z21" i="48" s="1"/>
  <c r="Y22" i="48"/>
  <c r="Z22" i="48" s="1"/>
  <c r="Y23" i="48"/>
  <c r="Y24" i="48"/>
  <c r="Y25" i="48"/>
  <c r="Z25" i="48" s="1"/>
  <c r="Y26" i="48"/>
  <c r="Z26" i="48" s="1"/>
  <c r="Y12" i="48"/>
  <c r="Z12" i="48" s="1"/>
  <c r="V13" i="48"/>
  <c r="V14" i="48"/>
  <c r="V15" i="48"/>
  <c r="V16" i="48"/>
  <c r="V17" i="48"/>
  <c r="V18" i="48"/>
  <c r="V20" i="48"/>
  <c r="V21" i="48"/>
  <c r="V22" i="48"/>
  <c r="V23" i="48"/>
  <c r="V24" i="48"/>
  <c r="V25" i="48"/>
  <c r="V26" i="48"/>
  <c r="V27" i="48"/>
  <c r="V28" i="48"/>
  <c r="V29" i="48"/>
  <c r="V12" i="48"/>
  <c r="R12" i="48"/>
  <c r="Q13" i="48"/>
  <c r="R13" i="48" s="1"/>
  <c r="Q14" i="48"/>
  <c r="R14" i="48" s="1"/>
  <c r="Q16" i="48"/>
  <c r="R16" i="48" s="1"/>
  <c r="Q12" i="48"/>
  <c r="N15" i="48"/>
  <c r="N14" i="48"/>
  <c r="K13" i="48"/>
  <c r="K14" i="48"/>
  <c r="K16" i="48"/>
  <c r="H16" i="48"/>
  <c r="C13" i="48"/>
  <c r="C14" i="48"/>
  <c r="O14" i="48" s="1"/>
  <c r="C15" i="48"/>
  <c r="C16" i="48"/>
  <c r="C17" i="48"/>
  <c r="C18" i="48"/>
  <c r="T18" i="48" s="1"/>
  <c r="C19" i="48"/>
  <c r="C20" i="48"/>
  <c r="C21" i="48"/>
  <c r="C22" i="48"/>
  <c r="C23" i="48"/>
  <c r="C24" i="48"/>
  <c r="T24" i="48" s="1"/>
  <c r="C25" i="48"/>
  <c r="C26" i="48"/>
  <c r="C27" i="48"/>
  <c r="C28" i="48"/>
  <c r="C29" i="48"/>
  <c r="C30" i="48"/>
  <c r="C31" i="48"/>
  <c r="C32" i="48"/>
  <c r="C12" i="48"/>
  <c r="L16" i="48" l="1"/>
  <c r="L14" i="48"/>
  <c r="W24" i="48"/>
  <c r="AF14" i="48"/>
  <c r="AI20" i="48"/>
  <c r="W17" i="48"/>
  <c r="W16" i="48"/>
  <c r="I16" i="48"/>
  <c r="T23" i="48"/>
  <c r="W29" i="48"/>
  <c r="W21" i="48"/>
  <c r="W13" i="48"/>
  <c r="T22" i="48"/>
  <c r="W28" i="48"/>
  <c r="W20" i="48"/>
  <c r="T21" i="48"/>
  <c r="W27" i="48"/>
  <c r="T20" i="48"/>
  <c r="W26" i="48"/>
  <c r="W18" i="48"/>
  <c r="W25" i="48"/>
  <c r="T25" i="48"/>
  <c r="W23" i="48"/>
  <c r="W15" i="48"/>
  <c r="O15" i="48"/>
  <c r="W12" i="48"/>
  <c r="W22" i="48"/>
  <c r="W14" i="48"/>
  <c r="L13" i="48"/>
  <c r="K14" i="42"/>
  <c r="K15" i="42"/>
  <c r="K16" i="42"/>
  <c r="K17" i="42"/>
  <c r="K18" i="42"/>
  <c r="K19" i="42"/>
  <c r="K20" i="42"/>
  <c r="K13" i="42"/>
  <c r="K7" i="41"/>
  <c r="K8" i="41"/>
  <c r="K9" i="41"/>
  <c r="K10" i="41"/>
  <c r="K11" i="41"/>
  <c r="K12" i="41"/>
  <c r="K13" i="41"/>
  <c r="K14" i="41"/>
  <c r="K15" i="41"/>
  <c r="K16" i="41"/>
  <c r="K17" i="41"/>
  <c r="K6" i="41"/>
  <c r="H7" i="32"/>
  <c r="H8" i="32"/>
  <c r="H9" i="32"/>
  <c r="H10" i="32"/>
  <c r="H11" i="32"/>
  <c r="H12" i="32"/>
  <c r="H13" i="32"/>
  <c r="H6" i="32"/>
  <c r="H7" i="31"/>
  <c r="H8" i="31"/>
  <c r="H9" i="31"/>
  <c r="H10" i="31"/>
  <c r="H11" i="31"/>
  <c r="H12" i="31"/>
  <c r="H13" i="31"/>
  <c r="H14" i="31"/>
  <c r="H15" i="31"/>
  <c r="H16" i="31"/>
  <c r="H17" i="31"/>
  <c r="H18" i="31"/>
  <c r="H19" i="31"/>
  <c r="H20" i="31"/>
  <c r="H21" i="31"/>
  <c r="H6" i="31"/>
  <c r="O7" i="24"/>
  <c r="O8" i="24"/>
  <c r="O9" i="24"/>
  <c r="O10" i="24"/>
  <c r="O11" i="24"/>
  <c r="O12" i="24"/>
  <c r="O13" i="24"/>
  <c r="O14" i="24"/>
  <c r="O15" i="24"/>
  <c r="O16" i="24"/>
  <c r="O17" i="24"/>
  <c r="O18" i="24"/>
  <c r="O19" i="24"/>
  <c r="O20" i="24"/>
  <c r="O6" i="24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6" i="6"/>
  <c r="P7" i="41" l="1"/>
  <c r="P8" i="41"/>
  <c r="P9" i="41"/>
  <c r="P10" i="41"/>
  <c r="P11" i="41"/>
  <c r="P12" i="41"/>
  <c r="P13" i="41"/>
  <c r="P14" i="41"/>
  <c r="P15" i="41"/>
  <c r="P16" i="41"/>
  <c r="P17" i="41"/>
  <c r="P6" i="41"/>
  <c r="M7" i="32"/>
  <c r="M8" i="32"/>
  <c r="M9" i="32"/>
  <c r="M10" i="32"/>
  <c r="M11" i="32"/>
  <c r="M12" i="32"/>
  <c r="M13" i="32"/>
  <c r="M6" i="32"/>
  <c r="M7" i="31"/>
  <c r="M8" i="31"/>
  <c r="M9" i="31"/>
  <c r="M10" i="31"/>
  <c r="M11" i="31"/>
  <c r="M12" i="31"/>
  <c r="M13" i="31"/>
  <c r="M14" i="31"/>
  <c r="M15" i="31"/>
  <c r="M16" i="31"/>
  <c r="M17" i="31"/>
  <c r="M18" i="31"/>
  <c r="M19" i="31"/>
  <c r="M20" i="31"/>
  <c r="M21" i="31"/>
  <c r="M6" i="31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6" i="6"/>
  <c r="L18" i="42" l="1"/>
  <c r="M18" i="42" s="1"/>
  <c r="L19" i="42"/>
  <c r="M19" i="42" s="1"/>
  <c r="L20" i="42"/>
  <c r="M20" i="42" s="1"/>
  <c r="J18" i="42"/>
  <c r="P18" i="42" s="1"/>
  <c r="J19" i="42"/>
  <c r="P19" i="42" s="1"/>
  <c r="J20" i="42"/>
  <c r="P20" i="42" s="1"/>
  <c r="I18" i="42"/>
  <c r="I19" i="42"/>
  <c r="I20" i="42"/>
  <c r="H18" i="42"/>
  <c r="H19" i="42"/>
  <c r="H20" i="42"/>
  <c r="G18" i="42"/>
  <c r="G19" i="42"/>
  <c r="G20" i="42"/>
  <c r="L17" i="42"/>
  <c r="J17" i="42"/>
  <c r="P17" i="42" s="1"/>
  <c r="I17" i="42"/>
  <c r="G17" i="42"/>
  <c r="H17" i="42" s="1"/>
  <c r="J16" i="42"/>
  <c r="P16" i="42" s="1"/>
  <c r="I16" i="42"/>
  <c r="G16" i="42"/>
  <c r="L16" i="42" s="1"/>
  <c r="I15" i="42"/>
  <c r="J15" i="42" s="1"/>
  <c r="P15" i="42" s="1"/>
  <c r="G15" i="42"/>
  <c r="H15" i="42" s="1"/>
  <c r="I14" i="42"/>
  <c r="J14" i="42" s="1"/>
  <c r="P14" i="42" s="1"/>
  <c r="H14" i="42"/>
  <c r="G14" i="42"/>
  <c r="L14" i="42" s="1"/>
  <c r="I13" i="42"/>
  <c r="J13" i="42" s="1"/>
  <c r="P13" i="42" s="1"/>
  <c r="G13" i="42"/>
  <c r="I12" i="42"/>
  <c r="J12" i="42" s="1"/>
  <c r="P12" i="42" s="1"/>
  <c r="G12" i="42"/>
  <c r="I11" i="42"/>
  <c r="J11" i="42" s="1"/>
  <c r="P11" i="42" s="1"/>
  <c r="G11" i="42"/>
  <c r="I10" i="42"/>
  <c r="J10" i="42" s="1"/>
  <c r="P10" i="42" s="1"/>
  <c r="G10" i="42"/>
  <c r="I9" i="42"/>
  <c r="J9" i="42" s="1"/>
  <c r="P9" i="42" s="1"/>
  <c r="G9" i="42"/>
  <c r="I8" i="42"/>
  <c r="J8" i="42" s="1"/>
  <c r="P8" i="42" s="1"/>
  <c r="G8" i="42"/>
  <c r="I7" i="42"/>
  <c r="J7" i="42" s="1"/>
  <c r="P7" i="42" s="1"/>
  <c r="G7" i="42"/>
  <c r="I6" i="42"/>
  <c r="J6" i="42" s="1"/>
  <c r="P6" i="42" s="1"/>
  <c r="G6" i="42"/>
  <c r="L9" i="41"/>
  <c r="L17" i="41"/>
  <c r="I17" i="41"/>
  <c r="J17" i="41" s="1"/>
  <c r="H17" i="41"/>
  <c r="G17" i="41"/>
  <c r="I16" i="41"/>
  <c r="J16" i="41" s="1"/>
  <c r="G16" i="41"/>
  <c r="H16" i="41" s="1"/>
  <c r="I15" i="41"/>
  <c r="J15" i="41" s="1"/>
  <c r="G15" i="41"/>
  <c r="I14" i="41"/>
  <c r="J14" i="41" s="1"/>
  <c r="G14" i="41"/>
  <c r="I13" i="41"/>
  <c r="J13" i="41" s="1"/>
  <c r="G13" i="41"/>
  <c r="L13" i="41" s="1"/>
  <c r="M13" i="41" s="1"/>
  <c r="J12" i="41"/>
  <c r="I12" i="41"/>
  <c r="G12" i="41"/>
  <c r="H12" i="41" s="1"/>
  <c r="I11" i="41"/>
  <c r="J11" i="41" s="1"/>
  <c r="G11" i="41"/>
  <c r="I10" i="41"/>
  <c r="J10" i="41" s="1"/>
  <c r="G10" i="41"/>
  <c r="H10" i="41" s="1"/>
  <c r="I9" i="41"/>
  <c r="J9" i="41" s="1"/>
  <c r="H9" i="41"/>
  <c r="G9" i="41"/>
  <c r="I8" i="41"/>
  <c r="J8" i="41" s="1"/>
  <c r="G8" i="41"/>
  <c r="H8" i="41" s="1"/>
  <c r="I7" i="41"/>
  <c r="J7" i="41" s="1"/>
  <c r="G7" i="41"/>
  <c r="L7" i="41" s="1"/>
  <c r="N7" i="41" s="1"/>
  <c r="I6" i="41"/>
  <c r="J6" i="41" s="1"/>
  <c r="G6" i="41"/>
  <c r="H11" i="42" l="1"/>
  <c r="K11" i="42"/>
  <c r="L11" i="42" s="1"/>
  <c r="O11" i="42" s="1"/>
  <c r="H9" i="42"/>
  <c r="K9" i="42"/>
  <c r="L9" i="42" s="1"/>
  <c r="K12" i="42"/>
  <c r="L12" i="42" s="1"/>
  <c r="L6" i="42"/>
  <c r="M6" i="42" s="1"/>
  <c r="K6" i="42"/>
  <c r="K10" i="42"/>
  <c r="L10" i="42" s="1"/>
  <c r="L8" i="42"/>
  <c r="N8" i="42" s="1"/>
  <c r="K8" i="42"/>
  <c r="H7" i="42"/>
  <c r="K7" i="42"/>
  <c r="H10" i="42"/>
  <c r="N18" i="42"/>
  <c r="H6" i="42"/>
  <c r="O17" i="42"/>
  <c r="H13" i="42"/>
  <c r="O18" i="42"/>
  <c r="N20" i="42"/>
  <c r="N19" i="42"/>
  <c r="O20" i="42"/>
  <c r="Q20" i="42" s="1"/>
  <c r="R20" i="42" s="1"/>
  <c r="O19" i="42"/>
  <c r="O9" i="42"/>
  <c r="H8" i="42"/>
  <c r="H16" i="42"/>
  <c r="H12" i="42"/>
  <c r="L13" i="42"/>
  <c r="O13" i="42" s="1"/>
  <c r="L7" i="42"/>
  <c r="O7" i="42" s="1"/>
  <c r="L15" i="42"/>
  <c r="O15" i="42" s="1"/>
  <c r="O6" i="42"/>
  <c r="N14" i="42"/>
  <c r="M14" i="42"/>
  <c r="O14" i="42"/>
  <c r="N16" i="42"/>
  <c r="M16" i="42"/>
  <c r="O16" i="42"/>
  <c r="M9" i="42"/>
  <c r="M17" i="42"/>
  <c r="N9" i="42"/>
  <c r="N17" i="42"/>
  <c r="M7" i="41"/>
  <c r="H13" i="41"/>
  <c r="L12" i="41"/>
  <c r="N12" i="41" s="1"/>
  <c r="L11" i="41"/>
  <c r="L10" i="41"/>
  <c r="L6" i="41"/>
  <c r="L16" i="41"/>
  <c r="M16" i="41" s="1"/>
  <c r="L8" i="41"/>
  <c r="O8" i="41" s="1"/>
  <c r="N9" i="41"/>
  <c r="M9" i="41"/>
  <c r="N17" i="41"/>
  <c r="M17" i="41"/>
  <c r="N13" i="41"/>
  <c r="L15" i="41"/>
  <c r="L14" i="41"/>
  <c r="O7" i="41"/>
  <c r="O15" i="41"/>
  <c r="O9" i="41"/>
  <c r="O17" i="41"/>
  <c r="O13" i="41"/>
  <c r="O6" i="41"/>
  <c r="H6" i="41"/>
  <c r="H7" i="41"/>
  <c r="H11" i="41"/>
  <c r="H15" i="41"/>
  <c r="H14" i="41"/>
  <c r="Q19" i="42" l="1"/>
  <c r="R19" i="42" s="1"/>
  <c r="N13" i="42"/>
  <c r="Q13" i="42" s="1"/>
  <c r="R13" i="42" s="1"/>
  <c r="M12" i="41"/>
  <c r="Q13" i="41"/>
  <c r="R13" i="41" s="1"/>
  <c r="O12" i="41"/>
  <c r="Q9" i="41"/>
  <c r="Q7" i="41"/>
  <c r="M12" i="42"/>
  <c r="Q12" i="42" s="1"/>
  <c r="R12" i="42" s="1"/>
  <c r="O12" i="42"/>
  <c r="N12" i="42"/>
  <c r="O10" i="42"/>
  <c r="N10" i="42"/>
  <c r="M10" i="42"/>
  <c r="M8" i="42"/>
  <c r="Q8" i="42" s="1"/>
  <c r="R8" i="42" s="1"/>
  <c r="N6" i="42"/>
  <c r="Q6" i="42" s="1"/>
  <c r="R6" i="42" s="1"/>
  <c r="O8" i="42"/>
  <c r="Q18" i="42"/>
  <c r="R18" i="42" s="1"/>
  <c r="Q17" i="42"/>
  <c r="R17" i="42" s="1"/>
  <c r="N15" i="42"/>
  <c r="M13" i="42"/>
  <c r="Q17" i="41"/>
  <c r="Q12" i="41"/>
  <c r="R12" i="41"/>
  <c r="Q9" i="42"/>
  <c r="R9" i="42" s="1"/>
  <c r="M7" i="42"/>
  <c r="Q7" i="42" s="1"/>
  <c r="R7" i="42" s="1"/>
  <c r="N11" i="42"/>
  <c r="M15" i="42"/>
  <c r="Q15" i="42" s="1"/>
  <c r="R15" i="42" s="1"/>
  <c r="N7" i="42"/>
  <c r="M11" i="42"/>
  <c r="Q16" i="42"/>
  <c r="R16" i="42" s="1"/>
  <c r="Q14" i="42"/>
  <c r="R14" i="42" s="1"/>
  <c r="Q10" i="42"/>
  <c r="R10" i="42" s="1"/>
  <c r="N11" i="41"/>
  <c r="M11" i="41"/>
  <c r="O11" i="41"/>
  <c r="O16" i="41"/>
  <c r="N6" i="41"/>
  <c r="M6" i="41"/>
  <c r="N16" i="41"/>
  <c r="N8" i="41"/>
  <c r="M8" i="41"/>
  <c r="M10" i="41"/>
  <c r="N10" i="41"/>
  <c r="N14" i="41"/>
  <c r="M14" i="41"/>
  <c r="Q14" i="41" s="1"/>
  <c r="O14" i="41"/>
  <c r="N15" i="41"/>
  <c r="M15" i="41"/>
  <c r="R9" i="41"/>
  <c r="O10" i="41"/>
  <c r="R17" i="41"/>
  <c r="R7" i="41"/>
  <c r="Q11" i="41" l="1"/>
  <c r="R11" i="41" s="1"/>
  <c r="Q16" i="41"/>
  <c r="R16" i="41" s="1"/>
  <c r="Q10" i="41"/>
  <c r="R10" i="41" s="1"/>
  <c r="Q8" i="41"/>
  <c r="R8" i="41" s="1"/>
  <c r="Q6" i="41"/>
  <c r="R6" i="41" s="1"/>
  <c r="Q15" i="41"/>
  <c r="R15" i="41" s="1"/>
  <c r="Q11" i="42"/>
  <c r="R11" i="42" s="1"/>
  <c r="R14" i="41"/>
  <c r="E13" i="32"/>
  <c r="E12" i="32"/>
  <c r="E11" i="32"/>
  <c r="E10" i="32"/>
  <c r="E9" i="32"/>
  <c r="E8" i="32"/>
  <c r="E7" i="32"/>
  <c r="E6" i="32"/>
  <c r="I21" i="31"/>
  <c r="L21" i="31" s="1"/>
  <c r="E21" i="31"/>
  <c r="F21" i="31" s="1"/>
  <c r="I20" i="31"/>
  <c r="L20" i="31" s="1"/>
  <c r="E20" i="31"/>
  <c r="F20" i="31" s="1"/>
  <c r="I19" i="31"/>
  <c r="L19" i="31" s="1"/>
  <c r="E19" i="31"/>
  <c r="F19" i="31" s="1"/>
  <c r="I18" i="31"/>
  <c r="L18" i="31" s="1"/>
  <c r="F18" i="31"/>
  <c r="G18" i="31" s="1"/>
  <c r="E18" i="31"/>
  <c r="E17" i="31"/>
  <c r="I17" i="31" s="1"/>
  <c r="L17" i="31" s="1"/>
  <c r="I16" i="31"/>
  <c r="L16" i="31" s="1"/>
  <c r="F16" i="31"/>
  <c r="E16" i="31"/>
  <c r="E15" i="31"/>
  <c r="I15" i="31" s="1"/>
  <c r="L15" i="31" s="1"/>
  <c r="F14" i="31"/>
  <c r="G14" i="31" s="1"/>
  <c r="E14" i="31"/>
  <c r="I14" i="31" s="1"/>
  <c r="L14" i="31" s="1"/>
  <c r="E13" i="31"/>
  <c r="F13" i="31" s="1"/>
  <c r="I12" i="31"/>
  <c r="L12" i="31" s="1"/>
  <c r="E12" i="31"/>
  <c r="F12" i="31" s="1"/>
  <c r="E11" i="31"/>
  <c r="I11" i="31" s="1"/>
  <c r="L11" i="31" s="1"/>
  <c r="I10" i="31"/>
  <c r="L10" i="31" s="1"/>
  <c r="F10" i="31"/>
  <c r="G10" i="31" s="1"/>
  <c r="E10" i="31"/>
  <c r="E9" i="31"/>
  <c r="I9" i="31" s="1"/>
  <c r="L9" i="31" s="1"/>
  <c r="I8" i="31"/>
  <c r="L8" i="31" s="1"/>
  <c r="F8" i="31"/>
  <c r="E8" i="31"/>
  <c r="E7" i="31"/>
  <c r="I7" i="31" s="1"/>
  <c r="L7" i="31" s="1"/>
  <c r="F6" i="31"/>
  <c r="G6" i="31" s="1"/>
  <c r="E6" i="31"/>
  <c r="I6" i="31" s="1"/>
  <c r="L6" i="31" s="1"/>
  <c r="Q7" i="24"/>
  <c r="Q14" i="24"/>
  <c r="L20" i="24"/>
  <c r="J20" i="24"/>
  <c r="F20" i="24"/>
  <c r="E20" i="24"/>
  <c r="P20" i="24" s="1"/>
  <c r="Q20" i="24" s="1"/>
  <c r="L19" i="24"/>
  <c r="J19" i="24"/>
  <c r="K19" i="24" s="1"/>
  <c r="M19" i="24" s="1"/>
  <c r="N19" i="24" s="1"/>
  <c r="E19" i="24"/>
  <c r="P19" i="24" s="1"/>
  <c r="Q19" i="24" s="1"/>
  <c r="P18" i="24"/>
  <c r="Q18" i="24" s="1"/>
  <c r="L18" i="24"/>
  <c r="J18" i="24"/>
  <c r="E18" i="24"/>
  <c r="F18" i="24" s="1"/>
  <c r="L17" i="24"/>
  <c r="J17" i="24"/>
  <c r="F17" i="24"/>
  <c r="E17" i="24"/>
  <c r="P17" i="24" s="1"/>
  <c r="Q17" i="24" s="1"/>
  <c r="L16" i="24"/>
  <c r="J16" i="24"/>
  <c r="K16" i="24" s="1"/>
  <c r="M16" i="24" s="1"/>
  <c r="N16" i="24" s="1"/>
  <c r="E16" i="24"/>
  <c r="P16" i="24" s="1"/>
  <c r="Q16" i="24" s="1"/>
  <c r="L15" i="24"/>
  <c r="J15" i="24"/>
  <c r="K15" i="24" s="1"/>
  <c r="M15" i="24" s="1"/>
  <c r="N15" i="24" s="1"/>
  <c r="F15" i="24"/>
  <c r="E15" i="24"/>
  <c r="P15" i="24" s="1"/>
  <c r="P14" i="24"/>
  <c r="L14" i="24"/>
  <c r="J14" i="24"/>
  <c r="K14" i="24" s="1"/>
  <c r="M14" i="24" s="1"/>
  <c r="N14" i="24" s="1"/>
  <c r="E14" i="24"/>
  <c r="F14" i="24" s="1"/>
  <c r="P13" i="24"/>
  <c r="Q13" i="24" s="1"/>
  <c r="L13" i="24"/>
  <c r="J13" i="24"/>
  <c r="E13" i="24"/>
  <c r="F13" i="24" s="1"/>
  <c r="L12" i="24"/>
  <c r="J12" i="24"/>
  <c r="K12" i="24" s="1"/>
  <c r="M12" i="24" s="1"/>
  <c r="N12" i="24" s="1"/>
  <c r="F12" i="24"/>
  <c r="E12" i="24"/>
  <c r="P12" i="24" s="1"/>
  <c r="Q12" i="24" s="1"/>
  <c r="L11" i="24"/>
  <c r="J11" i="24"/>
  <c r="E11" i="24"/>
  <c r="P11" i="24" s="1"/>
  <c r="Q11" i="24" s="1"/>
  <c r="L10" i="24"/>
  <c r="J10" i="24"/>
  <c r="E10" i="24"/>
  <c r="F10" i="24" s="1"/>
  <c r="P9" i="24"/>
  <c r="Q9" i="24" s="1"/>
  <c r="L9" i="24"/>
  <c r="K9" i="24" s="1"/>
  <c r="M9" i="24" s="1"/>
  <c r="N9" i="24" s="1"/>
  <c r="J9" i="24"/>
  <c r="E9" i="24"/>
  <c r="F9" i="24" s="1"/>
  <c r="L8" i="24"/>
  <c r="J8" i="24"/>
  <c r="E8" i="24"/>
  <c r="P8" i="24" s="1"/>
  <c r="Q8" i="24" s="1"/>
  <c r="L7" i="24"/>
  <c r="J7" i="24"/>
  <c r="F7" i="24"/>
  <c r="E7" i="24"/>
  <c r="P7" i="24" s="1"/>
  <c r="L6" i="24"/>
  <c r="J6" i="24"/>
  <c r="E6" i="24"/>
  <c r="F6" i="24" s="1"/>
  <c r="W16" i="24" l="1"/>
  <c r="W14" i="24"/>
  <c r="W15" i="24"/>
  <c r="K20" i="24"/>
  <c r="M20" i="24" s="1"/>
  <c r="N20" i="24" s="1"/>
  <c r="W19" i="24"/>
  <c r="W12" i="24"/>
  <c r="K13" i="24"/>
  <c r="M13" i="24" s="1"/>
  <c r="N13" i="24" s="1"/>
  <c r="K10" i="24"/>
  <c r="M10" i="24" s="1"/>
  <c r="N10" i="24" s="1"/>
  <c r="K17" i="24"/>
  <c r="M17" i="24" s="1"/>
  <c r="N17" i="24" s="1"/>
  <c r="V19" i="24"/>
  <c r="K8" i="24"/>
  <c r="M8" i="24" s="1"/>
  <c r="N8" i="24" s="1"/>
  <c r="V8" i="24" s="1"/>
  <c r="W9" i="24"/>
  <c r="V15" i="24"/>
  <c r="V14" i="24"/>
  <c r="V20" i="24"/>
  <c r="V12" i="24"/>
  <c r="V16" i="24"/>
  <c r="V9" i="24"/>
  <c r="Q15" i="24"/>
  <c r="I12" i="32"/>
  <c r="I6" i="32"/>
  <c r="F13" i="32"/>
  <c r="I13" i="32"/>
  <c r="I7" i="32"/>
  <c r="F8" i="32"/>
  <c r="I8" i="32"/>
  <c r="F11" i="32"/>
  <c r="I11" i="32"/>
  <c r="K11" i="32" s="1"/>
  <c r="I9" i="32"/>
  <c r="I10" i="32"/>
  <c r="F12" i="32"/>
  <c r="G12" i="32" s="1"/>
  <c r="G8" i="32"/>
  <c r="G13" i="32"/>
  <c r="F6" i="32"/>
  <c r="F9" i="32"/>
  <c r="F7" i="32"/>
  <c r="F10" i="32"/>
  <c r="K14" i="31"/>
  <c r="J14" i="31"/>
  <c r="K6" i="31"/>
  <c r="J6" i="31"/>
  <c r="K15" i="31"/>
  <c r="J15" i="31"/>
  <c r="G19" i="31"/>
  <c r="J10" i="31"/>
  <c r="K10" i="31"/>
  <c r="K19" i="31"/>
  <c r="J19" i="31"/>
  <c r="K7" i="31"/>
  <c r="J7" i="31"/>
  <c r="G20" i="31"/>
  <c r="G12" i="31"/>
  <c r="K16" i="31"/>
  <c r="J16" i="31"/>
  <c r="J20" i="31"/>
  <c r="K20" i="31"/>
  <c r="J12" i="31"/>
  <c r="K12" i="31"/>
  <c r="K17" i="31"/>
  <c r="J17" i="31"/>
  <c r="G21" i="31"/>
  <c r="K9" i="31"/>
  <c r="J9" i="31"/>
  <c r="J18" i="31"/>
  <c r="K18" i="31"/>
  <c r="K11" i="31"/>
  <c r="J11" i="31"/>
  <c r="K8" i="31"/>
  <c r="J8" i="31"/>
  <c r="G13" i="31"/>
  <c r="G8" i="31"/>
  <c r="F11" i="31"/>
  <c r="I13" i="31"/>
  <c r="L13" i="31" s="1"/>
  <c r="G16" i="31"/>
  <c r="F9" i="31"/>
  <c r="F17" i="31"/>
  <c r="J21" i="31"/>
  <c r="K21" i="31"/>
  <c r="F7" i="31"/>
  <c r="F15" i="31"/>
  <c r="K11" i="24"/>
  <c r="M11" i="24" s="1"/>
  <c r="N11" i="24" s="1"/>
  <c r="K6" i="24"/>
  <c r="M6" i="24" s="1"/>
  <c r="N6" i="24" s="1"/>
  <c r="F8" i="24"/>
  <c r="F19" i="24"/>
  <c r="F16" i="24"/>
  <c r="P6" i="24"/>
  <c r="P10" i="24"/>
  <c r="R10" i="24" s="1"/>
  <c r="K7" i="24"/>
  <c r="M7" i="24" s="1"/>
  <c r="N7" i="24" s="1"/>
  <c r="F11" i="24"/>
  <c r="K18" i="24"/>
  <c r="M18" i="24" s="1"/>
  <c r="N18" i="24" s="1"/>
  <c r="R12" i="24"/>
  <c r="R13" i="24"/>
  <c r="R20" i="24"/>
  <c r="R17" i="24"/>
  <c r="R7" i="24"/>
  <c r="R11" i="24"/>
  <c r="R14" i="24"/>
  <c r="R15" i="24"/>
  <c r="R16" i="24"/>
  <c r="R18" i="24"/>
  <c r="R8" i="24"/>
  <c r="R9" i="24"/>
  <c r="R19" i="24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6" i="6"/>
  <c r="G33" i="51" l="1"/>
  <c r="W6" i="24"/>
  <c r="W17" i="24"/>
  <c r="V17" i="24"/>
  <c r="W20" i="24"/>
  <c r="G23" i="51"/>
  <c r="W18" i="24"/>
  <c r="V18" i="24"/>
  <c r="W11" i="24"/>
  <c r="V11" i="24"/>
  <c r="W10" i="24"/>
  <c r="G29" i="51"/>
  <c r="W13" i="24"/>
  <c r="V13" i="24"/>
  <c r="G20" i="51"/>
  <c r="W7" i="24"/>
  <c r="W8" i="24"/>
  <c r="V7" i="24"/>
  <c r="J11" i="32"/>
  <c r="Q10" i="24"/>
  <c r="V10" i="24"/>
  <c r="Q6" i="24"/>
  <c r="L13" i="32"/>
  <c r="J13" i="32"/>
  <c r="J10" i="32"/>
  <c r="K10" i="32"/>
  <c r="K9" i="32"/>
  <c r="J9" i="32"/>
  <c r="K6" i="32"/>
  <c r="J6" i="32"/>
  <c r="J7" i="32"/>
  <c r="K7" i="32"/>
  <c r="L12" i="32"/>
  <c r="K12" i="32"/>
  <c r="J12" i="32"/>
  <c r="K8" i="32"/>
  <c r="L8" i="32"/>
  <c r="G11" i="32"/>
  <c r="L11" i="32" s="1"/>
  <c r="N11" i="32" s="1"/>
  <c r="O11" i="32" s="1"/>
  <c r="J8" i="32"/>
  <c r="N19" i="31"/>
  <c r="O19" i="31" s="1"/>
  <c r="K13" i="32"/>
  <c r="G9" i="32"/>
  <c r="L9" i="32" s="1"/>
  <c r="G10" i="32"/>
  <c r="L10" i="32" s="1"/>
  <c r="G7" i="32"/>
  <c r="L7" i="32" s="1"/>
  <c r="G6" i="32"/>
  <c r="K13" i="31"/>
  <c r="J13" i="31"/>
  <c r="G7" i="31"/>
  <c r="G11" i="31"/>
  <c r="N11" i="31" s="1"/>
  <c r="O11" i="31" s="1"/>
  <c r="N12" i="31"/>
  <c r="O12" i="31" s="1"/>
  <c r="N21" i="31"/>
  <c r="O21" i="31" s="1"/>
  <c r="N6" i="31"/>
  <c r="O6" i="31" s="1"/>
  <c r="G17" i="31"/>
  <c r="N17" i="31"/>
  <c r="O17" i="31" s="1"/>
  <c r="G9" i="31"/>
  <c r="N18" i="31"/>
  <c r="O18" i="31" s="1"/>
  <c r="N20" i="31"/>
  <c r="O20" i="31" s="1"/>
  <c r="N10" i="31"/>
  <c r="O10" i="31" s="1"/>
  <c r="N8" i="31"/>
  <c r="O8" i="31" s="1"/>
  <c r="N16" i="31"/>
  <c r="O16" i="31" s="1"/>
  <c r="N14" i="31"/>
  <c r="O14" i="31" s="1"/>
  <c r="G15" i="31"/>
  <c r="N15" i="31" s="1"/>
  <c r="O15" i="31" s="1"/>
  <c r="N9" i="31"/>
  <c r="O9" i="31" s="1"/>
  <c r="N7" i="31"/>
  <c r="O7" i="31" s="1"/>
  <c r="R6" i="24"/>
  <c r="G18" i="51" l="1"/>
  <c r="G30" i="51"/>
  <c r="G24" i="51"/>
  <c r="G16" i="51"/>
  <c r="G32" i="51"/>
  <c r="G34" i="51"/>
  <c r="G28" i="51"/>
  <c r="G26" i="51"/>
  <c r="Y6" i="24"/>
  <c r="N13" i="32"/>
  <c r="O13" i="32" s="1"/>
  <c r="N12" i="32"/>
  <c r="O12" i="32" s="1"/>
  <c r="N8" i="32"/>
  <c r="O8" i="32" s="1"/>
  <c r="N7" i="32"/>
  <c r="O7" i="32" s="1"/>
  <c r="L6" i="32"/>
  <c r="N6" i="32" s="1"/>
  <c r="O6" i="32" s="1"/>
  <c r="N9" i="32"/>
  <c r="O9" i="32" s="1"/>
  <c r="N10" i="32"/>
  <c r="O10" i="32" s="1"/>
  <c r="N13" i="31"/>
  <c r="O13" i="31" s="1"/>
  <c r="G22" i="51" l="1"/>
  <c r="G14" i="51"/>
  <c r="G21" i="51"/>
  <c r="G18" i="6"/>
  <c r="H18" i="6" s="1"/>
  <c r="G24" i="6"/>
  <c r="G26" i="6"/>
  <c r="H26" i="6" s="1"/>
  <c r="C26" i="6"/>
  <c r="D26" i="6" s="1"/>
  <c r="C25" i="6"/>
  <c r="C24" i="6"/>
  <c r="D24" i="6" s="1"/>
  <c r="C23" i="6"/>
  <c r="C22" i="6"/>
  <c r="D22" i="6" s="1"/>
  <c r="C21" i="6"/>
  <c r="C20" i="6"/>
  <c r="D20" i="6" s="1"/>
  <c r="C19" i="6"/>
  <c r="C18" i="6"/>
  <c r="D18" i="6" s="1"/>
  <c r="C17" i="6"/>
  <c r="C16" i="6"/>
  <c r="D16" i="6" s="1"/>
  <c r="C15" i="6"/>
  <c r="C14" i="6"/>
  <c r="D14" i="6" s="1"/>
  <c r="C13" i="6"/>
  <c r="C12" i="6"/>
  <c r="D12" i="6" s="1"/>
  <c r="C11" i="6"/>
  <c r="C10" i="6"/>
  <c r="D10" i="6" s="1"/>
  <c r="C9" i="6"/>
  <c r="C8" i="6"/>
  <c r="D8" i="6" s="1"/>
  <c r="C7" i="6"/>
  <c r="C6" i="6"/>
  <c r="I18" i="6" l="1"/>
  <c r="H24" i="6"/>
  <c r="I24" i="6"/>
  <c r="E20" i="6"/>
  <c r="K20" i="6"/>
  <c r="I26" i="6"/>
  <c r="D6" i="6"/>
  <c r="G6" i="6"/>
  <c r="E14" i="6"/>
  <c r="K14" i="6"/>
  <c r="E22" i="6"/>
  <c r="K22" i="6"/>
  <c r="E12" i="6"/>
  <c r="K12" i="6"/>
  <c r="E24" i="6"/>
  <c r="K24" i="6"/>
  <c r="G14" i="6"/>
  <c r="E8" i="6"/>
  <c r="K8" i="6"/>
  <c r="E16" i="6"/>
  <c r="K16" i="6"/>
  <c r="E10" i="6"/>
  <c r="K10" i="6"/>
  <c r="E18" i="6"/>
  <c r="K18" i="6"/>
  <c r="E26" i="6"/>
  <c r="K26" i="6"/>
  <c r="G22" i="6"/>
  <c r="G10" i="6"/>
  <c r="G25" i="6"/>
  <c r="G13" i="6"/>
  <c r="G17" i="6"/>
  <c r="G20" i="6"/>
  <c r="G16" i="6"/>
  <c r="G12" i="6"/>
  <c r="G8" i="6"/>
  <c r="G9" i="6"/>
  <c r="G21" i="6"/>
  <c r="G23" i="6"/>
  <c r="G15" i="6"/>
  <c r="G11" i="6"/>
  <c r="G7" i="6"/>
  <c r="G19" i="6"/>
  <c r="D7" i="6"/>
  <c r="D11" i="6"/>
  <c r="D13" i="6"/>
  <c r="D15" i="6"/>
  <c r="D17" i="6"/>
  <c r="D23" i="6"/>
  <c r="D25" i="6"/>
  <c r="D9" i="6"/>
  <c r="D19" i="6"/>
  <c r="D21" i="6"/>
  <c r="M18" i="6" l="1"/>
  <c r="N18" i="6" s="1"/>
  <c r="H6" i="6"/>
  <c r="I6" i="6"/>
  <c r="K6" i="6"/>
  <c r="M26" i="6"/>
  <c r="N26" i="6" s="1"/>
  <c r="K7" i="6"/>
  <c r="H13" i="6"/>
  <c r="I13" i="6"/>
  <c r="E6" i="6"/>
  <c r="E13" i="6"/>
  <c r="K13" i="6"/>
  <c r="H21" i="6"/>
  <c r="I21" i="6"/>
  <c r="H25" i="6"/>
  <c r="I25" i="6"/>
  <c r="E21" i="6"/>
  <c r="K21" i="6"/>
  <c r="E11" i="6"/>
  <c r="K11" i="6"/>
  <c r="H9" i="6"/>
  <c r="I9" i="6"/>
  <c r="H10" i="6"/>
  <c r="I10" i="6"/>
  <c r="H23" i="6"/>
  <c r="I23" i="6"/>
  <c r="H8" i="6"/>
  <c r="I8" i="6"/>
  <c r="H12" i="6"/>
  <c r="I12" i="6"/>
  <c r="H14" i="6"/>
  <c r="I14" i="6"/>
  <c r="E25" i="6"/>
  <c r="K25" i="6"/>
  <c r="H7" i="6"/>
  <c r="I7" i="6"/>
  <c r="H16" i="6"/>
  <c r="I16" i="6"/>
  <c r="E15" i="6"/>
  <c r="K15" i="6"/>
  <c r="E19" i="6"/>
  <c r="K19" i="6"/>
  <c r="E7" i="6"/>
  <c r="H22" i="6"/>
  <c r="I22" i="6"/>
  <c r="E9" i="6"/>
  <c r="K9" i="6"/>
  <c r="H19" i="6"/>
  <c r="I19" i="6"/>
  <c r="E23" i="6"/>
  <c r="K23" i="6"/>
  <c r="H11" i="6"/>
  <c r="I11" i="6"/>
  <c r="H20" i="6"/>
  <c r="I20" i="6"/>
  <c r="M24" i="6"/>
  <c r="N24" i="6" s="1"/>
  <c r="E17" i="6"/>
  <c r="K17" i="6"/>
  <c r="H15" i="6"/>
  <c r="I15" i="6"/>
  <c r="H17" i="6"/>
  <c r="I17" i="6"/>
  <c r="M6" i="6" l="1"/>
  <c r="N6" i="6" s="1"/>
  <c r="M14" i="6"/>
  <c r="N14" i="6" s="1"/>
  <c r="M10" i="6"/>
  <c r="N10" i="6" s="1"/>
  <c r="M22" i="6"/>
  <c r="N22" i="6" s="1"/>
  <c r="M23" i="6"/>
  <c r="N23" i="6" s="1"/>
  <c r="M17" i="6"/>
  <c r="N17" i="6" s="1"/>
  <c r="M20" i="6"/>
  <c r="N20" i="6" s="1"/>
  <c r="M12" i="6"/>
  <c r="N12" i="6" s="1"/>
  <c r="M9" i="6"/>
  <c r="N9" i="6" s="1"/>
  <c r="M25" i="6"/>
  <c r="N25" i="6" s="1"/>
  <c r="M19" i="6"/>
  <c r="N19" i="6" s="1"/>
  <c r="M16" i="6"/>
  <c r="N16" i="6" s="1"/>
  <c r="M7" i="6"/>
  <c r="N7" i="6" s="1"/>
  <c r="M15" i="6"/>
  <c r="N15" i="6" s="1"/>
  <c r="M11" i="6"/>
  <c r="N11" i="6" s="1"/>
  <c r="M8" i="6"/>
  <c r="N8" i="6" s="1"/>
  <c r="M21" i="6"/>
  <c r="N21" i="6" s="1"/>
  <c r="M13" i="6"/>
  <c r="N13" i="6" s="1"/>
</calcChain>
</file>

<file path=xl/sharedStrings.xml><?xml version="1.0" encoding="utf-8"?>
<sst xmlns="http://schemas.openxmlformats.org/spreadsheetml/2006/main" count="472" uniqueCount="131">
  <si>
    <t xml:space="preserve">Do (in) </t>
  </si>
  <si>
    <t>Do (ft)</t>
  </si>
  <si>
    <t xml:space="preserve">B (in) </t>
  </si>
  <si>
    <t>B (ft)</t>
  </si>
  <si>
    <t>Trench Width</t>
  </si>
  <si>
    <r>
      <t>A1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</si>
  <si>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A2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</si>
  <si>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Inside Diameter(in)</t>
  </si>
  <si>
    <t>Thickness (in)</t>
  </si>
  <si>
    <t>Wall Thickness (in)</t>
  </si>
  <si>
    <t>Radius (ft)</t>
  </si>
  <si>
    <t>Beneath Pipe</t>
  </si>
  <si>
    <t>Sides of Pipe</t>
  </si>
  <si>
    <t>Haunches</t>
  </si>
  <si>
    <t>Compact Bottom</t>
  </si>
  <si>
    <t>Loose Bottom</t>
  </si>
  <si>
    <t>Sides</t>
  </si>
  <si>
    <t>Inside Diameter</t>
  </si>
  <si>
    <t>B</t>
  </si>
  <si>
    <t>&lt;--- Multiply this number by LF of Pipe to get volume needed</t>
  </si>
  <si>
    <t>Nominal Span (in)</t>
  </si>
  <si>
    <t>Rise (in)</t>
  </si>
  <si>
    <t>Span (in)</t>
  </si>
  <si>
    <t xml:space="preserve">Gage </t>
  </si>
  <si>
    <t>A</t>
  </si>
  <si>
    <t>R1 (in)</t>
  </si>
  <si>
    <t>R2 (in)</t>
  </si>
  <si>
    <t>R3 (in)</t>
  </si>
  <si>
    <t>C</t>
  </si>
  <si>
    <t>Height to Springline (in)</t>
  </si>
  <si>
    <t xml:space="preserve">So (in) </t>
  </si>
  <si>
    <t>So (ft)</t>
  </si>
  <si>
    <t>Height to Springline (ft)</t>
  </si>
  <si>
    <t>2 x A5 (ft2)</t>
  </si>
  <si>
    <t>Depth of Corrugation (in)</t>
  </si>
  <si>
    <t>Sides, Top, and Haunches of Pipe</t>
  </si>
  <si>
    <t>End Area (sq ft)</t>
  </si>
  <si>
    <t>Gage</t>
  </si>
  <si>
    <t>Round</t>
  </si>
  <si>
    <t>Arch</t>
  </si>
  <si>
    <t>Taper Sides (V:H)</t>
  </si>
  <si>
    <t>Trench Excavation Slope Taper (V:H) :</t>
  </si>
  <si>
    <t>&lt;-- enter horizontal value of slope</t>
  </si>
  <si>
    <t>*Pipe area is calculated from an average radius at low and high points of corrugation</t>
  </si>
  <si>
    <r>
      <t>A4-A3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</si>
  <si>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A4-A3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 *</t>
    </r>
  </si>
  <si>
    <r>
      <t>2 x A5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</si>
  <si>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Diameter (inches)</t>
  </si>
  <si>
    <t>Span (inches)</t>
  </si>
  <si>
    <t>-</t>
  </si>
  <si>
    <t>Pipe Diameter (in)</t>
  </si>
  <si>
    <t>1:4 Slopes</t>
  </si>
  <si>
    <t>1:6 Slopes</t>
  </si>
  <si>
    <t>Rigid Round Culvert Trench Width (ft)</t>
  </si>
  <si>
    <t>Bedding Thickness (ft)</t>
  </si>
  <si>
    <t>Flex Round Culvert (3040) Trench Width (ft)</t>
  </si>
  <si>
    <t>Flex Round Culvert (3041) Trench Width (ft)</t>
  </si>
  <si>
    <t xml:space="preserve">Apron Length (ft), 1:4 Slopes </t>
  </si>
  <si>
    <t xml:space="preserve">Apron Length (in), 1:4 Slopes </t>
  </si>
  <si>
    <t xml:space="preserve">Apron Length (ft), 1:6 Slopes </t>
  </si>
  <si>
    <t xml:space="preserve">Apron Length (in), 1:6 Slopes </t>
  </si>
  <si>
    <t>Design Option 1</t>
  </si>
  <si>
    <t>Design Option 2</t>
  </si>
  <si>
    <t>Apron Length (in)</t>
  </si>
  <si>
    <t>Apron Length (ft)</t>
  </si>
  <si>
    <t xml:space="preserve">Notes: </t>
  </si>
  <si>
    <t>Quantities should not be used if plans specify a bedding thickness, under the apron, other than 6".</t>
  </si>
  <si>
    <t xml:space="preserve">Rigid Arch Culvert (3014) Trench Width (ft) </t>
  </si>
  <si>
    <t>Section 3 from Standard Plate (in)</t>
  </si>
  <si>
    <t>Section 1 from Standard Plate-Apron Tongue end (in)</t>
  </si>
  <si>
    <t>Section 1 from Standard Plate- Apron groove end (in)</t>
  </si>
  <si>
    <t xml:space="preserve">Flex Arch Culvert (3040) Trench Width (ft) </t>
  </si>
  <si>
    <t xml:space="preserve">Flex Arch Culvert (3041) Trench Width (ft) </t>
  </si>
  <si>
    <t>Equivalent Diameter / Nominal Span (in)</t>
  </si>
  <si>
    <t>1:6 Slope</t>
  </si>
  <si>
    <t>1:4 Slope</t>
  </si>
  <si>
    <t>RIGID ARCH PIPE APRON BEDDING QUANTITIES</t>
  </si>
  <si>
    <t>Equivalent Diameter / Size (in)</t>
  </si>
  <si>
    <t>FLEXIBLE ARCH PIPE APRON BEDDING QUANTITIES</t>
  </si>
  <si>
    <t>INLET APRON (apron tongue end)</t>
  </si>
  <si>
    <t>OUTLET APRON (apron groove end)</t>
  </si>
  <si>
    <t>Instructions:</t>
  </si>
  <si>
    <t>CORRUGATED METAL PIPE CULVERT 3" x 1" CORRUGATION  (Pipe geometry based on Standard Plate 3041D)</t>
  </si>
  <si>
    <t>CORRUGATED METAL PIPE CULVERT 2-2/3" x 1/2" CORRUGATION (Pipe geometry based on Standard Plate 3040F)</t>
  </si>
  <si>
    <t>CORRUGATED METAL PIPE CULVERT 3" x 1" CORRUGATION (Pipe geometry based on Standard Plate 3041D)</t>
  </si>
  <si>
    <t>ROUND RIGID CULVERT BEDDING (QTY BASED ON STANDARD PLATE 3000L, B WALL)</t>
  </si>
  <si>
    <t>CULVERT BEDDING FOR RIGID ARCH PIPE (Pipe geometry based on Standard Plate 3014J)</t>
  </si>
  <si>
    <t>NOTE:</t>
  </si>
  <si>
    <r>
      <t>2 x A4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</si>
  <si>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A3 - Sides and top of Pipe  (ft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</si>
  <si>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t xml:space="preserve">For tabulating apron bedding quantities use the appropriate sheet, apron quantities are tabulated for each apron (includes entire length of apron). </t>
  </si>
  <si>
    <r>
      <t>Fine Aggregate Bedding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</si>
  <si>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Rise Outer (in)</t>
  </si>
  <si>
    <t>Rise Outer (ft)</t>
  </si>
  <si>
    <t>RIGID PIPE NOTES:</t>
  </si>
  <si>
    <t>FLEXIBLE PIPE NOTES:</t>
  </si>
  <si>
    <r>
      <rPr>
        <b/>
        <vertAlign val="superscript"/>
        <sz val="11"/>
        <color theme="1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>Pipe geometry based on Standard Plates 3000, B Wall (round pipe) and 3014 (arch pipe).</t>
    </r>
  </si>
  <si>
    <r>
      <rPr>
        <b/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For shallow pipe installations, where the top of pipe is not  12" below the pavement aggregate base/sub-base, bedding quantities  should be reduced to reflect the fill cover height of fine aggregate bedding between the top of pipe and the base aggregate. </t>
    </r>
  </si>
  <si>
    <r>
      <rPr>
        <b/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These quantities do not apply to thermoplastic pipe with greater than 10 ft of fill. See Standard Plan 5-297.440 for applicable trench widths.</t>
    </r>
  </si>
  <si>
    <t>CONCRETE APRON FOR REINFORCED CONCRETE PIPE (Stnd. Plate 3100)</t>
  </si>
  <si>
    <t>METAL SAFETY APRON &amp; GRATE (Stnd. Plate 3128)</t>
  </si>
  <si>
    <t>SAFETY SLOPE METAL END SECTION (Stnd. Plate 3148)</t>
  </si>
  <si>
    <t>Precast Concrete Safety Apron (Stnd. Plate 3022)</t>
  </si>
  <si>
    <t>CONCRETE APRON FOR REINFORCED CONCRETE PIPE-ARCH (Stnd. Plate 3110)</t>
  </si>
  <si>
    <t>SECTIONAL CONCRETE APRON FOR REINFORCED CONCRETE PIPE-ARCH (Stnd. Plate 3114)</t>
  </si>
  <si>
    <t>METAL APRON FOR C.M. PIPE-ARCH CULVERT (Stnd. Plate 3122)</t>
  </si>
  <si>
    <t>SAFETY SLOPE METAL END SECTIONS FOR CIRCULAR &amp; ARCHED PIPES (Stnd. Plate 3148)</t>
  </si>
  <si>
    <r>
      <t>Multiple Piece End Sections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</si>
  <si>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t>METAL APRON FOR C.S. PIPE (Stnd. Plate 3123)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</si>
  <si>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rPr>
        <b/>
        <vertAlign val="superscript"/>
        <sz val="11"/>
        <color theme="1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>30" Precast concrete safety apron has 2 alternatives, 8' and 8.5', design used is Contractors option. Bedding Quanties computed for apron length 8.5'</t>
    </r>
  </si>
  <si>
    <t>Bedding     (CY)</t>
  </si>
  <si>
    <t>Culvert bedding quantities are based on standard pipe bedding installation without treatments (bedding details shown in Standard Plans 5-297.441 Culvert Bedding for Rigid Pipe, and 5-297.440 Culvert Bedding for Flexible Pipe); when culvert treatments are used, these bedding quantities should not be used.</t>
  </si>
  <si>
    <t>Bedding      (CY)</t>
  </si>
  <si>
    <r>
      <t>Table 1 - Culvert Bedding Compacted Volume for Rigid Pipe</t>
    </r>
    <r>
      <rPr>
        <b/>
        <vertAlign val="superscript"/>
        <sz val="11"/>
        <rFont val="Calibri"/>
        <family val="2"/>
        <scheme val="minor"/>
      </rPr>
      <t>1</t>
    </r>
  </si>
  <si>
    <t>Linear Feet of Pipe</t>
  </si>
  <si>
    <t>This sheet provides a summary of the computed bedding quantities per linear foot for the specified culvert type. Enter the length of the pipe runs in the highlighted cells to get bedding quantities.</t>
  </si>
  <si>
    <t>Compacted Volume Fine Aggregate Bedding                      (CY)</t>
  </si>
  <si>
    <r>
      <rPr>
        <b/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Pipe sizes up to 72" diameter, or corresponding span, were calculated using gage size and geometry as listed in Standard Plate 3040; sizes larger than 72" were calculated using gage size and geometry listed in Standard Plate 3041. </t>
    </r>
  </si>
  <si>
    <r>
      <rPr>
        <b/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78" &amp; 84" flex pipe assumes trench widths were calculated with pipe geometry from Standard Plate 3041.</t>
    </r>
  </si>
  <si>
    <t>Calculations are based on the assumption that aprons and pipes are the same material. For alternative configurations (e.g., metal aprons used with concrete pipe) bedding quantities are not computed.</t>
  </si>
  <si>
    <r>
      <t>A3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</si>
  <si>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A0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</si>
  <si>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Haunch Area (ft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</si>
  <si>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 xml:space="preserve">Version 1.1. Last Updated 4-30-2019 </t>
  </si>
  <si>
    <r>
      <t>Table 2 - Culvert Bedding Compacted Volume for Flexible Pipe</t>
    </r>
    <r>
      <rPr>
        <b/>
        <vertAlign val="superscript"/>
        <sz val="11"/>
        <rFont val="Calibri"/>
        <family val="2"/>
        <scheme val="minor"/>
      </rPr>
      <t>2, 3, 4</t>
    </r>
  </si>
  <si>
    <t>Compacted Volume Fine Aggregate Bedding                      (CY/LF)</t>
  </si>
  <si>
    <r>
      <t>2 x A5 (ft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</si>
  <si>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r>
      <t>2 x A4 (ft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</si>
  <si>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r>
      <t>2 x A3 (ft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</si>
  <si>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r>
      <t>Fine Aggregate Bedding (ft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</si>
  <si>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t>Compacted Volume Fine Aggregate Bedding                        (CY/LF)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</si>
</sst>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4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5" fontId="0" fillId="2" borderId="8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165" fontId="0" fillId="2" borderId="7" xfId="0" applyNumberForma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6" fillId="0" borderId="0" xfId="0" applyFont="1"/>
    <xf numFmtId="165" fontId="6" fillId="0" borderId="0" xfId="0" applyNumberFormat="1" applyFont="1"/>
    <xf numFmtId="0" fontId="6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1" fontId="0" fillId="0" borderId="0" xfId="0" applyNumberFormat="1" applyAlignment="1">
      <alignment horizontal="center"/>
    </xf>
    <xf numFmtId="1" fontId="0" fillId="3" borderId="0" xfId="0" applyNumberFormat="1" applyFill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center"/>
    </xf>
    <xf numFmtId="2" fontId="6" fillId="3" borderId="0" xfId="0" applyNumberFormat="1" applyFont="1" applyFill="1" applyAlignment="1">
      <alignment horizontal="center"/>
    </xf>
    <xf numFmtId="164" fontId="6" fillId="0" borderId="0" xfId="0" applyNumberFormat="1" applyFont="1" applyAlignment="1">
      <alignment horizontal="center"/>
    </xf>
    <xf numFmtId="0" fontId="0" fillId="3" borderId="0" xfId="0" applyFill="1" applyAlignment="1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0" fillId="0" borderId="0" xfId="0" applyNumberFormat="1" applyBorder="1" applyAlignment="1">
      <alignment horizontal="center"/>
    </xf>
    <xf numFmtId="0" fontId="0" fillId="0" borderId="0" xfId="0" applyBorder="1" applyAlignment="1"/>
    <xf numFmtId="0" fontId="0" fillId="2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4" fillId="2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2" fontId="6" fillId="0" borderId="0" xfId="0" applyNumberFormat="1" applyFont="1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1" fillId="0" borderId="0" xfId="0" applyFont="1"/>
    <xf numFmtId="1" fontId="1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wrapText="1"/>
    </xf>
    <xf numFmtId="165" fontId="0" fillId="0" borderId="15" xfId="0" applyNumberFormat="1" applyBorder="1" applyAlignment="1">
      <alignment horizontal="center" wrapText="1"/>
    </xf>
    <xf numFmtId="165" fontId="0" fillId="0" borderId="16" xfId="0" applyNumberForma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165" fontId="0" fillId="0" borderId="15" xfId="0" applyNumberFormat="1" applyBorder="1" applyAlignment="1">
      <alignment horizontal="center"/>
    </xf>
    <xf numFmtId="165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0" xfId="0" applyFon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0" xfId="0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0" fontId="4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0" fontId="10" fillId="0" borderId="0" xfId="0" applyFont="1" applyFill="1" applyBorder="1"/>
    <xf numFmtId="165" fontId="11" fillId="0" borderId="0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4" xfId="0" applyBorder="1" applyAlignment="1">
      <alignment horizontal="center"/>
    </xf>
    <xf numFmtId="2" fontId="0" fillId="0" borderId="0" xfId="0" applyNumberFormat="1" applyBorder="1"/>
    <xf numFmtId="2" fontId="0" fillId="0" borderId="0" xfId="0" applyNumberForma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22" xfId="0" applyBorder="1" applyAlignment="1">
      <alignment horizontal="center"/>
    </xf>
    <xf numFmtId="165" fontId="0" fillId="0" borderId="22" xfId="0" applyNumberFormat="1" applyBorder="1" applyAlignment="1">
      <alignment horizontal="center"/>
    </xf>
    <xf numFmtId="0" fontId="0" fillId="0" borderId="14" xfId="0" applyFill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wrapText="1"/>
    </xf>
    <xf numFmtId="0" fontId="0" fillId="0" borderId="22" xfId="0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0" fontId="0" fillId="0" borderId="29" xfId="0" applyBorder="1" applyAlignment="1">
      <alignment horizontal="center"/>
    </xf>
    <xf numFmtId="1" fontId="0" fillId="0" borderId="28" xfId="0" applyNumberFormat="1" applyBorder="1" applyAlignment="1">
      <alignment horizontal="center"/>
    </xf>
    <xf numFmtId="165" fontId="0" fillId="0" borderId="29" xfId="0" applyNumberFormat="1" applyBorder="1" applyAlignment="1">
      <alignment horizontal="center"/>
    </xf>
    <xf numFmtId="0" fontId="0" fillId="0" borderId="28" xfId="0" applyBorder="1" applyAlignment="1">
      <alignment horizontal="center"/>
    </xf>
    <xf numFmtId="2" fontId="0" fillId="0" borderId="28" xfId="0" applyNumberFormat="1" applyBorder="1" applyAlignment="1">
      <alignment horizontal="center"/>
    </xf>
    <xf numFmtId="165" fontId="0" fillId="0" borderId="28" xfId="0" applyNumberForma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165" fontId="0" fillId="0" borderId="27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1" fontId="0" fillId="0" borderId="30" xfId="0" applyNumberFormat="1" applyBorder="1" applyAlignment="1">
      <alignment horizontal="center"/>
    </xf>
    <xf numFmtId="165" fontId="0" fillId="0" borderId="31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7" xfId="0" applyBorder="1" applyAlignment="1">
      <alignment horizontal="center" wrapText="1"/>
    </xf>
    <xf numFmtId="0" fontId="0" fillId="0" borderId="2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0" xfId="0" applyFont="1" applyAlignment="1">
      <alignment wrapText="1"/>
    </xf>
    <xf numFmtId="165" fontId="6" fillId="0" borderId="12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 vertical="center"/>
    </xf>
    <xf numFmtId="165" fontId="6" fillId="0" borderId="12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0" fillId="0" borderId="38" xfId="0" applyBorder="1" applyAlignment="1">
      <alignment horizontal="center" wrapText="1"/>
    </xf>
    <xf numFmtId="0" fontId="0" fillId="0" borderId="0" xfId="0" quotePrefix="1" applyAlignment="1">
      <alignment wrapText="1"/>
    </xf>
    <xf numFmtId="0" fontId="1" fillId="0" borderId="0" xfId="0" applyFont="1" applyAlignment="1"/>
    <xf numFmtId="1" fontId="0" fillId="0" borderId="28" xfId="0" applyNumberFormat="1" applyFont="1" applyBorder="1" applyAlignment="1">
      <alignment horizontal="center"/>
    </xf>
    <xf numFmtId="165" fontId="0" fillId="0" borderId="29" xfId="0" applyNumberFormat="1" applyFont="1" applyBorder="1" applyAlignment="1">
      <alignment horizontal="center"/>
    </xf>
    <xf numFmtId="2" fontId="0" fillId="0" borderId="28" xfId="0" applyNumberFormat="1" applyFont="1" applyBorder="1" applyAlignment="1">
      <alignment horizontal="center"/>
    </xf>
    <xf numFmtId="1" fontId="0" fillId="0" borderId="25" xfId="0" applyNumberFormat="1" applyFont="1" applyBorder="1" applyAlignment="1">
      <alignment horizontal="center"/>
    </xf>
    <xf numFmtId="165" fontId="0" fillId="0" borderId="27" xfId="0" applyNumberFormat="1" applyFont="1" applyBorder="1" applyAlignment="1">
      <alignment horizontal="center"/>
    </xf>
    <xf numFmtId="2" fontId="0" fillId="0" borderId="25" xfId="0" applyNumberFormat="1" applyFont="1" applyBorder="1" applyAlignment="1">
      <alignment horizontal="center"/>
    </xf>
    <xf numFmtId="0" fontId="0" fillId="0" borderId="4" xfId="0" applyBorder="1" applyAlignment="1">
      <alignment horizontal="center" wrapText="1"/>
    </xf>
    <xf numFmtId="1" fontId="9" fillId="0" borderId="40" xfId="0" applyNumberFormat="1" applyFont="1" applyBorder="1" applyAlignment="1">
      <alignment horizontal="center" vertical="center"/>
    </xf>
    <xf numFmtId="1" fontId="9" fillId="0" borderId="41" xfId="0" applyNumberFormat="1" applyFont="1" applyBorder="1" applyAlignment="1">
      <alignment horizontal="center" vertical="center"/>
    </xf>
    <xf numFmtId="1" fontId="0" fillId="2" borderId="13" xfId="0" applyNumberFormat="1" applyFill="1" applyBorder="1" applyAlignment="1">
      <alignment horizontal="center"/>
    </xf>
    <xf numFmtId="0" fontId="0" fillId="0" borderId="40" xfId="0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2" fontId="0" fillId="2" borderId="41" xfId="0" applyNumberForma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165" fontId="0" fillId="2" borderId="40" xfId="0" applyNumberFormat="1" applyFill="1" applyBorder="1" applyAlignment="1">
      <alignment horizontal="center"/>
    </xf>
    <xf numFmtId="1" fontId="0" fillId="0" borderId="28" xfId="0" applyNumberFormat="1" applyFont="1" applyBorder="1" applyAlignment="1">
      <alignment horizontal="center" vertical="center"/>
    </xf>
    <xf numFmtId="1" fontId="0" fillId="0" borderId="25" xfId="0" applyNumberFormat="1" applyFont="1" applyBorder="1" applyAlignment="1">
      <alignment horizontal="center" vertical="center"/>
    </xf>
    <xf numFmtId="2" fontId="0" fillId="2" borderId="40" xfId="0" applyNumberFormat="1" applyFont="1" applyFill="1" applyBorder="1" applyAlignment="1">
      <alignment horizontal="center"/>
    </xf>
    <xf numFmtId="2" fontId="0" fillId="2" borderId="41" xfId="0" applyNumberFormat="1" applyFont="1" applyFill="1" applyBorder="1" applyAlignment="1">
      <alignment horizontal="center"/>
    </xf>
    <xf numFmtId="1" fontId="0" fillId="2" borderId="40" xfId="0" applyNumberFormat="1" applyFont="1" applyFill="1" applyBorder="1" applyAlignment="1">
      <alignment horizontal="center"/>
    </xf>
    <xf numFmtId="1" fontId="0" fillId="2" borderId="41" xfId="0" applyNumberFormat="1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0" fillId="0" borderId="1" xfId="0" applyBorder="1"/>
    <xf numFmtId="0" fontId="0" fillId="0" borderId="28" xfId="0" applyFont="1" applyBorder="1" applyAlignment="1">
      <alignment wrapText="1"/>
    </xf>
    <xf numFmtId="165" fontId="0" fillId="0" borderId="0" xfId="0" applyNumberFormat="1" applyBorder="1" applyAlignment="1">
      <alignment horizontal="center" wrapText="1"/>
    </xf>
    <xf numFmtId="1" fontId="1" fillId="0" borderId="28" xfId="0" applyNumberFormat="1" applyFont="1" applyBorder="1" applyAlignment="1">
      <alignment horizontal="center" vertical="center"/>
    </xf>
    <xf numFmtId="165" fontId="0" fillId="0" borderId="0" xfId="0" applyNumberFormat="1" applyBorder="1"/>
    <xf numFmtId="1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44" xfId="0" applyBorder="1" applyAlignment="1">
      <alignment horizontal="center"/>
    </xf>
    <xf numFmtId="1" fontId="5" fillId="2" borderId="28" xfId="0" applyNumberFormat="1" applyFont="1" applyFill="1" applyBorder="1" applyAlignment="1">
      <alignment horizontal="center" vertical="center"/>
    </xf>
    <xf numFmtId="0" fontId="6" fillId="0" borderId="0" xfId="0" applyFont="1" applyBorder="1"/>
    <xf numFmtId="1" fontId="1" fillId="0" borderId="25" xfId="0" applyNumberFormat="1" applyFont="1" applyBorder="1" applyAlignment="1">
      <alignment horizontal="center" vertical="center"/>
    </xf>
    <xf numFmtId="0" fontId="6" fillId="0" borderId="4" xfId="0" applyFont="1" applyBorder="1"/>
    <xf numFmtId="164" fontId="0" fillId="0" borderId="4" xfId="0" applyNumberFormat="1" applyBorder="1" applyAlignment="1">
      <alignment horizontal="center" vertical="center"/>
    </xf>
    <xf numFmtId="165" fontId="0" fillId="0" borderId="4" xfId="0" applyNumberFormat="1" applyBorder="1" applyAlignment="1">
      <alignment horizontal="center" wrapText="1"/>
    </xf>
    <xf numFmtId="165" fontId="0" fillId="0" borderId="45" xfId="0" applyNumberFormat="1" applyBorder="1" applyAlignment="1">
      <alignment horizontal="center" wrapText="1"/>
    </xf>
    <xf numFmtId="0" fontId="0" fillId="0" borderId="46" xfId="0" applyBorder="1" applyAlignment="1">
      <alignment horizontal="center"/>
    </xf>
    <xf numFmtId="0" fontId="0" fillId="0" borderId="45" xfId="0" applyBorder="1" applyAlignment="1">
      <alignment horizontal="center"/>
    </xf>
    <xf numFmtId="165" fontId="0" fillId="0" borderId="46" xfId="0" applyNumberFormat="1" applyBorder="1" applyAlignment="1">
      <alignment horizontal="center"/>
    </xf>
    <xf numFmtId="0" fontId="0" fillId="0" borderId="47" xfId="0" applyBorder="1"/>
    <xf numFmtId="0" fontId="0" fillId="0" borderId="48" xfId="0" applyBorder="1"/>
    <xf numFmtId="0" fontId="1" fillId="0" borderId="30" xfId="0" applyFont="1" applyBorder="1" applyAlignment="1">
      <alignment horizontal="center" wrapText="1"/>
    </xf>
    <xf numFmtId="0" fontId="0" fillId="0" borderId="37" xfId="0" applyBorder="1"/>
    <xf numFmtId="0" fontId="7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left" wrapText="1"/>
    </xf>
    <xf numFmtId="0" fontId="0" fillId="0" borderId="0" xfId="0" quotePrefix="1" applyAlignment="1">
      <alignment horizontal="left" wrapText="1"/>
    </xf>
    <xf numFmtId="0" fontId="8" fillId="0" borderId="32" xfId="0" applyFont="1" applyBorder="1" applyAlignment="1">
      <alignment horizontal="center" wrapText="1"/>
    </xf>
    <xf numFmtId="0" fontId="8" fillId="0" borderId="39" xfId="0" applyFont="1" applyBorder="1" applyAlignment="1">
      <alignment horizontal="center" wrapText="1"/>
    </xf>
    <xf numFmtId="0" fontId="8" fillId="0" borderId="33" xfId="0" applyFont="1" applyBorder="1" applyAlignment="1">
      <alignment horizontal="center" wrapText="1"/>
    </xf>
    <xf numFmtId="0" fontId="8" fillId="0" borderId="42" xfId="0" applyFont="1" applyBorder="1" applyAlignment="1">
      <alignment horizontal="center" wrapText="1"/>
    </xf>
    <xf numFmtId="0" fontId="8" fillId="0" borderId="34" xfId="0" applyFont="1" applyBorder="1" applyAlignment="1">
      <alignment horizontal="center" wrapText="1"/>
    </xf>
    <xf numFmtId="0" fontId="8" fillId="0" borderId="35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5" xfId="0" applyFont="1" applyBorder="1" applyAlignment="1">
      <alignment horizontal="center" wrapText="1"/>
    </xf>
    <xf numFmtId="0" fontId="8" fillId="0" borderId="43" xfId="0" applyFont="1" applyBorder="1" applyAlignment="1">
      <alignment horizontal="center" wrapText="1"/>
    </xf>
    <xf numFmtId="0" fontId="8" fillId="0" borderId="3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2" fontId="0" fillId="0" borderId="0" xfId="0" applyNumberFormat="1" applyAlignment="1">
      <alignment horizontal="left"/>
    </xf>
    <xf numFmtId="0" fontId="0" fillId="0" borderId="9" xfId="0" applyBorder="1" applyAlignment="1">
      <alignment horizontal="center" wrapText="1"/>
    </xf>
    <xf numFmtId="0" fontId="1" fillId="0" borderId="33" xfId="0" applyFont="1" applyBorder="1" applyAlignment="1">
      <alignment horizontal="center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3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28</xdr:row>
      <xdr:rowOff>38100</xdr:rowOff>
    </xdr:from>
    <xdr:to>
      <xdr:col>10</xdr:col>
      <xdr:colOff>494214</xdr:colOff>
      <xdr:row>56</xdr:row>
      <xdr:rowOff>56481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6096000"/>
          <a:ext cx="8685714" cy="53523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866775</xdr:colOff>
      <xdr:row>20</xdr:row>
      <xdr:rowOff>76200</xdr:rowOff>
    </xdr:from>
    <xdr:to>
      <xdr:col>12</xdr:col>
      <xdr:colOff>1246476</xdr:colOff>
      <xdr:row>52</xdr:row>
      <xdr:rowOff>189724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6775" y="4467225"/>
          <a:ext cx="10390476" cy="62095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23</xdr:row>
      <xdr:rowOff>161925</xdr:rowOff>
    </xdr:from>
    <xdr:to>
      <xdr:col>11</xdr:col>
      <xdr:colOff>151271</xdr:colOff>
      <xdr:row>53</xdr:row>
      <xdr:rowOff>142163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5572125"/>
          <a:ext cx="9028571" cy="56952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15</xdr:row>
      <xdr:rowOff>9525</xdr:rowOff>
    </xdr:from>
    <xdr:to>
      <xdr:col>10</xdr:col>
      <xdr:colOff>122696</xdr:colOff>
      <xdr:row>44</xdr:row>
      <xdr:rowOff>180263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3838575"/>
          <a:ext cx="9028571" cy="569523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11</xdr:col>
      <xdr:colOff>437082</xdr:colOff>
      <xdr:row>48</xdr:row>
      <xdr:rowOff>123119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4219575"/>
          <a:ext cx="8542857" cy="56476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24</xdr:row>
      <xdr:rowOff>0</xdr:rowOff>
    </xdr:from>
    <xdr:to>
      <xdr:col>11</xdr:col>
      <xdr:colOff>541857</xdr:colOff>
      <xdr:row>53</xdr:row>
      <xdr:rowOff>123119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" y="3838575"/>
          <a:ext cx="8542857" cy="56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G52"/>
  <sheetViews>
    <sheetView workbookViewId="0">
      <selection activeCell="T11" sqref="T11"/>
    </sheetView>
  </sheetViews>
  <sheetFormatPr defaultRowHeight="15" x14ac:dyDescent="0.25"/>
  <cols>
    <col min="1" max="1" width="3.140625" customWidth="1"/>
    <col min="2" max="7" width="12.7109375" customWidth="1"/>
    <col min="8" max="9" width="3.7109375" customWidth="1"/>
    <col min="10" max="20" width="12.7109375" customWidth="1"/>
    <col min="21" max="21" width="4" customWidth="1"/>
    <col min="22" max="29" width="12.7109375" customWidth="1"/>
  </cols>
  <sheetData>
    <row r="1" spans="2:25" x14ac:dyDescent="0.25">
      <c r="B1" s="62" t="s">
        <v>81</v>
      </c>
      <c r="C1" s="62"/>
      <c r="N1" s="85" t="s">
        <v>123</v>
      </c>
    </row>
    <row r="2" spans="2:25" ht="31.5" customHeight="1" x14ac:dyDescent="0.25">
      <c r="B2" s="201" t="s">
        <v>115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</row>
    <row r="3" spans="2:25" ht="18.75" customHeight="1" x14ac:dyDescent="0.25">
      <c r="B3" s="201" t="s">
        <v>90</v>
      </c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</row>
    <row r="4" spans="2:25" x14ac:dyDescent="0.25">
      <c r="B4" s="62" t="s">
        <v>87</v>
      </c>
      <c r="C4" s="62"/>
    </row>
    <row r="5" spans="2:25" ht="33.75" customHeight="1" x14ac:dyDescent="0.25">
      <c r="B5" s="202" t="s">
        <v>111</v>
      </c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7" spans="2:25" ht="15.75" thickBot="1" x14ac:dyDescent="0.3">
      <c r="B7" s="60"/>
      <c r="C7" s="60"/>
      <c r="D7" s="60"/>
      <c r="E7" s="60"/>
      <c r="F7" s="60"/>
    </row>
    <row r="8" spans="2:25" ht="15" customHeight="1" x14ac:dyDescent="0.25">
      <c r="B8" s="203" t="s">
        <v>113</v>
      </c>
      <c r="C8" s="204"/>
      <c r="D8" s="205"/>
      <c r="E8" s="205"/>
      <c r="F8" s="206"/>
      <c r="G8" s="207"/>
      <c r="J8" s="213" t="s">
        <v>124</v>
      </c>
      <c r="K8" s="214"/>
      <c r="L8" s="214"/>
      <c r="M8" s="214"/>
      <c r="N8" s="214"/>
      <c r="O8" s="215"/>
      <c r="P8" s="50"/>
    </row>
    <row r="9" spans="2:25" ht="15.75" thickBot="1" x14ac:dyDescent="0.3">
      <c r="B9" s="208"/>
      <c r="C9" s="209"/>
      <c r="D9" s="210"/>
      <c r="E9" s="210"/>
      <c r="F9" s="211"/>
      <c r="G9" s="212"/>
      <c r="J9" s="216"/>
      <c r="K9" s="217"/>
      <c r="L9" s="217"/>
      <c r="M9" s="217"/>
      <c r="N9" s="217"/>
      <c r="O9" s="218"/>
      <c r="P9" s="50"/>
    </row>
    <row r="10" spans="2:25" ht="15.75" thickBot="1" x14ac:dyDescent="0.3">
      <c r="B10" s="219" t="s">
        <v>38</v>
      </c>
      <c r="C10" s="220"/>
      <c r="D10" s="221"/>
      <c r="E10" s="219" t="s">
        <v>39</v>
      </c>
      <c r="F10" s="220"/>
      <c r="G10" s="221"/>
      <c r="J10" s="219" t="s">
        <v>38</v>
      </c>
      <c r="K10" s="220"/>
      <c r="L10" s="221"/>
      <c r="M10" s="219" t="s">
        <v>39</v>
      </c>
      <c r="N10" s="220"/>
      <c r="O10" s="221"/>
      <c r="P10" s="133"/>
    </row>
    <row r="11" spans="2:25" ht="29.25" customHeight="1" thickBot="1" x14ac:dyDescent="0.3">
      <c r="B11" s="131" t="s">
        <v>47</v>
      </c>
      <c r="C11" s="156" t="s">
        <v>114</v>
      </c>
      <c r="D11" s="147" t="s">
        <v>110</v>
      </c>
      <c r="E11" s="131" t="s">
        <v>48</v>
      </c>
      <c r="F11" s="156" t="s">
        <v>114</v>
      </c>
      <c r="G11" s="147" t="s">
        <v>112</v>
      </c>
      <c r="J11" s="131" t="s">
        <v>47</v>
      </c>
      <c r="K11" s="156" t="s">
        <v>114</v>
      </c>
      <c r="L11" s="147" t="s">
        <v>112</v>
      </c>
      <c r="M11" s="131" t="s">
        <v>48</v>
      </c>
      <c r="N11" s="156" t="s">
        <v>114</v>
      </c>
      <c r="O11" s="147" t="s">
        <v>110</v>
      </c>
      <c r="P11" s="133"/>
    </row>
    <row r="12" spans="2:25" x14ac:dyDescent="0.25">
      <c r="B12" s="128">
        <f>'Rigid Round Culvert '!A6</f>
        <v>12</v>
      </c>
      <c r="C12" s="159">
        <v>1</v>
      </c>
      <c r="D12" s="129">
        <f>'Rigid Round Culvert '!N6*C12</f>
        <v>0.52558362139917691</v>
      </c>
      <c r="E12" s="130" t="s">
        <v>49</v>
      </c>
      <c r="F12" s="72" t="s">
        <v>49</v>
      </c>
      <c r="G12" s="127" t="s">
        <v>49</v>
      </c>
      <c r="J12" s="128">
        <f>'Flex Round Culv_3040'!A6</f>
        <v>6</v>
      </c>
      <c r="K12" s="159"/>
      <c r="L12" s="129">
        <f>'Flex Round Culv_3040'!O6*K12</f>
        <v>0</v>
      </c>
      <c r="M12" s="130" t="s">
        <v>49</v>
      </c>
      <c r="N12" s="72" t="s">
        <v>49</v>
      </c>
      <c r="O12" s="127" t="s">
        <v>49</v>
      </c>
      <c r="P12" s="133"/>
    </row>
    <row r="13" spans="2:25" x14ac:dyDescent="0.25">
      <c r="B13" s="120">
        <f>'Rigid Round Culvert '!A7</f>
        <v>15</v>
      </c>
      <c r="C13" s="159"/>
      <c r="D13" s="129">
        <f>'Rigid Round Culvert '!N7*C13</f>
        <v>0</v>
      </c>
      <c r="E13" s="122" t="s">
        <v>49</v>
      </c>
      <c r="F13" s="160" t="s">
        <v>49</v>
      </c>
      <c r="G13" s="119" t="s">
        <v>49</v>
      </c>
      <c r="J13" s="120">
        <f>'Flex Round Culv_3040'!A7</f>
        <v>8</v>
      </c>
      <c r="K13" s="159"/>
      <c r="L13" s="129">
        <f>'Flex Round Culv_3040'!O7*K13</f>
        <v>0</v>
      </c>
      <c r="M13" s="122" t="s">
        <v>49</v>
      </c>
      <c r="N13" s="160" t="s">
        <v>49</v>
      </c>
      <c r="O13" s="119" t="s">
        <v>49</v>
      </c>
      <c r="P13" s="133"/>
    </row>
    <row r="14" spans="2:25" x14ac:dyDescent="0.25">
      <c r="B14" s="120">
        <f>'Rigid Round Culvert '!A8</f>
        <v>18</v>
      </c>
      <c r="C14" s="159"/>
      <c r="D14" s="129">
        <f>'Rigid Round Culvert '!N8*C14</f>
        <v>0</v>
      </c>
      <c r="E14" s="123">
        <f>'Rigid Arch Culvert'!C6</f>
        <v>22</v>
      </c>
      <c r="F14" s="161"/>
      <c r="G14" s="121">
        <f>'Rigid Arch Culvert'!Y6*F14</f>
        <v>0</v>
      </c>
      <c r="J14" s="120">
        <f>'Flex Round Culv_3040'!A8</f>
        <v>10</v>
      </c>
      <c r="K14" s="159"/>
      <c r="L14" s="129">
        <f>'Flex Round Culv_3040'!O8*K14</f>
        <v>0</v>
      </c>
      <c r="M14" s="122" t="s">
        <v>49</v>
      </c>
      <c r="N14" s="160" t="s">
        <v>49</v>
      </c>
      <c r="O14" s="121" t="s">
        <v>49</v>
      </c>
      <c r="P14" s="52"/>
    </row>
    <row r="15" spans="2:25" x14ac:dyDescent="0.25">
      <c r="B15" s="120">
        <f>'Rigid Round Culvert '!A9</f>
        <v>21</v>
      </c>
      <c r="C15" s="159"/>
      <c r="D15" s="129">
        <f>'Rigid Round Culvert '!N9*C15</f>
        <v>0</v>
      </c>
      <c r="E15" s="122" t="s">
        <v>49</v>
      </c>
      <c r="F15" s="160" t="s">
        <v>49</v>
      </c>
      <c r="G15" s="121" t="s">
        <v>49</v>
      </c>
      <c r="J15" s="120">
        <f>'Flex Round Culv_3040'!A9</f>
        <v>12</v>
      </c>
      <c r="K15" s="159"/>
      <c r="L15" s="129">
        <f>'Flex Round Culv_3040'!O9*K15</f>
        <v>0</v>
      </c>
      <c r="M15" s="122" t="s">
        <v>49</v>
      </c>
      <c r="N15" s="160" t="s">
        <v>49</v>
      </c>
      <c r="O15" s="121" t="s">
        <v>49</v>
      </c>
      <c r="P15" s="52"/>
    </row>
    <row r="16" spans="2:25" x14ac:dyDescent="0.25">
      <c r="B16" s="120">
        <f>'Rigid Round Culvert '!A10</f>
        <v>24</v>
      </c>
      <c r="C16" s="159"/>
      <c r="D16" s="129">
        <f>'Rigid Round Culvert '!N10*C16</f>
        <v>0</v>
      </c>
      <c r="E16" s="123">
        <f>'Rigid Arch Culvert'!C7</f>
        <v>28.5</v>
      </c>
      <c r="F16" s="161"/>
      <c r="G16" s="121">
        <f>'Rigid Arch Culvert'!Y7*F16</f>
        <v>0</v>
      </c>
      <c r="J16" s="120">
        <f>'Flex Round Culv_3040'!A10</f>
        <v>15</v>
      </c>
      <c r="K16" s="159"/>
      <c r="L16" s="129">
        <f>'Flex Round Culv_3040'!O10*K16</f>
        <v>0</v>
      </c>
      <c r="M16" s="123">
        <f>'Flex Arch Culv_3040'!$B6</f>
        <v>17</v>
      </c>
      <c r="N16" s="161"/>
      <c r="O16" s="121">
        <f>'Flex Arch Culv_3040'!$R6*N16</f>
        <v>0</v>
      </c>
      <c r="P16" s="52"/>
    </row>
    <row r="17" spans="2:33" x14ac:dyDescent="0.25">
      <c r="B17" s="120">
        <f>'Rigid Round Culvert '!A11</f>
        <v>27</v>
      </c>
      <c r="C17" s="159"/>
      <c r="D17" s="129">
        <f>'Rigid Round Culvert '!N11*C17</f>
        <v>0</v>
      </c>
      <c r="E17" s="122" t="s">
        <v>49</v>
      </c>
      <c r="F17" s="160" t="s">
        <v>49</v>
      </c>
      <c r="G17" s="121" t="s">
        <v>49</v>
      </c>
      <c r="J17" s="120">
        <f>'Flex Round Culv_3040'!A11</f>
        <v>18</v>
      </c>
      <c r="K17" s="159"/>
      <c r="L17" s="129">
        <f>'Flex Round Culv_3040'!O11*K17</f>
        <v>0</v>
      </c>
      <c r="M17" s="123">
        <f>'Flex Arch Culv_3040'!$B7</f>
        <v>21</v>
      </c>
      <c r="N17" s="161"/>
      <c r="O17" s="121">
        <f>'Flex Arch Culv_3040'!$R7*N17</f>
        <v>0</v>
      </c>
      <c r="P17" s="52"/>
    </row>
    <row r="18" spans="2:33" x14ac:dyDescent="0.25">
      <c r="B18" s="120">
        <f>'Rigid Round Culvert '!A12</f>
        <v>30</v>
      </c>
      <c r="C18" s="159"/>
      <c r="D18" s="129">
        <f>'Rigid Round Culvert '!N12*C18</f>
        <v>0</v>
      </c>
      <c r="E18" s="123">
        <f>'Rigid Arch Culvert'!C8</f>
        <v>36.25</v>
      </c>
      <c r="F18" s="161"/>
      <c r="G18" s="121">
        <f>'Rigid Arch Culvert'!Y8*F18</f>
        <v>0</v>
      </c>
      <c r="J18" s="120">
        <f>'Flex Round Culv_3040'!A12</f>
        <v>21</v>
      </c>
      <c r="K18" s="159"/>
      <c r="L18" s="129">
        <f>'Flex Round Culv_3040'!O12*K18</f>
        <v>0</v>
      </c>
      <c r="M18" s="123">
        <f>'Flex Arch Culv_3040'!$B8</f>
        <v>24</v>
      </c>
      <c r="N18" s="161"/>
      <c r="O18" s="121">
        <f>'Flex Arch Culv_3040'!$R8*N18</f>
        <v>0</v>
      </c>
      <c r="P18" s="52"/>
    </row>
    <row r="19" spans="2:33" x14ac:dyDescent="0.25">
      <c r="B19" s="120">
        <f>'Rigid Round Culvert '!A13</f>
        <v>33</v>
      </c>
      <c r="C19" s="159"/>
      <c r="D19" s="129">
        <f>'Rigid Round Culvert '!N13*C19</f>
        <v>0</v>
      </c>
      <c r="E19" s="122" t="s">
        <v>49</v>
      </c>
      <c r="F19" s="160" t="s">
        <v>49</v>
      </c>
      <c r="G19" s="121" t="s">
        <v>49</v>
      </c>
      <c r="J19" s="120">
        <f>'Flex Round Culv_3040'!A13</f>
        <v>24</v>
      </c>
      <c r="K19" s="159"/>
      <c r="L19" s="129">
        <f>'Flex Round Culv_3040'!O13*K19</f>
        <v>0</v>
      </c>
      <c r="M19" s="123">
        <f>'Flex Arch Culv_3040'!$B9</f>
        <v>28</v>
      </c>
      <c r="N19" s="161"/>
      <c r="O19" s="121">
        <f>'Flex Arch Culv_3040'!$R9*N19</f>
        <v>0</v>
      </c>
      <c r="P19" s="52"/>
    </row>
    <row r="20" spans="2:33" x14ac:dyDescent="0.25">
      <c r="B20" s="120">
        <f>'Rigid Round Culvert '!A14</f>
        <v>36</v>
      </c>
      <c r="C20" s="159"/>
      <c r="D20" s="129">
        <f>'Rigid Round Culvert '!N14*C20</f>
        <v>0</v>
      </c>
      <c r="E20" s="123">
        <f>'Rigid Arch Culvert'!C9</f>
        <v>43.75</v>
      </c>
      <c r="F20" s="161"/>
      <c r="G20" s="121">
        <f>'Rigid Arch Culvert'!Y9*F20</f>
        <v>0</v>
      </c>
      <c r="J20" s="120">
        <f>'Flex Round Culv_3040'!A14</f>
        <v>30</v>
      </c>
      <c r="K20" s="159"/>
      <c r="L20" s="129">
        <f>'Flex Round Culv_3040'!O14*K20</f>
        <v>0</v>
      </c>
      <c r="M20" s="123">
        <f>'Flex Arch Culv_3040'!$B10</f>
        <v>35</v>
      </c>
      <c r="N20" s="161"/>
      <c r="O20" s="121">
        <f>'Flex Arch Culv_3040'!$R10*N20</f>
        <v>0</v>
      </c>
      <c r="P20" s="52"/>
    </row>
    <row r="21" spans="2:33" x14ac:dyDescent="0.25">
      <c r="B21" s="120">
        <f>'Rigid Round Culvert '!A15</f>
        <v>42</v>
      </c>
      <c r="C21" s="159"/>
      <c r="D21" s="129">
        <f>'Rigid Round Culvert '!N15*C21</f>
        <v>0</v>
      </c>
      <c r="E21" s="124">
        <f>'Rigid Arch Culvert'!C10</f>
        <v>51.125</v>
      </c>
      <c r="F21" s="164"/>
      <c r="G21" s="121">
        <f>'Rigid Arch Culvert'!Y10*F21</f>
        <v>0</v>
      </c>
      <c r="J21" s="120">
        <f>'Flex Round Culv_3040'!A15</f>
        <v>36</v>
      </c>
      <c r="K21" s="159"/>
      <c r="L21" s="129">
        <f>'Flex Round Culv_3040'!O15*K21</f>
        <v>0</v>
      </c>
      <c r="M21" s="123">
        <f>'Flex Arch Culv_3040'!$B11</f>
        <v>42</v>
      </c>
      <c r="N21" s="161"/>
      <c r="O21" s="121">
        <f>'Flex Arch Culv_3040'!$R11*N21</f>
        <v>0</v>
      </c>
      <c r="P21" s="52"/>
    </row>
    <row r="22" spans="2:33" x14ac:dyDescent="0.25">
      <c r="B22" s="120">
        <f>'Rigid Round Culvert '!A16</f>
        <v>48</v>
      </c>
      <c r="C22" s="159"/>
      <c r="D22" s="129">
        <f>'Rigid Round Culvert '!N16*C22</f>
        <v>0</v>
      </c>
      <c r="E22" s="123">
        <f>'Rigid Arch Culvert'!C11</f>
        <v>58.5</v>
      </c>
      <c r="F22" s="161"/>
      <c r="G22" s="121">
        <f>'Rigid Arch Culvert'!Y11*F22</f>
        <v>0</v>
      </c>
      <c r="J22" s="120">
        <f>'Flex Round Culv_3040'!A16</f>
        <v>42</v>
      </c>
      <c r="K22" s="159"/>
      <c r="L22" s="129">
        <f>'Flex Round Culv_3040'!O16*K22</f>
        <v>0</v>
      </c>
      <c r="M22" s="123">
        <f>'Flex Arch Culv_3040'!$B12</f>
        <v>49</v>
      </c>
      <c r="N22" s="161"/>
      <c r="O22" s="121">
        <f>'Flex Arch Culv_3040'!$R12*N22</f>
        <v>0</v>
      </c>
      <c r="P22" s="52"/>
    </row>
    <row r="23" spans="2:33" x14ac:dyDescent="0.25">
      <c r="B23" s="120">
        <f>'Rigid Round Culvert '!A17</f>
        <v>54</v>
      </c>
      <c r="C23" s="159"/>
      <c r="D23" s="129">
        <f>'Rigid Round Culvert '!N17*C23</f>
        <v>0</v>
      </c>
      <c r="E23" s="123">
        <f>'Rigid Arch Culvert'!C12</f>
        <v>65</v>
      </c>
      <c r="F23" s="161"/>
      <c r="G23" s="121">
        <f>'Rigid Arch Culvert'!Y12*F23</f>
        <v>0</v>
      </c>
      <c r="J23" s="120">
        <f>'Flex Round Culv_3040'!A17</f>
        <v>48</v>
      </c>
      <c r="K23" s="159"/>
      <c r="L23" s="129">
        <f>'Flex Round Culv_3040'!O17*K23</f>
        <v>0</v>
      </c>
      <c r="M23" s="123">
        <f>'Flex Arch Culv_3040'!$B13</f>
        <v>57</v>
      </c>
      <c r="N23" s="161"/>
      <c r="O23" s="121">
        <f>'Flex Arch Culv_3040'!$R13*N23</f>
        <v>0</v>
      </c>
      <c r="P23" s="52"/>
    </row>
    <row r="24" spans="2:33" x14ac:dyDescent="0.25">
      <c r="B24" s="120">
        <f>'Rigid Round Culvert '!A18</f>
        <v>60</v>
      </c>
      <c r="C24" s="159"/>
      <c r="D24" s="129">
        <f>'Rigid Round Culvert '!N18*C24</f>
        <v>0</v>
      </c>
      <c r="E24" s="123">
        <f>'Rigid Arch Culvert'!C13</f>
        <v>73</v>
      </c>
      <c r="F24" s="161"/>
      <c r="G24" s="121">
        <f>'Rigid Arch Culvert'!Y13*F24</f>
        <v>0</v>
      </c>
      <c r="J24" s="120">
        <f>'Flex Round Culv_3040'!A18</f>
        <v>54</v>
      </c>
      <c r="K24" s="159"/>
      <c r="L24" s="129">
        <f>'Flex Round Culv_3040'!O18*K24</f>
        <v>0</v>
      </c>
      <c r="M24" s="123">
        <f>'Flex Arch Culv_3040'!$B14</f>
        <v>64</v>
      </c>
      <c r="N24" s="161"/>
      <c r="O24" s="121">
        <f>'Flex Arch Culv_3040'!$R14*N24</f>
        <v>0</v>
      </c>
      <c r="P24" s="52"/>
    </row>
    <row r="25" spans="2:33" x14ac:dyDescent="0.25">
      <c r="B25" s="120">
        <f>'Rigid Round Culvert '!A19</f>
        <v>66</v>
      </c>
      <c r="C25" s="159"/>
      <c r="D25" s="129">
        <f>'Rigid Round Culvert '!N19*C25</f>
        <v>0</v>
      </c>
      <c r="E25" s="122" t="s">
        <v>49</v>
      </c>
      <c r="F25" s="160" t="s">
        <v>49</v>
      </c>
      <c r="G25" s="121" t="s">
        <v>49</v>
      </c>
      <c r="J25" s="120">
        <f>'Flex Round Culv_3040'!A19</f>
        <v>60</v>
      </c>
      <c r="K25" s="159"/>
      <c r="L25" s="129">
        <f>'Flex Round Culv_3040'!O19*K25</f>
        <v>0</v>
      </c>
      <c r="M25" s="123">
        <f>'Flex Arch Culv_3040'!$B15</f>
        <v>71</v>
      </c>
      <c r="N25" s="161"/>
      <c r="O25" s="121">
        <f>'Flex Arch Culv_3040'!$R15*N25</f>
        <v>0</v>
      </c>
      <c r="P25" s="52"/>
    </row>
    <row r="26" spans="2:33" x14ac:dyDescent="0.25">
      <c r="B26" s="120">
        <f>'Rigid Round Culvert '!A20</f>
        <v>72</v>
      </c>
      <c r="C26" s="159"/>
      <c r="D26" s="129">
        <f>'Rigid Round Culvert '!N20*C26</f>
        <v>0</v>
      </c>
      <c r="E26" s="123">
        <f>'Rigid Arch Culvert'!C14</f>
        <v>88</v>
      </c>
      <c r="F26" s="161"/>
      <c r="G26" s="121">
        <f>'Rigid Arch Culvert'!Y14*F26</f>
        <v>0</v>
      </c>
      <c r="J26" s="120">
        <f>'Flex Round Culv_3040'!A20</f>
        <v>66</v>
      </c>
      <c r="K26" s="159"/>
      <c r="L26" s="129">
        <f>'Flex Round Culv_3040'!O20*K26</f>
        <v>0</v>
      </c>
      <c r="M26" s="123">
        <f>'Flex Arch Culv_3040'!$B16</f>
        <v>77</v>
      </c>
      <c r="N26" s="161"/>
      <c r="O26" s="121">
        <f>'Flex Arch Culv_3040'!$R16*N26</f>
        <v>0</v>
      </c>
      <c r="P26" s="52"/>
    </row>
    <row r="27" spans="2:33" x14ac:dyDescent="0.25">
      <c r="B27" s="120">
        <f>'Rigid Round Culvert '!A21</f>
        <v>78</v>
      </c>
      <c r="C27" s="159"/>
      <c r="D27" s="129">
        <f>'Rigid Round Culvert '!N21*C27</f>
        <v>0</v>
      </c>
      <c r="E27" s="122" t="s">
        <v>49</v>
      </c>
      <c r="F27" s="160" t="s">
        <v>49</v>
      </c>
      <c r="G27" s="121" t="s">
        <v>49</v>
      </c>
      <c r="J27" s="120">
        <f>'Flex Round Culv_3040'!A21</f>
        <v>72</v>
      </c>
      <c r="K27" s="159"/>
      <c r="L27" s="129">
        <f>'Flex Round Culv_3040'!O21*K27</f>
        <v>0</v>
      </c>
      <c r="M27" s="123">
        <f>'Flex Arch Culv_3040'!$B17</f>
        <v>83</v>
      </c>
      <c r="N27" s="161"/>
      <c r="O27" s="121">
        <f>'Flex Arch Culv_3040'!$R17*N27</f>
        <v>0</v>
      </c>
      <c r="P27" s="52"/>
    </row>
    <row r="28" spans="2:33" x14ac:dyDescent="0.25">
      <c r="B28" s="120">
        <f>'Rigid Round Culvert '!A22</f>
        <v>84</v>
      </c>
      <c r="C28" s="159"/>
      <c r="D28" s="129">
        <f>'Rigid Round Culvert '!N22*C28</f>
        <v>0</v>
      </c>
      <c r="E28" s="123">
        <f>'Rigid Arch Culvert'!C15</f>
        <v>102</v>
      </c>
      <c r="F28" s="161"/>
      <c r="G28" s="121">
        <f>'Rigid Arch Culvert'!Y15*F28</f>
        <v>0</v>
      </c>
      <c r="J28" s="150">
        <f>'Flex Round Culv_3041'!A6</f>
        <v>78</v>
      </c>
      <c r="K28" s="169"/>
      <c r="L28" s="151">
        <f>'Flex Round Culv_3041'!O6*K28</f>
        <v>0</v>
      </c>
      <c r="M28" s="152">
        <f>'Flex Arch Culv_3041'!B13</f>
        <v>87</v>
      </c>
      <c r="N28" s="167"/>
      <c r="O28" s="151">
        <f>'Flex Arch Culv_3041'!R13*N28</f>
        <v>0</v>
      </c>
      <c r="P28" s="52"/>
    </row>
    <row r="29" spans="2:33" x14ac:dyDescent="0.25">
      <c r="B29" s="120">
        <f>'Rigid Round Culvert '!A23</f>
        <v>90</v>
      </c>
      <c r="C29" s="159"/>
      <c r="D29" s="129">
        <f>'Rigid Round Culvert '!N23*C29</f>
        <v>0</v>
      </c>
      <c r="E29" s="123">
        <f>'Rigid Arch Culvert'!C16</f>
        <v>115.5</v>
      </c>
      <c r="F29" s="161"/>
      <c r="G29" s="121">
        <f>'Rigid Arch Culvert'!Y16*F29</f>
        <v>0</v>
      </c>
      <c r="J29" s="150">
        <f>'Flex Round Culv_3041'!A7</f>
        <v>84</v>
      </c>
      <c r="K29" s="169"/>
      <c r="L29" s="151">
        <f>'Flex Round Culv_3041'!O7*K29</f>
        <v>0</v>
      </c>
      <c r="M29" s="152">
        <f>'Flex Arch Culv_3041'!B14</f>
        <v>95</v>
      </c>
      <c r="N29" s="167"/>
      <c r="O29" s="151">
        <f>'Flex Arch Culv_3041'!R14*N29</f>
        <v>0</v>
      </c>
      <c r="P29" s="52"/>
    </row>
    <row r="30" spans="2:33" x14ac:dyDescent="0.25">
      <c r="B30" s="120">
        <f>'Rigid Round Culvert '!A24</f>
        <v>96</v>
      </c>
      <c r="C30" s="159"/>
      <c r="D30" s="129">
        <f>'Rigid Round Culvert '!N24*C30</f>
        <v>0</v>
      </c>
      <c r="E30" s="122">
        <f>'Rigid Arch Culvert'!C17</f>
        <v>122.375</v>
      </c>
      <c r="F30" s="163"/>
      <c r="G30" s="121">
        <f>'Rigid Arch Culvert'!Y17*F30</f>
        <v>0</v>
      </c>
      <c r="J30" s="150">
        <f>'Flex Round Culv_3041'!A8</f>
        <v>90</v>
      </c>
      <c r="K30" s="169"/>
      <c r="L30" s="151">
        <f>'Flex Round Culv_3041'!O8*K30</f>
        <v>0</v>
      </c>
      <c r="M30" s="152">
        <f>'Flex Arch Culv_3041'!B15</f>
        <v>103</v>
      </c>
      <c r="N30" s="167"/>
      <c r="O30" s="151">
        <f>'Flex Arch Culv_3041'!R15*N30</f>
        <v>0</v>
      </c>
      <c r="P30" s="52"/>
    </row>
    <row r="31" spans="2:33" x14ac:dyDescent="0.25">
      <c r="B31" s="120">
        <f>'Rigid Round Culvert '!A25</f>
        <v>102</v>
      </c>
      <c r="C31" s="159"/>
      <c r="D31" s="129">
        <f>'Rigid Round Culvert '!N25*C31</f>
        <v>0</v>
      </c>
      <c r="E31" s="122" t="s">
        <v>49</v>
      </c>
      <c r="F31" s="160" t="s">
        <v>49</v>
      </c>
      <c r="G31" s="121" t="s">
        <v>49</v>
      </c>
      <c r="J31" s="150">
        <f>'Flex Round Culv_3041'!A9</f>
        <v>96</v>
      </c>
      <c r="K31" s="169"/>
      <c r="L31" s="151">
        <f>'Flex Round Culv_3041'!O9*K31</f>
        <v>0</v>
      </c>
      <c r="M31" s="152">
        <f>'Flex Arch Culv_3041'!B16</f>
        <v>112</v>
      </c>
      <c r="N31" s="167"/>
      <c r="O31" s="151">
        <f>'Flex Arch Culv_3041'!R16*N31</f>
        <v>0</v>
      </c>
      <c r="P31" s="52"/>
      <c r="AD31" s="61"/>
      <c r="AE31" s="61"/>
      <c r="AF31" s="61"/>
      <c r="AG31" s="61"/>
    </row>
    <row r="32" spans="2:33" x14ac:dyDescent="0.25">
      <c r="B32" s="120">
        <f>'Rigid Round Culvert '!A26</f>
        <v>108</v>
      </c>
      <c r="C32" s="159"/>
      <c r="D32" s="129">
        <f>'Rigid Round Culvert '!N26*C32</f>
        <v>0</v>
      </c>
      <c r="E32" s="123">
        <f>'Rigid Arch Culvert'!C18</f>
        <v>138.5</v>
      </c>
      <c r="F32" s="161"/>
      <c r="G32" s="121">
        <f>'Rigid Arch Culvert'!Y18*F32</f>
        <v>0</v>
      </c>
      <c r="J32" s="150">
        <f>'Flex Round Culv_3041'!A10</f>
        <v>102</v>
      </c>
      <c r="K32" s="169"/>
      <c r="L32" s="151">
        <f>'Flex Round Culv_3041'!O10*K32</f>
        <v>0</v>
      </c>
      <c r="M32" s="152">
        <f>'Flex Arch Culv_3041'!B17</f>
        <v>117</v>
      </c>
      <c r="N32" s="167"/>
      <c r="O32" s="151">
        <f>'Flex Arch Culv_3041'!R17*N32</f>
        <v>0</v>
      </c>
      <c r="P32" s="52"/>
      <c r="AD32" s="61"/>
      <c r="AE32" s="61"/>
      <c r="AF32" s="61"/>
      <c r="AG32" s="61"/>
    </row>
    <row r="33" spans="2:33" x14ac:dyDescent="0.25">
      <c r="B33" s="165">
        <v>120</v>
      </c>
      <c r="C33" s="157" t="s">
        <v>49</v>
      </c>
      <c r="D33" s="119" t="s">
        <v>49</v>
      </c>
      <c r="E33" s="123">
        <f>'Rigid Arch Culvert'!C19</f>
        <v>154</v>
      </c>
      <c r="F33" s="161"/>
      <c r="G33" s="121">
        <f>'Rigid Arch Culvert'!Y19*F33</f>
        <v>0</v>
      </c>
      <c r="J33" s="150">
        <f>'Flex Round Culv_3041'!A11</f>
        <v>108</v>
      </c>
      <c r="K33" s="169"/>
      <c r="L33" s="151">
        <f>'Flex Round Culv_3041'!O11*K33</f>
        <v>0</v>
      </c>
      <c r="M33" s="152">
        <f>'Flex Arch Culv_3041'!B18</f>
        <v>128</v>
      </c>
      <c r="N33" s="167"/>
      <c r="O33" s="151">
        <f>'Flex Arch Culv_3041'!R18*N33</f>
        <v>0</v>
      </c>
      <c r="P33" s="52"/>
      <c r="AD33" s="61"/>
      <c r="AE33" s="61"/>
      <c r="AF33" s="61"/>
      <c r="AG33" s="61"/>
    </row>
    <row r="34" spans="2:33" ht="15.75" thickBot="1" x14ac:dyDescent="0.3">
      <c r="B34" s="166">
        <v>132</v>
      </c>
      <c r="C34" s="158" t="s">
        <v>49</v>
      </c>
      <c r="D34" s="132" t="s">
        <v>49</v>
      </c>
      <c r="E34" s="125">
        <f>'Rigid Arch Culvert'!C20</f>
        <v>168.75</v>
      </c>
      <c r="F34" s="162"/>
      <c r="G34" s="126">
        <f>'Rigid Arch Culvert'!Y20*F34</f>
        <v>0</v>
      </c>
      <c r="J34" s="150">
        <f>'Flex Round Culv_3041'!A12</f>
        <v>114</v>
      </c>
      <c r="K34" s="169"/>
      <c r="L34" s="151">
        <f>'Flex Round Culv_3041'!O12*K34</f>
        <v>0</v>
      </c>
      <c r="M34" s="152">
        <f>'Flex Arch Culv_3041'!B19</f>
        <v>137</v>
      </c>
      <c r="N34" s="167"/>
      <c r="O34" s="151">
        <f>'Flex Arch Culv_3041'!R19*N34</f>
        <v>0</v>
      </c>
      <c r="P34" s="52"/>
      <c r="AD34" s="61"/>
      <c r="AE34" s="61"/>
      <c r="AF34" s="61"/>
      <c r="AG34" s="61"/>
    </row>
    <row r="35" spans="2:33" ht="15.75" thickBot="1" x14ac:dyDescent="0.3">
      <c r="J35" s="153">
        <f>'Flex Round Culv_3041'!A13</f>
        <v>120</v>
      </c>
      <c r="K35" s="170"/>
      <c r="L35" s="154">
        <f>'Flex Round Culv_3041'!O13*K35</f>
        <v>0</v>
      </c>
      <c r="M35" s="155">
        <f>'Flex Arch Culv_3041'!B20</f>
        <v>142</v>
      </c>
      <c r="N35" s="168"/>
      <c r="O35" s="154">
        <f>'Flex Arch Culv_3041'!R20*N35</f>
        <v>0</v>
      </c>
      <c r="P35" s="53"/>
      <c r="AD35" s="61"/>
      <c r="AE35" s="53"/>
      <c r="AF35" s="61"/>
      <c r="AG35" s="61"/>
    </row>
    <row r="36" spans="2:33" ht="15" customHeight="1" x14ac:dyDescent="0.25">
      <c r="B36" s="201" t="s">
        <v>94</v>
      </c>
      <c r="C36" s="201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26"/>
      <c r="AB36" s="26"/>
      <c r="AC36" s="26"/>
      <c r="AD36" s="53"/>
      <c r="AE36" s="53"/>
      <c r="AF36" s="61"/>
      <c r="AG36" s="61"/>
    </row>
    <row r="37" spans="2:33" ht="15" customHeight="1" x14ac:dyDescent="0.25">
      <c r="B37" s="202" t="s">
        <v>96</v>
      </c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26"/>
      <c r="AB37" s="26"/>
      <c r="AC37" s="26"/>
      <c r="AD37" s="26"/>
      <c r="AE37" s="26"/>
    </row>
    <row r="38" spans="2:33" ht="15" customHeight="1" x14ac:dyDescent="0.25">
      <c r="B38" s="149" t="s">
        <v>95</v>
      </c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26"/>
      <c r="AB38" s="26"/>
      <c r="AC38" s="26"/>
      <c r="AD38" s="26"/>
      <c r="AE38" s="26"/>
    </row>
    <row r="39" spans="2:33" ht="30" customHeight="1" x14ac:dyDescent="0.25">
      <c r="B39" s="202" t="s">
        <v>97</v>
      </c>
      <c r="C39" s="202"/>
      <c r="D39" s="202"/>
      <c r="E39" s="202"/>
      <c r="F39" s="202"/>
      <c r="G39" s="202"/>
      <c r="H39" s="202"/>
      <c r="I39" s="202"/>
      <c r="J39" s="202"/>
      <c r="K39" s="202"/>
      <c r="L39" s="202"/>
      <c r="M39" s="202"/>
      <c r="N39" s="202"/>
      <c r="O39" s="202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26"/>
    </row>
    <row r="40" spans="2:33" ht="21" customHeight="1" x14ac:dyDescent="0.25">
      <c r="B40" s="202" t="s">
        <v>98</v>
      </c>
      <c r="C40" s="202"/>
      <c r="D40" s="202"/>
      <c r="E40" s="202"/>
      <c r="F40" s="202"/>
      <c r="G40" s="202"/>
      <c r="H40" s="202"/>
      <c r="I40" s="202"/>
      <c r="J40" s="202"/>
      <c r="K40" s="202"/>
      <c r="L40" s="202"/>
      <c r="M40" s="202"/>
      <c r="N40" s="202"/>
      <c r="O40" s="202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26"/>
    </row>
    <row r="41" spans="2:33" ht="33.75" customHeight="1" x14ac:dyDescent="0.25">
      <c r="B41" s="202" t="s">
        <v>117</v>
      </c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202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26"/>
    </row>
    <row r="42" spans="2:33" ht="18" customHeight="1" x14ac:dyDescent="0.25">
      <c r="Z42" s="26"/>
    </row>
    <row r="43" spans="2:33" x14ac:dyDescent="0.25">
      <c r="Z43" s="26"/>
    </row>
    <row r="44" spans="2:33" x14ac:dyDescent="0.25">
      <c r="Z44" s="26"/>
    </row>
    <row r="45" spans="2:33" x14ac:dyDescent="0.25"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2:33" x14ac:dyDescent="0.25"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2:33" ht="14.25" customHeight="1" x14ac:dyDescent="0.25">
      <c r="Z47" s="26"/>
    </row>
    <row r="48" spans="2:33" x14ac:dyDescent="0.25">
      <c r="Z48" s="26"/>
    </row>
    <row r="49" spans="26:26" x14ac:dyDescent="0.25">
      <c r="Z49" s="26"/>
    </row>
    <row r="50" spans="26:26" x14ac:dyDescent="0.25">
      <c r="Z50" s="26"/>
    </row>
    <row r="51" spans="26:26" x14ac:dyDescent="0.25">
      <c r="Z51" s="26"/>
    </row>
    <row r="52" spans="26:26" x14ac:dyDescent="0.25">
      <c r="Z52" s="26"/>
    </row>
  </sheetData>
  <mergeCells count="14">
    <mergeCell ref="B40:O40"/>
    <mergeCell ref="B41:O41"/>
    <mergeCell ref="B36:C36"/>
    <mergeCell ref="B10:D10"/>
    <mergeCell ref="E10:G10"/>
    <mergeCell ref="J10:L10"/>
    <mergeCell ref="M10:O10"/>
    <mergeCell ref="B37:O37"/>
    <mergeCell ref="B39:O39"/>
    <mergeCell ref="B2:O2"/>
    <mergeCell ref="B3:O3"/>
    <mergeCell ref="B5:O5"/>
    <mergeCell ref="B8:G9"/>
    <mergeCell ref="J8:O9"/>
  </mergeCells>
  <pageMargins left="0.7" right="0.7" top="0.75" bottom="0.75" header="0.3" footer="0.3"/>
  <pageSetup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zoomScaleNormal="100" workbookViewId="0">
      <selection activeCell="M17" sqref="M17"/>
    </sheetView>
  </sheetViews>
  <sheetFormatPr defaultRowHeight="15" x14ac:dyDescent="0.25"/>
  <cols>
    <col min="1" max="1" width="18.42578125" customWidth="1"/>
    <col min="2" max="2" width="15.7109375" customWidth="1"/>
    <col min="4" max="4" width="14.28515625" customWidth="1"/>
    <col min="5" max="5" width="13.5703125" customWidth="1"/>
    <col min="6" max="6" width="10.42578125" customWidth="1"/>
    <col min="8" max="8" width="15.42578125" bestFit="1" customWidth="1"/>
    <col min="9" max="9" width="12.7109375" bestFit="1" customWidth="1"/>
    <col min="10" max="10" width="11.7109375" customWidth="1"/>
    <col min="11" max="11" width="12.85546875" customWidth="1"/>
    <col min="12" max="12" width="16.5703125" bestFit="1" customWidth="1"/>
    <col min="13" max="13" width="19.42578125" customWidth="1"/>
    <col min="14" max="14" width="34.140625" customWidth="1"/>
    <col min="15" max="15" width="22.5703125" customWidth="1"/>
  </cols>
  <sheetData>
    <row r="1" spans="1:15" x14ac:dyDescent="0.25">
      <c r="A1" s="223" t="s">
        <v>85</v>
      </c>
      <c r="B1" s="224"/>
      <c r="C1" s="224"/>
      <c r="D1" s="224"/>
      <c r="E1" s="224"/>
      <c r="F1" s="224"/>
    </row>
    <row r="2" spans="1:15" x14ac:dyDescent="0.25">
      <c r="A2" s="48" t="s">
        <v>41</v>
      </c>
      <c r="B2" s="48"/>
      <c r="C2" s="49">
        <v>1.5</v>
      </c>
      <c r="D2" s="48" t="s">
        <v>42</v>
      </c>
      <c r="E2" s="48"/>
    </row>
    <row r="3" spans="1:15" ht="15.75" thickBot="1" x14ac:dyDescent="0.3">
      <c r="A3" s="48"/>
      <c r="B3" s="48"/>
      <c r="C3" s="47"/>
      <c r="D3" s="46"/>
      <c r="E3" s="46"/>
    </row>
    <row r="4" spans="1:15" ht="16.5" thickBot="1" x14ac:dyDescent="0.3">
      <c r="E4" s="4"/>
      <c r="F4" s="222" t="s">
        <v>4</v>
      </c>
      <c r="G4" s="222"/>
      <c r="H4" s="3" t="s">
        <v>14</v>
      </c>
      <c r="I4" s="3" t="s">
        <v>15</v>
      </c>
      <c r="J4" s="3" t="s">
        <v>13</v>
      </c>
      <c r="K4" s="3" t="s">
        <v>16</v>
      </c>
      <c r="L4" s="3" t="s">
        <v>40</v>
      </c>
      <c r="M4" s="4"/>
      <c r="N4" s="5"/>
    </row>
    <row r="5" spans="1:15" ht="69" customHeight="1" thickBot="1" x14ac:dyDescent="0.3">
      <c r="A5" s="12" t="s">
        <v>7</v>
      </c>
      <c r="B5" s="7" t="s">
        <v>8</v>
      </c>
      <c r="C5" s="7" t="s">
        <v>0</v>
      </c>
      <c r="D5" s="7" t="s">
        <v>1</v>
      </c>
      <c r="E5" s="7" t="s">
        <v>10</v>
      </c>
      <c r="F5" s="7" t="s">
        <v>2</v>
      </c>
      <c r="G5" s="7" t="s">
        <v>3</v>
      </c>
      <c r="H5" s="7" t="s">
        <v>5</v>
      </c>
      <c r="I5" s="7" t="s">
        <v>6</v>
      </c>
      <c r="J5" s="199" t="s">
        <v>128</v>
      </c>
      <c r="K5" s="199" t="s">
        <v>127</v>
      </c>
      <c r="L5" s="199" t="s">
        <v>126</v>
      </c>
      <c r="M5" s="9" t="s">
        <v>91</v>
      </c>
      <c r="N5" s="174" t="s">
        <v>125</v>
      </c>
      <c r="O5" s="11" t="s">
        <v>19</v>
      </c>
    </row>
    <row r="6" spans="1:15" x14ac:dyDescent="0.25">
      <c r="A6" s="8">
        <v>12</v>
      </c>
      <c r="B6" s="2">
        <v>2</v>
      </c>
      <c r="C6" s="2">
        <f>2*B6+A6</f>
        <v>16</v>
      </c>
      <c r="D6" s="18">
        <f>C6/12</f>
        <v>1.3333333333333333</v>
      </c>
      <c r="E6" s="18">
        <f>D6/2</f>
        <v>0.66666666666666663</v>
      </c>
      <c r="F6" s="2">
        <f>C6+48</f>
        <v>64</v>
      </c>
      <c r="G6" s="18">
        <f>F6/12</f>
        <v>5.333333333333333</v>
      </c>
      <c r="H6" s="18">
        <f>G6*1.5</f>
        <v>8</v>
      </c>
      <c r="I6" s="18">
        <f>G6*0.5</f>
        <v>2.6666666666666665</v>
      </c>
      <c r="J6" s="18">
        <f>2*(E6^2-(3.14159*E6^2/4))</f>
        <v>0.1907577777777778</v>
      </c>
      <c r="K6" s="18">
        <f t="shared" ref="K6:K26" si="0">(D6/2)*2*2</f>
        <v>2.6666666666666665</v>
      </c>
      <c r="L6" s="18">
        <f>C$2*(D6/2)^2</f>
        <v>0.66666666666666663</v>
      </c>
      <c r="M6" s="2">
        <f t="shared" ref="M6:M26" si="1">H6+I6+J6+K6+L6</f>
        <v>14.190757777777776</v>
      </c>
      <c r="N6" s="15">
        <f>M6/27</f>
        <v>0.52558362139917691</v>
      </c>
    </row>
    <row r="7" spans="1:15" x14ac:dyDescent="0.25">
      <c r="A7" s="8">
        <v>15</v>
      </c>
      <c r="B7" s="2">
        <v>2.25</v>
      </c>
      <c r="C7" s="2">
        <f t="shared" ref="C7:C26" si="2">2*B7+A7</f>
        <v>19.5</v>
      </c>
      <c r="D7" s="18">
        <f t="shared" ref="D7:D26" si="3">C7/12</f>
        <v>1.625</v>
      </c>
      <c r="E7" s="18">
        <f t="shared" ref="E7:E26" si="4">D7/2</f>
        <v>0.8125</v>
      </c>
      <c r="F7" s="2">
        <f t="shared" ref="F7:F26" si="5">C7+48</f>
        <v>67.5</v>
      </c>
      <c r="G7" s="18">
        <f t="shared" ref="G7:G26" si="6">F7/12</f>
        <v>5.625</v>
      </c>
      <c r="H7" s="18">
        <f t="shared" ref="H7:H26" si="7">G7*1.5</f>
        <v>8.4375</v>
      </c>
      <c r="I7" s="18">
        <f t="shared" ref="I7:I26" si="8">G7*0.5</f>
        <v>2.8125</v>
      </c>
      <c r="J7" s="18">
        <f t="shared" ref="J7:J26" si="9">2*(E7^2-(3.14159*E7^2/4))</f>
        <v>0.28334236328124995</v>
      </c>
      <c r="K7" s="18">
        <f t="shared" si="0"/>
        <v>3.25</v>
      </c>
      <c r="L7" s="18">
        <f t="shared" ref="L7:L26" si="10">C$2*(D7/2)^2</f>
        <v>0.990234375</v>
      </c>
      <c r="M7" s="2">
        <f t="shared" si="1"/>
        <v>15.77357673828125</v>
      </c>
      <c r="N7" s="16">
        <f t="shared" ref="N7:N26" si="11">M7/27</f>
        <v>0.5842065458622685</v>
      </c>
    </row>
    <row r="8" spans="1:15" x14ac:dyDescent="0.25">
      <c r="A8" s="8">
        <v>18</v>
      </c>
      <c r="B8" s="2">
        <v>2.5</v>
      </c>
      <c r="C8" s="2">
        <f t="shared" si="2"/>
        <v>23</v>
      </c>
      <c r="D8" s="18">
        <f t="shared" si="3"/>
        <v>1.9166666666666667</v>
      </c>
      <c r="E8" s="18">
        <f t="shared" si="4"/>
        <v>0.95833333333333337</v>
      </c>
      <c r="F8" s="2">
        <f t="shared" si="5"/>
        <v>71</v>
      </c>
      <c r="G8" s="18">
        <f t="shared" si="6"/>
        <v>5.916666666666667</v>
      </c>
      <c r="H8" s="18">
        <f t="shared" si="7"/>
        <v>8.875</v>
      </c>
      <c r="I8" s="18">
        <f t="shared" si="8"/>
        <v>2.9583333333333335</v>
      </c>
      <c r="J8" s="18">
        <f t="shared" si="9"/>
        <v>0.39418306423611127</v>
      </c>
      <c r="K8" s="18">
        <f t="shared" si="0"/>
        <v>3.8333333333333335</v>
      </c>
      <c r="L8" s="18">
        <f t="shared" si="10"/>
        <v>1.377604166666667</v>
      </c>
      <c r="M8" s="2">
        <f t="shared" si="1"/>
        <v>17.438453897569445</v>
      </c>
      <c r="N8" s="16">
        <f t="shared" si="11"/>
        <v>0.64586866287294242</v>
      </c>
    </row>
    <row r="9" spans="1:15" x14ac:dyDescent="0.25">
      <c r="A9" s="8">
        <v>21</v>
      </c>
      <c r="B9" s="2">
        <v>2.75</v>
      </c>
      <c r="C9" s="2">
        <f t="shared" si="2"/>
        <v>26.5</v>
      </c>
      <c r="D9" s="18">
        <f t="shared" si="3"/>
        <v>2.2083333333333335</v>
      </c>
      <c r="E9" s="18">
        <f t="shared" si="4"/>
        <v>1.1041666666666667</v>
      </c>
      <c r="F9" s="2">
        <f t="shared" si="5"/>
        <v>74.5</v>
      </c>
      <c r="G9" s="18">
        <f t="shared" si="6"/>
        <v>6.208333333333333</v>
      </c>
      <c r="H9" s="18">
        <f t="shared" si="7"/>
        <v>9.3125</v>
      </c>
      <c r="I9" s="18">
        <f t="shared" si="8"/>
        <v>3.1041666666666665</v>
      </c>
      <c r="J9" s="18">
        <f t="shared" si="9"/>
        <v>0.52327988064236131</v>
      </c>
      <c r="K9" s="18">
        <f t="shared" si="0"/>
        <v>4.416666666666667</v>
      </c>
      <c r="L9" s="18">
        <f t="shared" si="10"/>
        <v>1.828776041666667</v>
      </c>
      <c r="M9" s="2">
        <f t="shared" si="1"/>
        <v>19.185389255642363</v>
      </c>
      <c r="N9" s="16">
        <f t="shared" si="11"/>
        <v>0.71056997243119868</v>
      </c>
    </row>
    <row r="10" spans="1:15" x14ac:dyDescent="0.25">
      <c r="A10" s="8">
        <v>24</v>
      </c>
      <c r="B10" s="2">
        <v>3</v>
      </c>
      <c r="C10" s="2">
        <f t="shared" si="2"/>
        <v>30</v>
      </c>
      <c r="D10" s="18">
        <f t="shared" si="3"/>
        <v>2.5</v>
      </c>
      <c r="E10" s="18">
        <f t="shared" si="4"/>
        <v>1.25</v>
      </c>
      <c r="F10" s="2">
        <f t="shared" si="5"/>
        <v>78</v>
      </c>
      <c r="G10" s="18">
        <f t="shared" si="6"/>
        <v>6.5</v>
      </c>
      <c r="H10" s="18">
        <f t="shared" si="7"/>
        <v>9.75</v>
      </c>
      <c r="I10" s="18">
        <f t="shared" si="8"/>
        <v>3.25</v>
      </c>
      <c r="J10" s="18">
        <f t="shared" si="9"/>
        <v>0.67063281250000006</v>
      </c>
      <c r="K10" s="18">
        <f t="shared" si="0"/>
        <v>5</v>
      </c>
      <c r="L10" s="18">
        <f t="shared" si="10"/>
        <v>2.34375</v>
      </c>
      <c r="M10" s="2">
        <f t="shared" si="1"/>
        <v>21.014382812499999</v>
      </c>
      <c r="N10" s="16">
        <f t="shared" si="11"/>
        <v>0.77831047453703706</v>
      </c>
    </row>
    <row r="11" spans="1:15" x14ac:dyDescent="0.25">
      <c r="A11" s="8">
        <v>27</v>
      </c>
      <c r="B11" s="2">
        <v>3.25</v>
      </c>
      <c r="C11" s="2">
        <f t="shared" si="2"/>
        <v>33.5</v>
      </c>
      <c r="D11" s="18">
        <f t="shared" si="3"/>
        <v>2.7916666666666665</v>
      </c>
      <c r="E11" s="18">
        <f t="shared" si="4"/>
        <v>1.3958333333333333</v>
      </c>
      <c r="F11" s="2">
        <f t="shared" si="5"/>
        <v>81.5</v>
      </c>
      <c r="G11" s="18">
        <f t="shared" si="6"/>
        <v>6.791666666666667</v>
      </c>
      <c r="H11" s="18">
        <f t="shared" si="7"/>
        <v>10.1875</v>
      </c>
      <c r="I11" s="18">
        <f t="shared" si="8"/>
        <v>3.3958333333333335</v>
      </c>
      <c r="J11" s="18">
        <f t="shared" si="9"/>
        <v>0.83624185980902777</v>
      </c>
      <c r="K11" s="18">
        <f t="shared" si="0"/>
        <v>5.583333333333333</v>
      </c>
      <c r="L11" s="18">
        <f t="shared" si="10"/>
        <v>2.9225260416666661</v>
      </c>
      <c r="M11" s="2">
        <f t="shared" si="1"/>
        <v>22.925434568142357</v>
      </c>
      <c r="N11" s="16">
        <f t="shared" si="11"/>
        <v>0.84909016919045766</v>
      </c>
    </row>
    <row r="12" spans="1:15" x14ac:dyDescent="0.25">
      <c r="A12" s="8">
        <v>30</v>
      </c>
      <c r="B12" s="2">
        <v>3.5</v>
      </c>
      <c r="C12" s="2">
        <f t="shared" si="2"/>
        <v>37</v>
      </c>
      <c r="D12" s="18">
        <f t="shared" si="3"/>
        <v>3.0833333333333335</v>
      </c>
      <c r="E12" s="18">
        <f t="shared" si="4"/>
        <v>1.5416666666666667</v>
      </c>
      <c r="F12" s="2">
        <f t="shared" si="5"/>
        <v>85</v>
      </c>
      <c r="G12" s="18">
        <f t="shared" si="6"/>
        <v>7.083333333333333</v>
      </c>
      <c r="H12" s="18">
        <f t="shared" si="7"/>
        <v>10.625</v>
      </c>
      <c r="I12" s="18">
        <f t="shared" si="8"/>
        <v>3.5416666666666665</v>
      </c>
      <c r="J12" s="18">
        <f t="shared" si="9"/>
        <v>1.0201070225694444</v>
      </c>
      <c r="K12" s="18">
        <f t="shared" si="0"/>
        <v>6.166666666666667</v>
      </c>
      <c r="L12" s="18">
        <f t="shared" si="10"/>
        <v>3.565104166666667</v>
      </c>
      <c r="M12" s="2">
        <f t="shared" si="1"/>
        <v>24.918544522569444</v>
      </c>
      <c r="N12" s="16">
        <f t="shared" si="11"/>
        <v>0.92290905639146092</v>
      </c>
    </row>
    <row r="13" spans="1:15" x14ac:dyDescent="0.25">
      <c r="A13" s="8">
        <v>33</v>
      </c>
      <c r="B13" s="2">
        <v>3.75</v>
      </c>
      <c r="C13" s="2">
        <f t="shared" si="2"/>
        <v>40.5</v>
      </c>
      <c r="D13" s="18">
        <f t="shared" si="3"/>
        <v>3.375</v>
      </c>
      <c r="E13" s="18">
        <f t="shared" si="4"/>
        <v>1.6875</v>
      </c>
      <c r="F13" s="2">
        <f t="shared" si="5"/>
        <v>88.5</v>
      </c>
      <c r="G13" s="18">
        <f t="shared" si="6"/>
        <v>7.375</v>
      </c>
      <c r="H13" s="18">
        <f t="shared" si="7"/>
        <v>11.0625</v>
      </c>
      <c r="I13" s="18">
        <f t="shared" si="8"/>
        <v>3.6875</v>
      </c>
      <c r="J13" s="18">
        <f t="shared" si="9"/>
        <v>1.22222830078125</v>
      </c>
      <c r="K13" s="18">
        <f t="shared" si="0"/>
        <v>6.75</v>
      </c>
      <c r="L13" s="18">
        <f t="shared" si="10"/>
        <v>4.271484375</v>
      </c>
      <c r="M13" s="2">
        <f t="shared" si="1"/>
        <v>26.99371267578125</v>
      </c>
      <c r="N13" s="16">
        <f t="shared" si="11"/>
        <v>0.99976713614004631</v>
      </c>
    </row>
    <row r="14" spans="1:15" x14ac:dyDescent="0.25">
      <c r="A14" s="8">
        <v>36</v>
      </c>
      <c r="B14" s="2">
        <v>4</v>
      </c>
      <c r="C14" s="2">
        <f t="shared" si="2"/>
        <v>44</v>
      </c>
      <c r="D14" s="18">
        <f t="shared" si="3"/>
        <v>3.6666666666666665</v>
      </c>
      <c r="E14" s="18">
        <f t="shared" si="4"/>
        <v>1.8333333333333333</v>
      </c>
      <c r="F14" s="2">
        <f t="shared" si="5"/>
        <v>92</v>
      </c>
      <c r="G14" s="18">
        <f t="shared" si="6"/>
        <v>7.666666666666667</v>
      </c>
      <c r="H14" s="18">
        <f t="shared" si="7"/>
        <v>11.5</v>
      </c>
      <c r="I14" s="18">
        <f t="shared" si="8"/>
        <v>3.8333333333333335</v>
      </c>
      <c r="J14" s="18">
        <f t="shared" si="9"/>
        <v>1.4426056944444445</v>
      </c>
      <c r="K14" s="18">
        <f t="shared" si="0"/>
        <v>7.333333333333333</v>
      </c>
      <c r="L14" s="18">
        <f t="shared" si="10"/>
        <v>5.0416666666666661</v>
      </c>
      <c r="M14" s="2">
        <f t="shared" si="1"/>
        <v>29.150939027777774</v>
      </c>
      <c r="N14" s="16">
        <f t="shared" si="11"/>
        <v>1.0796644084362139</v>
      </c>
    </row>
    <row r="15" spans="1:15" x14ac:dyDescent="0.25">
      <c r="A15" s="8">
        <v>42</v>
      </c>
      <c r="B15" s="2">
        <v>4.5</v>
      </c>
      <c r="C15" s="2">
        <f t="shared" si="2"/>
        <v>51</v>
      </c>
      <c r="D15" s="18">
        <f t="shared" si="3"/>
        <v>4.25</v>
      </c>
      <c r="E15" s="18">
        <f t="shared" si="4"/>
        <v>2.125</v>
      </c>
      <c r="F15" s="2">
        <f t="shared" si="5"/>
        <v>99</v>
      </c>
      <c r="G15" s="18">
        <f>F15/12</f>
        <v>8.25</v>
      </c>
      <c r="H15" s="18">
        <f t="shared" si="7"/>
        <v>12.375</v>
      </c>
      <c r="I15" s="18">
        <f t="shared" si="8"/>
        <v>4.125</v>
      </c>
      <c r="J15" s="18">
        <f t="shared" si="9"/>
        <v>1.9381288281250004</v>
      </c>
      <c r="K15" s="18">
        <f t="shared" si="0"/>
        <v>8.5</v>
      </c>
      <c r="L15" s="18">
        <f t="shared" si="10"/>
        <v>6.7734375</v>
      </c>
      <c r="M15" s="2">
        <f t="shared" si="1"/>
        <v>33.711566328125002</v>
      </c>
      <c r="N15" s="16">
        <f t="shared" si="11"/>
        <v>1.2485765306712964</v>
      </c>
    </row>
    <row r="16" spans="1:15" x14ac:dyDescent="0.25">
      <c r="A16" s="8">
        <v>48</v>
      </c>
      <c r="B16" s="2">
        <v>5</v>
      </c>
      <c r="C16" s="2">
        <f t="shared" si="2"/>
        <v>58</v>
      </c>
      <c r="D16" s="18">
        <f t="shared" si="3"/>
        <v>4.833333333333333</v>
      </c>
      <c r="E16" s="18">
        <f t="shared" si="4"/>
        <v>2.4166666666666665</v>
      </c>
      <c r="F16" s="2">
        <f t="shared" si="5"/>
        <v>106</v>
      </c>
      <c r="G16" s="18">
        <f t="shared" si="6"/>
        <v>8.8333333333333339</v>
      </c>
      <c r="H16" s="18">
        <f t="shared" si="7"/>
        <v>13.25</v>
      </c>
      <c r="I16" s="18">
        <f t="shared" si="8"/>
        <v>4.416666666666667</v>
      </c>
      <c r="J16" s="18">
        <f t="shared" si="9"/>
        <v>2.5066764236111112</v>
      </c>
      <c r="K16" s="18">
        <f t="shared" si="0"/>
        <v>9.6666666666666661</v>
      </c>
      <c r="L16" s="18">
        <f t="shared" si="10"/>
        <v>8.7604166666666643</v>
      </c>
      <c r="M16" s="2">
        <f t="shared" si="1"/>
        <v>38.600426423611111</v>
      </c>
      <c r="N16" s="16">
        <f t="shared" si="11"/>
        <v>1.4296454230967077</v>
      </c>
    </row>
    <row r="17" spans="1:14" x14ac:dyDescent="0.25">
      <c r="A17" s="8">
        <v>54</v>
      </c>
      <c r="B17" s="2">
        <v>5.5</v>
      </c>
      <c r="C17" s="2">
        <f t="shared" si="2"/>
        <v>65</v>
      </c>
      <c r="D17" s="18">
        <f t="shared" si="3"/>
        <v>5.416666666666667</v>
      </c>
      <c r="E17" s="18">
        <f t="shared" si="4"/>
        <v>2.7083333333333335</v>
      </c>
      <c r="F17" s="2">
        <f t="shared" si="5"/>
        <v>113</v>
      </c>
      <c r="G17" s="18">
        <f t="shared" si="6"/>
        <v>9.4166666666666661</v>
      </c>
      <c r="H17" s="18">
        <f t="shared" si="7"/>
        <v>14.125</v>
      </c>
      <c r="I17" s="18">
        <f t="shared" si="8"/>
        <v>4.708333333333333</v>
      </c>
      <c r="J17" s="18">
        <f t="shared" si="9"/>
        <v>3.1482484809027795</v>
      </c>
      <c r="K17" s="18">
        <f t="shared" si="0"/>
        <v>10.833333333333334</v>
      </c>
      <c r="L17" s="18">
        <f t="shared" si="10"/>
        <v>11.002604166666668</v>
      </c>
      <c r="M17" s="2">
        <f t="shared" si="1"/>
        <v>43.817519314236108</v>
      </c>
      <c r="N17" s="16">
        <f t="shared" si="11"/>
        <v>1.6228710857124484</v>
      </c>
    </row>
    <row r="18" spans="1:14" x14ac:dyDescent="0.25">
      <c r="A18" s="8">
        <v>60</v>
      </c>
      <c r="B18" s="2">
        <v>6</v>
      </c>
      <c r="C18" s="2">
        <f t="shared" si="2"/>
        <v>72</v>
      </c>
      <c r="D18" s="18">
        <f t="shared" si="3"/>
        <v>6</v>
      </c>
      <c r="E18" s="18">
        <f t="shared" si="4"/>
        <v>3</v>
      </c>
      <c r="F18" s="2">
        <f t="shared" si="5"/>
        <v>120</v>
      </c>
      <c r="G18" s="18">
        <f t="shared" si="6"/>
        <v>10</v>
      </c>
      <c r="H18" s="18">
        <f t="shared" si="7"/>
        <v>15</v>
      </c>
      <c r="I18" s="18">
        <f t="shared" si="8"/>
        <v>5</v>
      </c>
      <c r="J18" s="18">
        <f t="shared" si="9"/>
        <v>3.8628450000000001</v>
      </c>
      <c r="K18" s="18">
        <f t="shared" si="0"/>
        <v>12</v>
      </c>
      <c r="L18" s="18">
        <f t="shared" si="10"/>
        <v>13.5</v>
      </c>
      <c r="M18" s="2">
        <f t="shared" si="1"/>
        <v>49.362845</v>
      </c>
      <c r="N18" s="16">
        <f t="shared" si="11"/>
        <v>1.8282535185185185</v>
      </c>
    </row>
    <row r="19" spans="1:14" x14ac:dyDescent="0.25">
      <c r="A19" s="8">
        <v>66</v>
      </c>
      <c r="B19" s="2">
        <v>6.5</v>
      </c>
      <c r="C19" s="2">
        <f t="shared" si="2"/>
        <v>79</v>
      </c>
      <c r="D19" s="18">
        <f t="shared" si="3"/>
        <v>6.583333333333333</v>
      </c>
      <c r="E19" s="18">
        <f t="shared" si="4"/>
        <v>3.2916666666666665</v>
      </c>
      <c r="F19" s="2">
        <f t="shared" si="5"/>
        <v>127</v>
      </c>
      <c r="G19" s="18">
        <f t="shared" si="6"/>
        <v>10.583333333333334</v>
      </c>
      <c r="H19" s="18">
        <f t="shared" si="7"/>
        <v>15.875</v>
      </c>
      <c r="I19" s="18">
        <f t="shared" si="8"/>
        <v>5.291666666666667</v>
      </c>
      <c r="J19" s="18">
        <f t="shared" si="9"/>
        <v>4.6504659809027764</v>
      </c>
      <c r="K19" s="18">
        <f t="shared" si="0"/>
        <v>13.166666666666666</v>
      </c>
      <c r="L19" s="18">
        <f t="shared" si="10"/>
        <v>16.252604166666664</v>
      </c>
      <c r="M19" s="2">
        <f t="shared" si="1"/>
        <v>55.236403480902773</v>
      </c>
      <c r="N19" s="16">
        <f t="shared" si="11"/>
        <v>2.0457927215149176</v>
      </c>
    </row>
    <row r="20" spans="1:14" x14ac:dyDescent="0.25">
      <c r="A20" s="8">
        <v>72</v>
      </c>
      <c r="B20" s="2">
        <v>7</v>
      </c>
      <c r="C20" s="2">
        <f t="shared" si="2"/>
        <v>86</v>
      </c>
      <c r="D20" s="18">
        <f t="shared" si="3"/>
        <v>7.166666666666667</v>
      </c>
      <c r="E20" s="18">
        <f t="shared" si="4"/>
        <v>3.5833333333333335</v>
      </c>
      <c r="F20" s="2">
        <f t="shared" si="5"/>
        <v>134</v>
      </c>
      <c r="G20" s="18">
        <f t="shared" si="6"/>
        <v>11.166666666666666</v>
      </c>
      <c r="H20" s="18">
        <f t="shared" si="7"/>
        <v>16.75</v>
      </c>
      <c r="I20" s="18">
        <f t="shared" si="8"/>
        <v>5.583333333333333</v>
      </c>
      <c r="J20" s="18">
        <f t="shared" si="9"/>
        <v>5.5111114236111121</v>
      </c>
      <c r="K20" s="18">
        <f t="shared" si="0"/>
        <v>14.333333333333334</v>
      </c>
      <c r="L20" s="18">
        <f t="shared" si="10"/>
        <v>19.260416666666668</v>
      </c>
      <c r="M20" s="2">
        <f t="shared" si="1"/>
        <v>61.438194756944441</v>
      </c>
      <c r="N20" s="16">
        <f t="shared" si="11"/>
        <v>2.2754886947016462</v>
      </c>
    </row>
    <row r="21" spans="1:14" x14ac:dyDescent="0.25">
      <c r="A21" s="8">
        <v>78</v>
      </c>
      <c r="B21" s="2">
        <v>7.5</v>
      </c>
      <c r="C21" s="2">
        <f t="shared" si="2"/>
        <v>93</v>
      </c>
      <c r="D21" s="18">
        <f t="shared" si="3"/>
        <v>7.75</v>
      </c>
      <c r="E21" s="18">
        <f t="shared" si="4"/>
        <v>3.875</v>
      </c>
      <c r="F21" s="2">
        <f t="shared" si="5"/>
        <v>141</v>
      </c>
      <c r="G21" s="18">
        <f t="shared" si="6"/>
        <v>11.75</v>
      </c>
      <c r="H21" s="18">
        <f t="shared" si="7"/>
        <v>17.625</v>
      </c>
      <c r="I21" s="18">
        <f t="shared" si="8"/>
        <v>5.875</v>
      </c>
      <c r="J21" s="18">
        <f t="shared" si="9"/>
        <v>6.4447813281249999</v>
      </c>
      <c r="K21" s="18">
        <f t="shared" si="0"/>
        <v>15.5</v>
      </c>
      <c r="L21" s="18">
        <f t="shared" si="10"/>
        <v>22.5234375</v>
      </c>
      <c r="M21" s="2">
        <f t="shared" si="1"/>
        <v>67.968218828125003</v>
      </c>
      <c r="N21" s="16">
        <f t="shared" si="11"/>
        <v>2.517341438078704</v>
      </c>
    </row>
    <row r="22" spans="1:14" x14ac:dyDescent="0.25">
      <c r="A22" s="8">
        <v>84</v>
      </c>
      <c r="B22" s="2">
        <v>8</v>
      </c>
      <c r="C22" s="2">
        <f t="shared" si="2"/>
        <v>100</v>
      </c>
      <c r="D22" s="18">
        <f t="shared" si="3"/>
        <v>8.3333333333333339</v>
      </c>
      <c r="E22" s="18">
        <f t="shared" si="4"/>
        <v>4.166666666666667</v>
      </c>
      <c r="F22" s="2">
        <f t="shared" si="5"/>
        <v>148</v>
      </c>
      <c r="G22" s="18">
        <f t="shared" si="6"/>
        <v>12.333333333333334</v>
      </c>
      <c r="H22" s="18">
        <f t="shared" si="7"/>
        <v>18.5</v>
      </c>
      <c r="I22" s="18">
        <f t="shared" si="8"/>
        <v>6.166666666666667</v>
      </c>
      <c r="J22" s="18">
        <f t="shared" si="9"/>
        <v>7.4514756944444471</v>
      </c>
      <c r="K22" s="18">
        <f t="shared" si="0"/>
        <v>16.666666666666668</v>
      </c>
      <c r="L22" s="18">
        <f t="shared" si="10"/>
        <v>26.041666666666671</v>
      </c>
      <c r="M22" s="2">
        <f t="shared" si="1"/>
        <v>74.826475694444454</v>
      </c>
      <c r="N22" s="16">
        <f t="shared" si="11"/>
        <v>2.7713509516460908</v>
      </c>
    </row>
    <row r="23" spans="1:14" x14ac:dyDescent="0.25">
      <c r="A23" s="8">
        <v>90</v>
      </c>
      <c r="B23" s="2">
        <v>8.5</v>
      </c>
      <c r="C23" s="2">
        <f t="shared" si="2"/>
        <v>107</v>
      </c>
      <c r="D23" s="18">
        <f t="shared" si="3"/>
        <v>8.9166666666666661</v>
      </c>
      <c r="E23" s="18">
        <f t="shared" si="4"/>
        <v>4.458333333333333</v>
      </c>
      <c r="F23" s="2">
        <f t="shared" si="5"/>
        <v>155</v>
      </c>
      <c r="G23" s="18">
        <f t="shared" si="6"/>
        <v>12.916666666666666</v>
      </c>
      <c r="H23" s="18">
        <f t="shared" si="7"/>
        <v>19.375</v>
      </c>
      <c r="I23" s="18">
        <f t="shared" si="8"/>
        <v>6.458333333333333</v>
      </c>
      <c r="J23" s="18">
        <f t="shared" si="9"/>
        <v>8.531194522569443</v>
      </c>
      <c r="K23" s="18">
        <f t="shared" si="0"/>
        <v>17.833333333333332</v>
      </c>
      <c r="L23" s="18">
        <f t="shared" si="10"/>
        <v>29.815104166666661</v>
      </c>
      <c r="M23" s="2">
        <f t="shared" si="1"/>
        <v>82.012965355902764</v>
      </c>
      <c r="N23" s="16">
        <f t="shared" si="11"/>
        <v>3.037517235403806</v>
      </c>
    </row>
    <row r="24" spans="1:14" x14ac:dyDescent="0.25">
      <c r="A24" s="8">
        <v>96</v>
      </c>
      <c r="B24" s="2">
        <v>9</v>
      </c>
      <c r="C24" s="2">
        <f t="shared" si="2"/>
        <v>114</v>
      </c>
      <c r="D24" s="18">
        <f t="shared" si="3"/>
        <v>9.5</v>
      </c>
      <c r="E24" s="18">
        <f t="shared" si="4"/>
        <v>4.75</v>
      </c>
      <c r="F24" s="2">
        <f t="shared" si="5"/>
        <v>162</v>
      </c>
      <c r="G24" s="18">
        <f t="shared" si="6"/>
        <v>13.5</v>
      </c>
      <c r="H24" s="18">
        <f t="shared" si="7"/>
        <v>20.25</v>
      </c>
      <c r="I24" s="18">
        <f t="shared" si="8"/>
        <v>6.75</v>
      </c>
      <c r="J24" s="18">
        <f t="shared" si="9"/>
        <v>9.6839378124999982</v>
      </c>
      <c r="K24" s="18">
        <f t="shared" si="0"/>
        <v>19</v>
      </c>
      <c r="L24" s="18">
        <f t="shared" si="10"/>
        <v>33.84375</v>
      </c>
      <c r="M24" s="2">
        <f t="shared" si="1"/>
        <v>89.527687812500005</v>
      </c>
      <c r="N24" s="16">
        <f t="shared" si="11"/>
        <v>3.3158402893518519</v>
      </c>
    </row>
    <row r="25" spans="1:14" x14ac:dyDescent="0.25">
      <c r="A25" s="8">
        <v>102</v>
      </c>
      <c r="B25" s="2">
        <v>9.5</v>
      </c>
      <c r="C25" s="2">
        <f t="shared" si="2"/>
        <v>121</v>
      </c>
      <c r="D25" s="18">
        <f t="shared" si="3"/>
        <v>10.083333333333334</v>
      </c>
      <c r="E25" s="18">
        <f t="shared" si="4"/>
        <v>5.041666666666667</v>
      </c>
      <c r="F25" s="2">
        <f t="shared" si="5"/>
        <v>169</v>
      </c>
      <c r="G25" s="18">
        <f t="shared" si="6"/>
        <v>14.083333333333334</v>
      </c>
      <c r="H25" s="18">
        <f t="shared" si="7"/>
        <v>21.125</v>
      </c>
      <c r="I25" s="18">
        <f t="shared" si="8"/>
        <v>7.041666666666667</v>
      </c>
      <c r="J25" s="18">
        <f t="shared" si="9"/>
        <v>10.909705564236113</v>
      </c>
      <c r="K25" s="18">
        <f t="shared" si="0"/>
        <v>20.166666666666668</v>
      </c>
      <c r="L25" s="18">
        <f t="shared" si="10"/>
        <v>38.127604166666671</v>
      </c>
      <c r="M25" s="2">
        <f t="shared" si="1"/>
        <v>97.37064306423612</v>
      </c>
      <c r="N25" s="16">
        <f t="shared" si="11"/>
        <v>3.6063201134902267</v>
      </c>
    </row>
    <row r="26" spans="1:14" ht="15.75" thickBot="1" x14ac:dyDescent="0.3">
      <c r="A26" s="8">
        <v>108</v>
      </c>
      <c r="B26" s="2">
        <v>10</v>
      </c>
      <c r="C26" s="2">
        <f t="shared" si="2"/>
        <v>128</v>
      </c>
      <c r="D26" s="18">
        <f t="shared" si="3"/>
        <v>10.666666666666666</v>
      </c>
      <c r="E26" s="18">
        <f t="shared" si="4"/>
        <v>5.333333333333333</v>
      </c>
      <c r="F26" s="2">
        <f t="shared" si="5"/>
        <v>176</v>
      </c>
      <c r="G26" s="18">
        <f t="shared" si="6"/>
        <v>14.666666666666666</v>
      </c>
      <c r="H26" s="18">
        <f t="shared" si="7"/>
        <v>22</v>
      </c>
      <c r="I26" s="18">
        <f t="shared" si="8"/>
        <v>7.333333333333333</v>
      </c>
      <c r="J26" s="18">
        <f t="shared" si="9"/>
        <v>12.208497777777779</v>
      </c>
      <c r="K26" s="18">
        <f t="shared" si="0"/>
        <v>21.333333333333332</v>
      </c>
      <c r="L26" s="18">
        <f t="shared" si="10"/>
        <v>42.666666666666664</v>
      </c>
      <c r="M26" s="2">
        <f t="shared" si="1"/>
        <v>105.54183111111109</v>
      </c>
      <c r="N26" s="17">
        <f t="shared" si="11"/>
        <v>3.9089567078189296</v>
      </c>
    </row>
    <row r="27" spans="1:14" x14ac:dyDescent="0.25">
      <c r="L27" s="20"/>
    </row>
    <row r="28" spans="1:14" x14ac:dyDescent="0.25">
      <c r="L28" s="20"/>
    </row>
  </sheetData>
  <mergeCells count="2">
    <mergeCell ref="F4:G4"/>
    <mergeCell ref="A1:F1"/>
  </mergeCells>
  <pageMargins left="0.7" right="0.7" top="0.75" bottom="0.75" header="0.3" footer="0.3"/>
  <pageSetup paperSize="17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"/>
  <sheetViews>
    <sheetView topLeftCell="N1" workbookViewId="0">
      <selection activeCell="Y21" sqref="Y21"/>
    </sheetView>
  </sheetViews>
  <sheetFormatPr defaultRowHeight="15" x14ac:dyDescent="0.25"/>
  <cols>
    <col min="1" max="1" width="16.5703125" customWidth="1"/>
    <col min="2" max="2" width="17.42578125" customWidth="1"/>
    <col min="3" max="3" width="14.42578125" customWidth="1"/>
    <col min="4" max="4" width="18.85546875" customWidth="1"/>
    <col min="11" max="11" width="18.85546875" bestFit="1" customWidth="1"/>
    <col min="13" max="14" width="20.140625" customWidth="1"/>
    <col min="15" max="15" width="11.85546875" customWidth="1"/>
    <col min="16" max="17" width="17.85546875" customWidth="1"/>
    <col min="18" max="18" width="16.7109375" customWidth="1"/>
    <col min="19" max="20" width="18.5703125" customWidth="1"/>
    <col min="21" max="21" width="14" customWidth="1"/>
    <col min="22" max="23" width="15.42578125" customWidth="1"/>
    <col min="24" max="24" width="18.85546875" customWidth="1"/>
    <col min="25" max="25" width="29.42578125" customWidth="1"/>
    <col min="26" max="26" width="37.85546875" customWidth="1"/>
  </cols>
  <sheetData>
    <row r="1" spans="1:26" x14ac:dyDescent="0.25">
      <c r="A1" s="225" t="s">
        <v>86</v>
      </c>
      <c r="B1" s="225"/>
      <c r="C1" s="225"/>
      <c r="D1" s="225"/>
      <c r="E1" s="225"/>
      <c r="F1" s="225"/>
      <c r="G1" s="13"/>
      <c r="H1" s="13"/>
      <c r="I1" s="13"/>
      <c r="J1" s="13"/>
      <c r="K1" s="13"/>
      <c r="L1" s="13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6" x14ac:dyDescent="0.25">
      <c r="A2" s="48" t="s">
        <v>41</v>
      </c>
      <c r="B2" s="48"/>
      <c r="C2" s="49">
        <v>1.5</v>
      </c>
      <c r="D2" s="48" t="s">
        <v>42</v>
      </c>
      <c r="E2" s="48"/>
      <c r="F2" s="42"/>
      <c r="G2" s="42"/>
      <c r="H2" s="42"/>
      <c r="I2" s="42"/>
      <c r="J2" s="42"/>
      <c r="K2" s="42"/>
      <c r="L2" s="4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6" ht="15.75" thickBot="1" x14ac:dyDescent="0.3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6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4"/>
      <c r="N4" s="4"/>
      <c r="O4" s="222" t="s">
        <v>4</v>
      </c>
      <c r="P4" s="222"/>
      <c r="Q4" s="226" t="s">
        <v>11</v>
      </c>
      <c r="R4" s="226"/>
      <c r="S4" s="226" t="s">
        <v>13</v>
      </c>
      <c r="T4" s="226"/>
      <c r="U4" s="226"/>
      <c r="V4" s="14" t="s">
        <v>12</v>
      </c>
      <c r="W4" s="14" t="s">
        <v>40</v>
      </c>
      <c r="X4" s="4"/>
      <c r="Y4" s="5"/>
    </row>
    <row r="5" spans="1:26" ht="58.5" customHeight="1" thickBot="1" x14ac:dyDescent="0.3">
      <c r="A5" s="12" t="s">
        <v>20</v>
      </c>
      <c r="B5" s="7" t="s">
        <v>21</v>
      </c>
      <c r="C5" s="7" t="s">
        <v>22</v>
      </c>
      <c r="D5" s="7" t="s">
        <v>9</v>
      </c>
      <c r="E5" s="7" t="s">
        <v>30</v>
      </c>
      <c r="F5" s="7" t="s">
        <v>31</v>
      </c>
      <c r="G5" s="7" t="s">
        <v>25</v>
      </c>
      <c r="H5" s="7" t="s">
        <v>26</v>
      </c>
      <c r="I5" s="7" t="s">
        <v>27</v>
      </c>
      <c r="J5" s="7" t="s">
        <v>24</v>
      </c>
      <c r="K5" s="7" t="s">
        <v>18</v>
      </c>
      <c r="L5" s="7" t="s">
        <v>28</v>
      </c>
      <c r="M5" s="9" t="s">
        <v>29</v>
      </c>
      <c r="N5" s="9" t="s">
        <v>32</v>
      </c>
      <c r="O5" s="7" t="s">
        <v>2</v>
      </c>
      <c r="P5" s="7" t="s">
        <v>3</v>
      </c>
      <c r="Q5" s="7" t="s">
        <v>5</v>
      </c>
      <c r="R5" s="7" t="s">
        <v>6</v>
      </c>
      <c r="S5" s="7" t="s">
        <v>120</v>
      </c>
      <c r="T5" s="7" t="s">
        <v>121</v>
      </c>
      <c r="U5" s="9" t="s">
        <v>122</v>
      </c>
      <c r="V5" s="199" t="s">
        <v>127</v>
      </c>
      <c r="W5" s="199" t="s">
        <v>33</v>
      </c>
      <c r="X5" s="36" t="s">
        <v>129</v>
      </c>
      <c r="Y5" s="174" t="s">
        <v>130</v>
      </c>
      <c r="Z5" s="11" t="s">
        <v>19</v>
      </c>
    </row>
    <row r="6" spans="1:26" x14ac:dyDescent="0.25">
      <c r="A6" s="21">
        <v>22</v>
      </c>
      <c r="B6" s="22">
        <v>13.5</v>
      </c>
      <c r="C6" s="22">
        <v>22</v>
      </c>
      <c r="D6">
        <v>2.5</v>
      </c>
      <c r="E6">
        <f>C6+2*D6</f>
        <v>27</v>
      </c>
      <c r="F6" s="20">
        <f>E6/12</f>
        <v>2.25</v>
      </c>
      <c r="G6">
        <v>27.5</v>
      </c>
      <c r="H6">
        <f>13+3/4</f>
        <v>13.75</v>
      </c>
      <c r="I6">
        <f>5+1/4</f>
        <v>5.25</v>
      </c>
      <c r="J6" s="19">
        <f>B6-H6</f>
        <v>-0.25</v>
      </c>
      <c r="K6" s="20">
        <f>J6+(SQRT(((H6-I6)^2)-(L6^2)))</f>
        <v>6.0099920127744575</v>
      </c>
      <c r="L6" s="20">
        <f>(C6/2)-I6</f>
        <v>5.75</v>
      </c>
      <c r="M6" s="20">
        <f>K6+D6</f>
        <v>8.5099920127744575</v>
      </c>
      <c r="N6" s="20">
        <f>M6/12</f>
        <v>0.70916600106453809</v>
      </c>
      <c r="O6" s="20">
        <f>E6+48</f>
        <v>75</v>
      </c>
      <c r="P6" s="20">
        <f>O6/12</f>
        <v>6.25</v>
      </c>
      <c r="Q6" s="20">
        <f>1.5*P6</f>
        <v>9.375</v>
      </c>
      <c r="R6" s="20">
        <f>P6*0.5</f>
        <v>3.125</v>
      </c>
      <c r="S6" s="20">
        <f>F6*N6</f>
        <v>1.5956235023952108</v>
      </c>
      <c r="T6" s="20">
        <v>1.3223978250842177</v>
      </c>
      <c r="U6" s="20">
        <f>S6-T6</f>
        <v>0.27322567731099312</v>
      </c>
      <c r="V6" s="20">
        <f>(P6-F6)*N6</f>
        <v>2.8366640042581523</v>
      </c>
      <c r="W6" s="20">
        <f>N6*(C$2*N6)</f>
        <v>0.75437462559880264</v>
      </c>
      <c r="X6" s="20">
        <f>Q6+R6+U6+V6+W6</f>
        <v>16.364264307167947</v>
      </c>
      <c r="Y6" s="23">
        <f>X6/27</f>
        <v>0.60608386322844243</v>
      </c>
      <c r="Z6" s="45"/>
    </row>
    <row r="7" spans="1:26" x14ac:dyDescent="0.25">
      <c r="A7" s="57">
        <v>28</v>
      </c>
      <c r="B7" s="55">
        <v>18</v>
      </c>
      <c r="C7" s="55">
        <v>28.5</v>
      </c>
      <c r="D7" s="45">
        <v>3.5</v>
      </c>
      <c r="E7">
        <f t="shared" ref="E7:E20" si="0">C7+2*D7</f>
        <v>35.5</v>
      </c>
      <c r="F7" s="20">
        <f t="shared" ref="F7:F20" si="1">E7/12</f>
        <v>2.9583333333333335</v>
      </c>
      <c r="G7">
        <f>40+11/16</f>
        <v>40.6875</v>
      </c>
      <c r="H7">
        <f>14+9/16</f>
        <v>14.5625</v>
      </c>
      <c r="I7">
        <f>4+19/32</f>
        <v>4.59375</v>
      </c>
      <c r="J7" s="19">
        <f t="shared" ref="J7:J20" si="2">B7-H7</f>
        <v>3.4375</v>
      </c>
      <c r="K7" s="20">
        <f t="shared" ref="K7:K20" si="3">J7+(SQRT(((H7-I7)^2)-(L7^2)))</f>
        <v>5.9139515945198688</v>
      </c>
      <c r="L7" s="20">
        <f t="shared" ref="L7:L20" si="4">(C7/2)-I7</f>
        <v>9.65625</v>
      </c>
      <c r="M7" s="20">
        <f t="shared" ref="M7:M20" si="5">K7+D7</f>
        <v>9.4139515945198688</v>
      </c>
      <c r="N7" s="20">
        <f t="shared" ref="N7:N20" si="6">M7/12</f>
        <v>0.78449596620998907</v>
      </c>
      <c r="O7" s="20">
        <f t="shared" ref="O7:O20" si="7">E7+48</f>
        <v>83.5</v>
      </c>
      <c r="P7" s="20">
        <f t="shared" ref="P7:P20" si="8">O7/12</f>
        <v>6.958333333333333</v>
      </c>
      <c r="Q7" s="20">
        <f t="shared" ref="Q7:Q20" si="9">1.5*P7</f>
        <v>10.4375</v>
      </c>
      <c r="R7" s="20">
        <f t="shared" ref="R7:R20" si="10">P7*0.5</f>
        <v>3.4791666666666665</v>
      </c>
      <c r="S7" s="20">
        <f t="shared" ref="S7:S20" si="11">F7*N7</f>
        <v>2.320800566704551</v>
      </c>
      <c r="T7" s="20">
        <v>1.9310036140157583</v>
      </c>
      <c r="U7" s="20">
        <f t="shared" ref="U7:U20" si="12">S7-T7</f>
        <v>0.38979695268879277</v>
      </c>
      <c r="V7" s="20">
        <f t="shared" ref="V7:V20" si="13">(P7-F7)*N7</f>
        <v>3.1379838648399558</v>
      </c>
      <c r="W7" s="20">
        <f t="shared" ref="W7:W20" si="14">N7*(C$2*N7)</f>
        <v>0.92315088149961644</v>
      </c>
      <c r="X7" s="20">
        <f>Q7+R7+U7+V7+W7</f>
        <v>18.367598365695031</v>
      </c>
      <c r="Y7" s="23">
        <f t="shared" ref="Y7:Y20" si="15">X7/27</f>
        <v>0.68028142095166777</v>
      </c>
      <c r="Z7" s="45"/>
    </row>
    <row r="8" spans="1:26" x14ac:dyDescent="0.25">
      <c r="A8" s="57">
        <v>36</v>
      </c>
      <c r="B8" s="55">
        <v>22.5</v>
      </c>
      <c r="C8" s="58">
        <v>36.25</v>
      </c>
      <c r="D8" s="45">
        <v>4</v>
      </c>
      <c r="E8">
        <f t="shared" si="0"/>
        <v>44.25</v>
      </c>
      <c r="F8" s="20">
        <f t="shared" si="1"/>
        <v>3.6875</v>
      </c>
      <c r="G8">
        <v>51</v>
      </c>
      <c r="H8">
        <v>18.75</v>
      </c>
      <c r="I8">
        <f>6+1/32</f>
        <v>6.03125</v>
      </c>
      <c r="J8" s="19">
        <f t="shared" si="2"/>
        <v>3.75</v>
      </c>
      <c r="K8" s="20">
        <f t="shared" si="3"/>
        <v>7.6879960005058408</v>
      </c>
      <c r="L8" s="20">
        <f t="shared" si="4"/>
        <v>12.09375</v>
      </c>
      <c r="M8" s="20">
        <f t="shared" si="5"/>
        <v>11.687996000505841</v>
      </c>
      <c r="N8" s="20">
        <f t="shared" si="6"/>
        <v>0.9739996667088201</v>
      </c>
      <c r="O8" s="20">
        <f t="shared" si="7"/>
        <v>92.25</v>
      </c>
      <c r="P8" s="20">
        <f t="shared" si="8"/>
        <v>7.6875</v>
      </c>
      <c r="Q8" s="20">
        <f t="shared" si="9"/>
        <v>11.53125</v>
      </c>
      <c r="R8" s="20">
        <f t="shared" si="10"/>
        <v>3.84375</v>
      </c>
      <c r="S8" s="20">
        <f t="shared" si="11"/>
        <v>3.5916237709887739</v>
      </c>
      <c r="T8" s="20">
        <v>2.9911670993290969</v>
      </c>
      <c r="U8" s="20">
        <f t="shared" si="12"/>
        <v>0.60045667165967709</v>
      </c>
      <c r="V8" s="20">
        <f t="shared" si="13"/>
        <v>3.8959986668352804</v>
      </c>
      <c r="W8" s="20">
        <f t="shared" si="14"/>
        <v>1.4230130261233389</v>
      </c>
      <c r="X8" s="20">
        <f t="shared" ref="X8:X20" si="16">Q8+R8+U8+V8+W8</f>
        <v>21.294468364618297</v>
      </c>
      <c r="Y8" s="23">
        <f t="shared" si="15"/>
        <v>0.78868401350438133</v>
      </c>
      <c r="Z8" s="45"/>
    </row>
    <row r="9" spans="1:26" x14ac:dyDescent="0.25">
      <c r="A9" s="57">
        <v>44</v>
      </c>
      <c r="B9" s="55">
        <v>26.625</v>
      </c>
      <c r="C9" s="55">
        <v>43.75</v>
      </c>
      <c r="D9" s="45">
        <v>4.5</v>
      </c>
      <c r="E9">
        <f t="shared" si="0"/>
        <v>52.75</v>
      </c>
      <c r="F9" s="20">
        <f t="shared" si="1"/>
        <v>4.395833333333333</v>
      </c>
      <c r="G9">
        <v>62</v>
      </c>
      <c r="H9">
        <v>22.5</v>
      </c>
      <c r="I9">
        <f>6+3/8</f>
        <v>6.375</v>
      </c>
      <c r="J9" s="19">
        <f t="shared" si="2"/>
        <v>4.125</v>
      </c>
      <c r="K9" s="20">
        <f t="shared" si="3"/>
        <v>8.5708548109446845</v>
      </c>
      <c r="L9" s="20">
        <f t="shared" si="4"/>
        <v>15.5</v>
      </c>
      <c r="M9" s="20">
        <f t="shared" si="5"/>
        <v>13.070854810944684</v>
      </c>
      <c r="N9" s="20">
        <f t="shared" si="6"/>
        <v>1.089237900912057</v>
      </c>
      <c r="O9" s="20">
        <f t="shared" si="7"/>
        <v>100.75</v>
      </c>
      <c r="P9" s="20">
        <f t="shared" si="8"/>
        <v>8.3958333333333339</v>
      </c>
      <c r="Q9" s="20">
        <f t="shared" si="9"/>
        <v>12.59375</v>
      </c>
      <c r="R9" s="20">
        <f t="shared" si="10"/>
        <v>4.197916666666667</v>
      </c>
      <c r="S9" s="20">
        <f t="shared" si="11"/>
        <v>4.7881082727592501</v>
      </c>
      <c r="T9" s="20">
        <v>3.980046536826408</v>
      </c>
      <c r="U9" s="20">
        <f t="shared" si="12"/>
        <v>0.80806173593284214</v>
      </c>
      <c r="V9" s="20">
        <f t="shared" si="13"/>
        <v>4.3569516036482288</v>
      </c>
      <c r="W9" s="20">
        <f t="shared" si="14"/>
        <v>1.7796588071749562</v>
      </c>
      <c r="X9" s="20">
        <f t="shared" si="16"/>
        <v>23.736338813422694</v>
      </c>
      <c r="Y9" s="23">
        <f t="shared" si="15"/>
        <v>0.87912365975639606</v>
      </c>
      <c r="Z9" s="45"/>
    </row>
    <row r="10" spans="1:26" x14ac:dyDescent="0.25">
      <c r="A10" s="57">
        <v>51</v>
      </c>
      <c r="B10" s="55">
        <v>31.3125</v>
      </c>
      <c r="C10" s="59">
        <v>51.125</v>
      </c>
      <c r="D10" s="45">
        <v>4.5</v>
      </c>
      <c r="E10">
        <f t="shared" si="0"/>
        <v>60.125</v>
      </c>
      <c r="F10" s="20">
        <f t="shared" si="1"/>
        <v>5.010416666666667</v>
      </c>
      <c r="G10">
        <v>73</v>
      </c>
      <c r="H10">
        <v>26.25</v>
      </c>
      <c r="I10">
        <f>7+9/16</f>
        <v>7.5625</v>
      </c>
      <c r="J10" s="19">
        <f t="shared" si="2"/>
        <v>5.0625</v>
      </c>
      <c r="K10" s="20">
        <f t="shared" si="3"/>
        <v>10.084716268740326</v>
      </c>
      <c r="L10" s="20">
        <f t="shared" si="4"/>
        <v>18</v>
      </c>
      <c r="M10" s="20">
        <f t="shared" si="5"/>
        <v>14.584716268740326</v>
      </c>
      <c r="N10" s="20">
        <f t="shared" si="6"/>
        <v>1.2153930223950271</v>
      </c>
      <c r="O10" s="20">
        <f t="shared" si="7"/>
        <v>108.125</v>
      </c>
      <c r="P10" s="20">
        <f t="shared" si="8"/>
        <v>9.0104166666666661</v>
      </c>
      <c r="Q10" s="20">
        <f t="shared" si="9"/>
        <v>13.515625</v>
      </c>
      <c r="R10" s="20">
        <f t="shared" si="10"/>
        <v>4.505208333333333</v>
      </c>
      <c r="S10" s="20">
        <f t="shared" si="11"/>
        <v>6.0896254559584175</v>
      </c>
      <c r="T10" s="20">
        <v>5.0668810576373424</v>
      </c>
      <c r="U10" s="20">
        <f t="shared" si="12"/>
        <v>1.0227443983210751</v>
      </c>
      <c r="V10" s="20">
        <f t="shared" si="13"/>
        <v>4.8615720895801076</v>
      </c>
      <c r="W10" s="20">
        <f t="shared" si="14"/>
        <v>2.2157702983297782</v>
      </c>
      <c r="X10" s="20">
        <f t="shared" si="16"/>
        <v>26.120920119564296</v>
      </c>
      <c r="Y10" s="23">
        <f t="shared" si="15"/>
        <v>0.96744148590978873</v>
      </c>
      <c r="Z10" s="45"/>
    </row>
    <row r="11" spans="1:26" x14ac:dyDescent="0.25">
      <c r="A11" s="57">
        <v>58</v>
      </c>
      <c r="B11" s="55">
        <v>36</v>
      </c>
      <c r="C11" s="55">
        <v>58.5</v>
      </c>
      <c r="D11" s="45">
        <v>5</v>
      </c>
      <c r="E11">
        <f t="shared" si="0"/>
        <v>68.5</v>
      </c>
      <c r="F11" s="20">
        <f t="shared" si="1"/>
        <v>5.708333333333333</v>
      </c>
      <c r="G11">
        <v>84</v>
      </c>
      <c r="H11">
        <v>30</v>
      </c>
      <c r="I11">
        <v>8.75</v>
      </c>
      <c r="J11" s="19">
        <f t="shared" si="2"/>
        <v>6</v>
      </c>
      <c r="K11" s="20">
        <f t="shared" si="3"/>
        <v>11.595757321399848</v>
      </c>
      <c r="L11" s="20">
        <f t="shared" si="4"/>
        <v>20.5</v>
      </c>
      <c r="M11" s="20">
        <f t="shared" si="5"/>
        <v>16.595757321399848</v>
      </c>
      <c r="N11" s="20">
        <f t="shared" si="6"/>
        <v>1.3829797767833207</v>
      </c>
      <c r="O11" s="20">
        <f t="shared" si="7"/>
        <v>116.5</v>
      </c>
      <c r="P11" s="20">
        <f t="shared" si="8"/>
        <v>9.7083333333333339</v>
      </c>
      <c r="Q11" s="20">
        <f t="shared" si="9"/>
        <v>14.5625</v>
      </c>
      <c r="R11" s="20">
        <f t="shared" si="10"/>
        <v>4.854166666666667</v>
      </c>
      <c r="S11" s="20">
        <f t="shared" si="11"/>
        <v>7.8945095591381218</v>
      </c>
      <c r="T11" s="20">
        <v>6.5718391562793324</v>
      </c>
      <c r="U11" s="20">
        <f t="shared" si="12"/>
        <v>1.3226704028587895</v>
      </c>
      <c r="V11" s="20">
        <f t="shared" si="13"/>
        <v>5.5319191071332838</v>
      </c>
      <c r="W11" s="20">
        <f t="shared" si="14"/>
        <v>2.8689495944874652</v>
      </c>
      <c r="X11" s="20">
        <f t="shared" si="16"/>
        <v>29.140205771146206</v>
      </c>
      <c r="Y11" s="23">
        <f>X11/27</f>
        <v>1.0792668804128225</v>
      </c>
      <c r="Z11" s="45"/>
    </row>
    <row r="12" spans="1:26" x14ac:dyDescent="0.25">
      <c r="A12" s="57">
        <v>65</v>
      </c>
      <c r="B12" s="55">
        <v>40</v>
      </c>
      <c r="C12" s="55">
        <v>65</v>
      </c>
      <c r="D12" s="45">
        <v>5.5</v>
      </c>
      <c r="E12">
        <f t="shared" si="0"/>
        <v>76</v>
      </c>
      <c r="F12" s="20">
        <f t="shared" si="1"/>
        <v>6.333333333333333</v>
      </c>
      <c r="G12">
        <v>92.5</v>
      </c>
      <c r="H12">
        <f>33+3/8</f>
        <v>33.375</v>
      </c>
      <c r="I12">
        <f>9+13/16</f>
        <v>9.8125</v>
      </c>
      <c r="J12" s="19">
        <f t="shared" si="2"/>
        <v>6.625</v>
      </c>
      <c r="K12" s="20">
        <f t="shared" si="3"/>
        <v>12.986505324999737</v>
      </c>
      <c r="L12" s="20">
        <f t="shared" si="4"/>
        <v>22.6875</v>
      </c>
      <c r="M12" s="20">
        <f t="shared" si="5"/>
        <v>18.486505324999737</v>
      </c>
      <c r="N12" s="20">
        <f t="shared" si="6"/>
        <v>1.5405421104166448</v>
      </c>
      <c r="O12" s="20">
        <f t="shared" si="7"/>
        <v>124</v>
      </c>
      <c r="P12" s="20">
        <f t="shared" si="8"/>
        <v>10.333333333333334</v>
      </c>
      <c r="Q12" s="20">
        <f t="shared" si="9"/>
        <v>15.5</v>
      </c>
      <c r="R12" s="20">
        <f t="shared" si="10"/>
        <v>5.166666666666667</v>
      </c>
      <c r="S12" s="20">
        <f t="shared" si="11"/>
        <v>9.7567666993054161</v>
      </c>
      <c r="T12" s="20">
        <v>8.1184418144176878</v>
      </c>
      <c r="U12" s="20">
        <f t="shared" si="12"/>
        <v>1.6383248848877283</v>
      </c>
      <c r="V12" s="20">
        <f t="shared" si="13"/>
        <v>6.162168441666581</v>
      </c>
      <c r="W12" s="20">
        <f t="shared" si="14"/>
        <v>3.5599049909504545</v>
      </c>
      <c r="X12" s="20">
        <f t="shared" si="16"/>
        <v>32.027064984171432</v>
      </c>
      <c r="Y12" s="23">
        <f t="shared" si="15"/>
        <v>1.1861875920063494</v>
      </c>
      <c r="Z12" s="45"/>
    </row>
    <row r="13" spans="1:26" x14ac:dyDescent="0.25">
      <c r="A13" s="57">
        <v>73</v>
      </c>
      <c r="B13" s="55">
        <v>45</v>
      </c>
      <c r="C13" s="55">
        <v>73</v>
      </c>
      <c r="D13" s="45">
        <v>6</v>
      </c>
      <c r="E13">
        <f t="shared" si="0"/>
        <v>85</v>
      </c>
      <c r="F13" s="20">
        <f t="shared" si="1"/>
        <v>7.083333333333333</v>
      </c>
      <c r="G13">
        <v>105</v>
      </c>
      <c r="H13">
        <v>37.5</v>
      </c>
      <c r="I13">
        <f>11+7/32</f>
        <v>11.21875</v>
      </c>
      <c r="J13" s="19">
        <f t="shared" si="2"/>
        <v>7.5</v>
      </c>
      <c r="K13" s="20">
        <f t="shared" si="3"/>
        <v>14.680703308172536</v>
      </c>
      <c r="L13" s="20">
        <f t="shared" si="4"/>
        <v>25.28125</v>
      </c>
      <c r="M13" s="20">
        <f t="shared" si="5"/>
        <v>20.680703308172536</v>
      </c>
      <c r="N13" s="20">
        <f t="shared" si="6"/>
        <v>1.7233919423477113</v>
      </c>
      <c r="O13" s="20">
        <f t="shared" si="7"/>
        <v>133</v>
      </c>
      <c r="P13" s="20">
        <f t="shared" si="8"/>
        <v>11.083333333333334</v>
      </c>
      <c r="Q13" s="20">
        <f t="shared" si="9"/>
        <v>16.625</v>
      </c>
      <c r="R13" s="20">
        <f t="shared" si="10"/>
        <v>5.541666666666667</v>
      </c>
      <c r="S13" s="20">
        <f t="shared" si="11"/>
        <v>12.207359591629622</v>
      </c>
      <c r="T13" s="20">
        <v>10.162764414378143</v>
      </c>
      <c r="U13" s="20">
        <f t="shared" si="12"/>
        <v>2.0445951772514785</v>
      </c>
      <c r="V13" s="20">
        <f t="shared" si="13"/>
        <v>6.893567769390847</v>
      </c>
      <c r="W13" s="20">
        <f t="shared" si="14"/>
        <v>4.4551196804235254</v>
      </c>
      <c r="X13" s="20">
        <f t="shared" si="16"/>
        <v>35.559949293732515</v>
      </c>
      <c r="Y13" s="23">
        <f t="shared" si="15"/>
        <v>1.3170351590271301</v>
      </c>
      <c r="Z13" s="45"/>
    </row>
    <row r="14" spans="1:26" x14ac:dyDescent="0.25">
      <c r="A14" s="57">
        <v>88</v>
      </c>
      <c r="B14" s="55">
        <v>54</v>
      </c>
      <c r="C14" s="55">
        <v>88</v>
      </c>
      <c r="D14" s="45">
        <v>7</v>
      </c>
      <c r="E14">
        <f t="shared" si="0"/>
        <v>102</v>
      </c>
      <c r="F14" s="20">
        <f t="shared" si="1"/>
        <v>8.5</v>
      </c>
      <c r="G14">
        <v>126</v>
      </c>
      <c r="H14">
        <v>45</v>
      </c>
      <c r="I14">
        <f>12+9/16</f>
        <v>12.5625</v>
      </c>
      <c r="J14" s="19">
        <f t="shared" si="2"/>
        <v>9</v>
      </c>
      <c r="K14" s="20">
        <f t="shared" si="3"/>
        <v>16.992183681572889</v>
      </c>
      <c r="L14" s="20">
        <f t="shared" si="4"/>
        <v>31.4375</v>
      </c>
      <c r="M14" s="20">
        <f t="shared" si="5"/>
        <v>23.992183681572889</v>
      </c>
      <c r="N14" s="20">
        <f t="shared" si="6"/>
        <v>1.9993486401310741</v>
      </c>
      <c r="O14" s="20">
        <f t="shared" si="7"/>
        <v>150</v>
      </c>
      <c r="P14" s="20">
        <f t="shared" si="8"/>
        <v>12.5</v>
      </c>
      <c r="Q14" s="20">
        <f t="shared" si="9"/>
        <v>18.75</v>
      </c>
      <c r="R14" s="20">
        <f t="shared" si="10"/>
        <v>6.25</v>
      </c>
      <c r="S14" s="20">
        <f t="shared" si="11"/>
        <v>16.994463441114128</v>
      </c>
      <c r="T14" s="20">
        <v>14.138520122706019</v>
      </c>
      <c r="U14" s="20">
        <f t="shared" si="12"/>
        <v>2.8559433184081087</v>
      </c>
      <c r="V14" s="20">
        <f t="shared" si="13"/>
        <v>7.9973945605242962</v>
      </c>
      <c r="W14" s="20">
        <f t="shared" si="14"/>
        <v>5.9960924771909632</v>
      </c>
      <c r="X14" s="20">
        <f t="shared" si="16"/>
        <v>41.849430356123371</v>
      </c>
      <c r="Y14" s="23">
        <f t="shared" si="15"/>
        <v>1.5499789020786434</v>
      </c>
      <c r="Z14" s="45"/>
    </row>
    <row r="15" spans="1:26" x14ac:dyDescent="0.25">
      <c r="A15" s="21">
        <v>102</v>
      </c>
      <c r="B15" s="22">
        <v>62</v>
      </c>
      <c r="C15" s="22">
        <v>102</v>
      </c>
      <c r="D15">
        <v>8</v>
      </c>
      <c r="E15">
        <f t="shared" si="0"/>
        <v>118</v>
      </c>
      <c r="F15" s="20">
        <f t="shared" si="1"/>
        <v>9.8333333333333339</v>
      </c>
      <c r="G15">
        <v>162.5</v>
      </c>
      <c r="H15">
        <v>52</v>
      </c>
      <c r="I15">
        <f>13+31/32</f>
        <v>13.96875</v>
      </c>
      <c r="J15" s="19">
        <f t="shared" si="2"/>
        <v>10</v>
      </c>
      <c r="K15" s="20">
        <f t="shared" si="3"/>
        <v>18.663861725581729</v>
      </c>
      <c r="L15" s="20">
        <f t="shared" si="4"/>
        <v>37.03125</v>
      </c>
      <c r="M15" s="20">
        <f t="shared" si="5"/>
        <v>26.663861725581729</v>
      </c>
      <c r="N15" s="20">
        <f t="shared" si="6"/>
        <v>2.2219884771318106</v>
      </c>
      <c r="O15" s="20">
        <f t="shared" si="7"/>
        <v>166</v>
      </c>
      <c r="P15" s="20">
        <f t="shared" si="8"/>
        <v>13.833333333333334</v>
      </c>
      <c r="Q15" s="20">
        <f t="shared" si="9"/>
        <v>20.75</v>
      </c>
      <c r="R15" s="20">
        <f t="shared" si="10"/>
        <v>6.916666666666667</v>
      </c>
      <c r="S15" s="20">
        <f t="shared" si="11"/>
        <v>21.849553358462806</v>
      </c>
      <c r="T15" s="20">
        <v>18.312467182728412</v>
      </c>
      <c r="U15" s="20">
        <f t="shared" si="12"/>
        <v>3.5370861757343945</v>
      </c>
      <c r="V15" s="20">
        <f t="shared" si="13"/>
        <v>8.8879539085272423</v>
      </c>
      <c r="W15" s="20">
        <f t="shared" si="14"/>
        <v>7.4058491887598139</v>
      </c>
      <c r="X15" s="20">
        <f t="shared" si="16"/>
        <v>47.49755593968812</v>
      </c>
      <c r="Y15" s="23">
        <f t="shared" si="15"/>
        <v>1.7591687385069674</v>
      </c>
    </row>
    <row r="16" spans="1:26" x14ac:dyDescent="0.25">
      <c r="A16" s="21">
        <v>115</v>
      </c>
      <c r="B16" s="22">
        <v>72</v>
      </c>
      <c r="C16" s="22">
        <v>115.5</v>
      </c>
      <c r="D16">
        <v>8.5</v>
      </c>
      <c r="E16">
        <f t="shared" si="0"/>
        <v>132.5</v>
      </c>
      <c r="F16" s="20">
        <f t="shared" si="1"/>
        <v>11.041666666666666</v>
      </c>
      <c r="G16">
        <v>183</v>
      </c>
      <c r="H16">
        <v>59</v>
      </c>
      <c r="I16">
        <f>19+9/32</f>
        <v>19.28125</v>
      </c>
      <c r="J16" s="19">
        <f t="shared" si="2"/>
        <v>13</v>
      </c>
      <c r="K16" s="20">
        <f t="shared" si="3"/>
        <v>22.886069744848051</v>
      </c>
      <c r="L16" s="20">
        <f t="shared" si="4"/>
        <v>38.46875</v>
      </c>
      <c r="M16" s="20">
        <f t="shared" si="5"/>
        <v>31.386069744848051</v>
      </c>
      <c r="N16" s="20">
        <f t="shared" si="6"/>
        <v>2.6155058120706709</v>
      </c>
      <c r="O16" s="20">
        <f t="shared" si="7"/>
        <v>180.5</v>
      </c>
      <c r="P16" s="20">
        <f t="shared" si="8"/>
        <v>15.041666666666666</v>
      </c>
      <c r="Q16" s="20">
        <f t="shared" si="9"/>
        <v>22.5625</v>
      </c>
      <c r="R16" s="20">
        <f t="shared" si="10"/>
        <v>7.520833333333333</v>
      </c>
      <c r="S16" s="20">
        <f t="shared" si="11"/>
        <v>28.879543341613655</v>
      </c>
      <c r="T16" s="20">
        <v>24.387768179619659</v>
      </c>
      <c r="U16" s="20">
        <f t="shared" si="12"/>
        <v>4.4917751619939956</v>
      </c>
      <c r="V16" s="20">
        <f t="shared" si="13"/>
        <v>10.462023248282684</v>
      </c>
      <c r="W16" s="20">
        <f t="shared" si="14"/>
        <v>10.26130597946319</v>
      </c>
      <c r="X16" s="20">
        <f t="shared" si="16"/>
        <v>55.298437723073199</v>
      </c>
      <c r="Y16" s="23">
        <f t="shared" si="15"/>
        <v>2.0480902860397481</v>
      </c>
    </row>
    <row r="17" spans="1:25" x14ac:dyDescent="0.25">
      <c r="A17" s="21">
        <v>122</v>
      </c>
      <c r="B17" s="22">
        <v>77.5</v>
      </c>
      <c r="C17" s="23">
        <v>122.375</v>
      </c>
      <c r="D17">
        <v>9</v>
      </c>
      <c r="E17">
        <f t="shared" si="0"/>
        <v>140.375</v>
      </c>
      <c r="F17" s="20">
        <f t="shared" si="1"/>
        <v>11.697916666666666</v>
      </c>
      <c r="G17">
        <v>218</v>
      </c>
      <c r="H17">
        <v>62</v>
      </c>
      <c r="I17">
        <f>20+1/16</f>
        <v>20.0625</v>
      </c>
      <c r="J17" s="19">
        <f t="shared" si="2"/>
        <v>15.5</v>
      </c>
      <c r="K17" s="20">
        <f t="shared" si="3"/>
        <v>23.715125151207374</v>
      </c>
      <c r="L17" s="20">
        <f t="shared" si="4"/>
        <v>41.125</v>
      </c>
      <c r="M17" s="20">
        <f t="shared" si="5"/>
        <v>32.715125151207374</v>
      </c>
      <c r="N17" s="20">
        <f t="shared" si="6"/>
        <v>2.7262604292672812</v>
      </c>
      <c r="O17" s="20">
        <f t="shared" si="7"/>
        <v>188.375</v>
      </c>
      <c r="P17" s="20">
        <f t="shared" si="8"/>
        <v>15.697916666666666</v>
      </c>
      <c r="Q17" s="20">
        <f t="shared" si="9"/>
        <v>23.546875</v>
      </c>
      <c r="R17" s="20">
        <f t="shared" si="10"/>
        <v>7.848958333333333</v>
      </c>
      <c r="S17" s="20">
        <f t="shared" si="11"/>
        <v>31.891567313199548</v>
      </c>
      <c r="T17" s="20">
        <v>27.145783271391092</v>
      </c>
      <c r="U17" s="20">
        <f t="shared" si="12"/>
        <v>4.7457840418084558</v>
      </c>
      <c r="V17" s="20">
        <f t="shared" si="13"/>
        <v>10.905041717069125</v>
      </c>
      <c r="W17" s="20">
        <f t="shared" si="14"/>
        <v>11.14874389228293</v>
      </c>
      <c r="X17" s="20">
        <f t="shared" si="16"/>
        <v>58.195402984493846</v>
      </c>
      <c r="Y17" s="23">
        <f t="shared" si="15"/>
        <v>2.1553852957219943</v>
      </c>
    </row>
    <row r="18" spans="1:25" x14ac:dyDescent="0.25">
      <c r="A18" s="21">
        <v>138</v>
      </c>
      <c r="B18" s="22">
        <v>87.125</v>
      </c>
      <c r="C18" s="22">
        <v>138.5</v>
      </c>
      <c r="D18">
        <v>10</v>
      </c>
      <c r="E18">
        <f t="shared" si="0"/>
        <v>158.5</v>
      </c>
      <c r="F18" s="20">
        <f t="shared" si="1"/>
        <v>13.208333333333334</v>
      </c>
      <c r="G18">
        <v>269</v>
      </c>
      <c r="H18">
        <v>70</v>
      </c>
      <c r="I18">
        <f>22+3/8</f>
        <v>22.375</v>
      </c>
      <c r="J18" s="19">
        <f t="shared" si="2"/>
        <v>17.125</v>
      </c>
      <c r="K18" s="20">
        <f t="shared" si="3"/>
        <v>25.543729120241366</v>
      </c>
      <c r="L18" s="20">
        <f t="shared" si="4"/>
        <v>46.875</v>
      </c>
      <c r="M18" s="20">
        <f t="shared" si="5"/>
        <v>35.543729120241366</v>
      </c>
      <c r="N18" s="20">
        <f t="shared" si="6"/>
        <v>2.9619774266867807</v>
      </c>
      <c r="O18" s="20">
        <f t="shared" si="7"/>
        <v>206.5</v>
      </c>
      <c r="P18" s="20">
        <f t="shared" si="8"/>
        <v>17.208333333333332</v>
      </c>
      <c r="Q18" s="20">
        <f t="shared" si="9"/>
        <v>25.8125</v>
      </c>
      <c r="R18" s="20">
        <f t="shared" si="10"/>
        <v>8.6041666666666661</v>
      </c>
      <c r="S18" s="20">
        <f t="shared" si="11"/>
        <v>39.122785177487899</v>
      </c>
      <c r="T18" s="20">
        <v>33.609958944754119</v>
      </c>
      <c r="U18" s="20">
        <f t="shared" si="12"/>
        <v>5.5128262327337794</v>
      </c>
      <c r="V18" s="20">
        <f t="shared" si="13"/>
        <v>11.847909706747117</v>
      </c>
      <c r="W18" s="20">
        <f t="shared" si="14"/>
        <v>13.159965414303064</v>
      </c>
      <c r="X18" s="20">
        <f t="shared" si="16"/>
        <v>64.93736802045062</v>
      </c>
      <c r="Y18" s="23">
        <f t="shared" si="15"/>
        <v>2.4050877044611343</v>
      </c>
    </row>
    <row r="19" spans="1:25" x14ac:dyDescent="0.25">
      <c r="A19" s="21">
        <v>154</v>
      </c>
      <c r="B19" s="22">
        <v>96.875</v>
      </c>
      <c r="C19" s="22">
        <v>154</v>
      </c>
      <c r="D19">
        <v>11</v>
      </c>
      <c r="E19">
        <f t="shared" si="0"/>
        <v>176</v>
      </c>
      <c r="F19" s="20">
        <f t="shared" si="1"/>
        <v>14.666666666666666</v>
      </c>
      <c r="G19">
        <v>301.375</v>
      </c>
      <c r="H19">
        <v>78</v>
      </c>
      <c r="I19">
        <v>24</v>
      </c>
      <c r="J19" s="19">
        <f t="shared" si="2"/>
        <v>18.875</v>
      </c>
      <c r="K19" s="20">
        <f t="shared" si="3"/>
        <v>29.219080432788601</v>
      </c>
      <c r="L19" s="20">
        <f t="shared" si="4"/>
        <v>53</v>
      </c>
      <c r="M19" s="20">
        <f t="shared" si="5"/>
        <v>40.219080432788601</v>
      </c>
      <c r="N19" s="20">
        <f t="shared" si="6"/>
        <v>3.3515900360657169</v>
      </c>
      <c r="O19" s="20">
        <f t="shared" si="7"/>
        <v>224</v>
      </c>
      <c r="P19" s="20">
        <f t="shared" si="8"/>
        <v>18.666666666666668</v>
      </c>
      <c r="Q19" s="20">
        <f t="shared" si="9"/>
        <v>28</v>
      </c>
      <c r="R19" s="20">
        <f t="shared" si="10"/>
        <v>9.3333333333333339</v>
      </c>
      <c r="S19" s="20">
        <f t="shared" si="11"/>
        <v>49.156653862297176</v>
      </c>
      <c r="T19" s="20">
        <v>41.888542229194591</v>
      </c>
      <c r="U19" s="20">
        <f t="shared" si="12"/>
        <v>7.2681116331025848</v>
      </c>
      <c r="V19" s="20">
        <f t="shared" si="13"/>
        <v>13.406360144262873</v>
      </c>
      <c r="W19" s="20">
        <f t="shared" si="14"/>
        <v>16.84973365478249</v>
      </c>
      <c r="X19" s="20">
        <f t="shared" si="16"/>
        <v>74.85753876548128</v>
      </c>
      <c r="Y19" s="23">
        <f t="shared" si="15"/>
        <v>2.7725014357585658</v>
      </c>
    </row>
    <row r="20" spans="1:25" x14ac:dyDescent="0.25">
      <c r="A20" s="21">
        <v>169</v>
      </c>
      <c r="B20" s="22">
        <v>106.5</v>
      </c>
      <c r="C20" s="22">
        <v>168.75</v>
      </c>
      <c r="D20">
        <v>10</v>
      </c>
      <c r="E20">
        <f t="shared" si="0"/>
        <v>188.75</v>
      </c>
      <c r="F20" s="20">
        <f t="shared" si="1"/>
        <v>15.729166666666666</v>
      </c>
      <c r="G20">
        <v>329</v>
      </c>
      <c r="H20">
        <f>85+5/8</f>
        <v>85.625</v>
      </c>
      <c r="I20">
        <f>26+7/8</f>
        <v>26.875</v>
      </c>
      <c r="J20" s="19">
        <f t="shared" si="2"/>
        <v>20.875</v>
      </c>
      <c r="K20" s="20">
        <f t="shared" si="3"/>
        <v>32.929563451241194</v>
      </c>
      <c r="L20" s="20">
        <f t="shared" si="4"/>
        <v>57.5</v>
      </c>
      <c r="M20" s="20">
        <f t="shared" si="5"/>
        <v>42.929563451241194</v>
      </c>
      <c r="N20" s="20">
        <f t="shared" si="6"/>
        <v>3.5774636209367663</v>
      </c>
      <c r="O20" s="20">
        <f t="shared" si="7"/>
        <v>236.75</v>
      </c>
      <c r="P20" s="20">
        <f t="shared" si="8"/>
        <v>19.729166666666668</v>
      </c>
      <c r="Q20" s="20">
        <f t="shared" si="9"/>
        <v>29.59375</v>
      </c>
      <c r="R20" s="20">
        <f t="shared" si="10"/>
        <v>9.8645833333333339</v>
      </c>
      <c r="S20" s="20">
        <f t="shared" si="11"/>
        <v>56.27052153765122</v>
      </c>
      <c r="T20" s="20">
        <v>47.865597066845197</v>
      </c>
      <c r="U20" s="20">
        <f t="shared" si="12"/>
        <v>8.4049244708060229</v>
      </c>
      <c r="V20" s="20">
        <f t="shared" si="13"/>
        <v>14.309854483747072</v>
      </c>
      <c r="W20" s="20">
        <f t="shared" si="14"/>
        <v>19.197368938688999</v>
      </c>
      <c r="X20" s="20">
        <f t="shared" si="16"/>
        <v>81.370481226575436</v>
      </c>
      <c r="Y20" s="23">
        <f t="shared" si="15"/>
        <v>3.0137215269102011</v>
      </c>
    </row>
  </sheetData>
  <mergeCells count="4">
    <mergeCell ref="A1:F1"/>
    <mergeCell ref="O4:P4"/>
    <mergeCell ref="Q4:R4"/>
    <mergeCell ref="S4:U4"/>
  </mergeCells>
  <pageMargins left="0.7" right="0.7" top="0.75" bottom="0.75" header="0.3" footer="0.3"/>
  <pageSetup paperSize="1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>
      <selection activeCell="H5" sqref="H5"/>
    </sheetView>
  </sheetViews>
  <sheetFormatPr defaultRowHeight="15" x14ac:dyDescent="0.25"/>
  <cols>
    <col min="1" max="1" width="12" customWidth="1"/>
    <col min="2" max="2" width="9.85546875" customWidth="1"/>
    <col min="3" max="3" width="12.42578125" customWidth="1"/>
    <col min="4" max="4" width="13.28515625" customWidth="1"/>
    <col min="7" max="7" width="13.140625" customWidth="1"/>
    <col min="8" max="8" width="11.42578125" customWidth="1"/>
    <col min="9" max="9" width="17.85546875" customWidth="1"/>
    <col min="10" max="11" width="16.7109375" customWidth="1"/>
    <col min="12" max="12" width="15.42578125" customWidth="1"/>
    <col min="13" max="13" width="18.5703125" customWidth="1"/>
    <col min="14" max="14" width="18.85546875" customWidth="1"/>
    <col min="15" max="15" width="20.7109375" customWidth="1"/>
    <col min="16" max="16" width="37.85546875" customWidth="1"/>
  </cols>
  <sheetData>
    <row r="1" spans="1:16" ht="15" customHeight="1" x14ac:dyDescent="0.25">
      <c r="A1" s="227" t="s">
        <v>83</v>
      </c>
      <c r="B1" s="227"/>
      <c r="C1" s="227"/>
      <c r="D1" s="227"/>
      <c r="E1" s="227"/>
      <c r="F1" s="227"/>
      <c r="G1" s="227"/>
      <c r="H1" s="227"/>
      <c r="I1" s="227"/>
      <c r="J1" s="1"/>
      <c r="K1" s="1"/>
      <c r="L1" s="1"/>
      <c r="M1" s="1"/>
      <c r="N1" s="1"/>
      <c r="O1" s="1"/>
    </row>
    <row r="2" spans="1:16" x14ac:dyDescent="0.25">
      <c r="A2" s="224" t="s">
        <v>41</v>
      </c>
      <c r="B2" s="224"/>
      <c r="C2" s="224"/>
      <c r="D2" s="49">
        <v>1.5</v>
      </c>
      <c r="E2" s="48" t="s">
        <v>42</v>
      </c>
      <c r="F2" s="44"/>
      <c r="I2" s="1"/>
      <c r="J2" s="1"/>
      <c r="K2" s="1"/>
      <c r="L2" s="1"/>
      <c r="M2" s="1"/>
      <c r="N2" s="1"/>
      <c r="O2" s="1"/>
    </row>
    <row r="3" spans="1:16" ht="15.75" thickBot="1" x14ac:dyDescent="0.3">
      <c r="A3" s="44"/>
      <c r="B3" s="44"/>
      <c r="C3" s="44"/>
      <c r="D3" s="44"/>
      <c r="E3" s="44"/>
      <c r="F3" s="44"/>
      <c r="G3" s="1"/>
      <c r="H3" s="1"/>
      <c r="I3" s="1"/>
      <c r="J3" s="1"/>
      <c r="K3" s="1"/>
      <c r="L3" s="1"/>
      <c r="M3" s="1"/>
      <c r="N3" s="1"/>
      <c r="O3" s="1"/>
    </row>
    <row r="4" spans="1:16" ht="45.75" thickBot="1" x14ac:dyDescent="0.3">
      <c r="A4" s="1"/>
      <c r="B4" s="1"/>
      <c r="C4" s="1"/>
      <c r="D4" s="1"/>
      <c r="E4" s="1"/>
      <c r="F4" s="1"/>
      <c r="G4" s="4"/>
      <c r="H4" s="222" t="s">
        <v>4</v>
      </c>
      <c r="I4" s="222"/>
      <c r="J4" s="14" t="s">
        <v>14</v>
      </c>
      <c r="K4" s="14" t="s">
        <v>15</v>
      </c>
      <c r="L4" s="25" t="s">
        <v>35</v>
      </c>
      <c r="M4" s="14" t="s">
        <v>40</v>
      </c>
      <c r="N4" s="4"/>
      <c r="O4" s="5"/>
    </row>
    <row r="5" spans="1:16" ht="64.5" customHeight="1" thickBot="1" x14ac:dyDescent="0.3">
      <c r="A5" s="12" t="s">
        <v>17</v>
      </c>
      <c r="B5" s="7" t="s">
        <v>23</v>
      </c>
      <c r="C5" s="9" t="s">
        <v>34</v>
      </c>
      <c r="D5" s="9" t="s">
        <v>9</v>
      </c>
      <c r="E5" s="7" t="s">
        <v>0</v>
      </c>
      <c r="F5" s="7" t="s">
        <v>1</v>
      </c>
      <c r="G5" s="7" t="s">
        <v>10</v>
      </c>
      <c r="H5" s="7" t="s">
        <v>2</v>
      </c>
      <c r="I5" s="7" t="s">
        <v>3</v>
      </c>
      <c r="J5" s="7" t="s">
        <v>5</v>
      </c>
      <c r="K5" s="7" t="s">
        <v>6</v>
      </c>
      <c r="L5" s="7" t="s">
        <v>45</v>
      </c>
      <c r="M5" s="7" t="s">
        <v>46</v>
      </c>
      <c r="N5" s="9" t="s">
        <v>91</v>
      </c>
      <c r="O5" s="10" t="s">
        <v>130</v>
      </c>
      <c r="P5" s="11" t="s">
        <v>19</v>
      </c>
    </row>
    <row r="6" spans="1:16" x14ac:dyDescent="0.25">
      <c r="A6">
        <v>6</v>
      </c>
      <c r="B6">
        <v>18</v>
      </c>
      <c r="C6">
        <v>0.5</v>
      </c>
      <c r="D6">
        <v>5.16E-2</v>
      </c>
      <c r="E6">
        <f>A6+C6+2*D6</f>
        <v>6.6032000000000002</v>
      </c>
      <c r="F6" s="20">
        <f>E6/12</f>
        <v>0.55026666666666668</v>
      </c>
      <c r="G6" s="20">
        <f>F6/2</f>
        <v>0.27513333333333334</v>
      </c>
      <c r="H6" s="20">
        <f>E6+48</f>
        <v>54.603200000000001</v>
      </c>
      <c r="I6" s="20">
        <f>H6/12</f>
        <v>4.5502666666666665</v>
      </c>
      <c r="J6" s="20">
        <f>1.5*I6</f>
        <v>6.8254000000000001</v>
      </c>
      <c r="K6" s="20">
        <f>0.5*I6</f>
        <v>2.2751333333333332</v>
      </c>
      <c r="L6" s="20">
        <f>((I6*(F6+1))-(((3.14159*G6^2)+(3.14159*(G6-(C6/12))^2))/2))</f>
        <v>6.8496013189522884</v>
      </c>
      <c r="M6" s="20">
        <f>((F6+1)*((F6+1)*D$2))</f>
        <v>3.604990106666667</v>
      </c>
      <c r="N6" s="20">
        <f>J6+K6+L6+M6</f>
        <v>19.555124758952289</v>
      </c>
      <c r="O6" s="20">
        <f>N6/27</f>
        <v>0.7242638799611959</v>
      </c>
    </row>
    <row r="7" spans="1:16" x14ac:dyDescent="0.25">
      <c r="A7">
        <v>8</v>
      </c>
      <c r="B7">
        <v>16</v>
      </c>
      <c r="C7">
        <v>0.5</v>
      </c>
      <c r="D7">
        <v>6.3500000000000001E-2</v>
      </c>
      <c r="E7">
        <f t="shared" ref="E7:E21" si="0">A7+C7+2*D7</f>
        <v>8.6270000000000007</v>
      </c>
      <c r="F7" s="20">
        <f t="shared" ref="F7:F21" si="1">E7/12</f>
        <v>0.71891666666666676</v>
      </c>
      <c r="G7" s="20">
        <f t="shared" ref="G7:G21" si="2">F7/2</f>
        <v>0.35945833333333338</v>
      </c>
      <c r="H7" s="20">
        <f t="shared" ref="H7:H21" si="3">E7+48</f>
        <v>56.627000000000002</v>
      </c>
      <c r="I7" s="20">
        <f t="shared" ref="I7:I21" si="4">H7/12</f>
        <v>4.7189166666666669</v>
      </c>
      <c r="J7" s="20">
        <f t="shared" ref="J7:J21" si="5">1.5*I7</f>
        <v>7.0783750000000003</v>
      </c>
      <c r="K7" s="20">
        <f t="shared" ref="K7:K21" si="6">0.5*I7</f>
        <v>2.3594583333333334</v>
      </c>
      <c r="L7" s="20">
        <f t="shared" ref="L7:L21" si="7">((I7*(F7+1))-(((3.14159*G7^2)+(3.14159*(G7-(C7/12))^2))/2))</f>
        <v>7.7498246126994621</v>
      </c>
      <c r="M7" s="20">
        <f t="shared" ref="M7:M21" si="8">((F7+1)*((F7+1)*D$2))</f>
        <v>4.4320117604166676</v>
      </c>
      <c r="N7" s="20">
        <f t="shared" ref="N7:N21" si="9">J7+K7+L7+M7</f>
        <v>21.619669706449464</v>
      </c>
      <c r="O7" s="20">
        <f t="shared" ref="O7:O21" si="10">N7/27</f>
        <v>0.80072850764627646</v>
      </c>
    </row>
    <row r="8" spans="1:16" x14ac:dyDescent="0.25">
      <c r="A8">
        <v>10</v>
      </c>
      <c r="B8">
        <v>16</v>
      </c>
      <c r="C8">
        <v>0.5</v>
      </c>
      <c r="D8">
        <v>6.3500000000000001E-2</v>
      </c>
      <c r="E8">
        <f t="shared" si="0"/>
        <v>10.627000000000001</v>
      </c>
      <c r="F8" s="20">
        <f t="shared" si="1"/>
        <v>0.88558333333333339</v>
      </c>
      <c r="G8" s="20">
        <f t="shared" si="2"/>
        <v>0.44279166666666669</v>
      </c>
      <c r="H8" s="20">
        <f t="shared" si="3"/>
        <v>58.627000000000002</v>
      </c>
      <c r="I8" s="20">
        <f t="shared" si="4"/>
        <v>4.8855833333333338</v>
      </c>
      <c r="J8" s="20">
        <f t="shared" si="5"/>
        <v>7.3283750000000012</v>
      </c>
      <c r="K8" s="20">
        <f t="shared" si="6"/>
        <v>2.4427916666666669</v>
      </c>
      <c r="L8" s="20">
        <f t="shared" si="7"/>
        <v>8.6514545298522414</v>
      </c>
      <c r="M8" s="20">
        <f t="shared" si="8"/>
        <v>5.3331367604166671</v>
      </c>
      <c r="N8" s="20">
        <f t="shared" si="9"/>
        <v>23.755757956935579</v>
      </c>
      <c r="O8" s="20">
        <f t="shared" si="10"/>
        <v>0.87984288729391036</v>
      </c>
    </row>
    <row r="9" spans="1:16" x14ac:dyDescent="0.25">
      <c r="A9">
        <v>12</v>
      </c>
      <c r="B9">
        <v>16</v>
      </c>
      <c r="C9">
        <v>0.5</v>
      </c>
      <c r="D9">
        <v>6.3500000000000001E-2</v>
      </c>
      <c r="E9">
        <f t="shared" si="0"/>
        <v>12.627000000000001</v>
      </c>
      <c r="F9" s="20">
        <f t="shared" si="1"/>
        <v>1.0522500000000001</v>
      </c>
      <c r="G9" s="20">
        <f t="shared" si="2"/>
        <v>0.52612500000000006</v>
      </c>
      <c r="H9" s="20">
        <f t="shared" si="3"/>
        <v>60.627000000000002</v>
      </c>
      <c r="I9" s="20">
        <f t="shared" si="4"/>
        <v>5.0522499999999999</v>
      </c>
      <c r="J9" s="20">
        <f t="shared" si="5"/>
        <v>7.5783749999999994</v>
      </c>
      <c r="K9" s="20">
        <f t="shared" si="6"/>
        <v>2.526125</v>
      </c>
      <c r="L9" s="20">
        <f t="shared" si="7"/>
        <v>9.5650068081161272</v>
      </c>
      <c r="M9" s="20">
        <f t="shared" si="8"/>
        <v>6.3175950937499996</v>
      </c>
      <c r="N9" s="20">
        <f t="shared" si="9"/>
        <v>25.987101901866126</v>
      </c>
      <c r="O9" s="20">
        <f t="shared" si="10"/>
        <v>0.96248525562467135</v>
      </c>
    </row>
    <row r="10" spans="1:16" x14ac:dyDescent="0.25">
      <c r="A10">
        <v>15</v>
      </c>
      <c r="B10">
        <v>16</v>
      </c>
      <c r="C10">
        <v>0.5</v>
      </c>
      <c r="D10">
        <v>6.3500000000000001E-2</v>
      </c>
      <c r="E10">
        <f t="shared" si="0"/>
        <v>15.627000000000001</v>
      </c>
      <c r="F10" s="20">
        <f t="shared" si="1"/>
        <v>1.3022500000000001</v>
      </c>
      <c r="G10" s="20">
        <f t="shared" si="2"/>
        <v>0.65112500000000006</v>
      </c>
      <c r="H10" s="20">
        <f t="shared" si="3"/>
        <v>63.627000000000002</v>
      </c>
      <c r="I10" s="20">
        <f t="shared" si="4"/>
        <v>5.3022499999999999</v>
      </c>
      <c r="J10" s="20">
        <f t="shared" si="5"/>
        <v>7.9533749999999994</v>
      </c>
      <c r="K10" s="20">
        <f t="shared" si="6"/>
        <v>2.651125</v>
      </c>
      <c r="L10" s="20">
        <f t="shared" si="7"/>
        <v>10.957689652595295</v>
      </c>
      <c r="M10" s="20">
        <f t="shared" si="8"/>
        <v>7.9505325937499993</v>
      </c>
      <c r="N10" s="20">
        <f t="shared" si="9"/>
        <v>29.512722246345291</v>
      </c>
      <c r="O10" s="20">
        <f t="shared" si="10"/>
        <v>1.0930637869016775</v>
      </c>
    </row>
    <row r="11" spans="1:16" x14ac:dyDescent="0.25">
      <c r="A11">
        <v>18</v>
      </c>
      <c r="B11">
        <v>16</v>
      </c>
      <c r="C11">
        <v>0.5</v>
      </c>
      <c r="D11">
        <v>6.3500000000000001E-2</v>
      </c>
      <c r="E11">
        <f t="shared" si="0"/>
        <v>18.626999999999999</v>
      </c>
      <c r="F11" s="20">
        <f t="shared" si="1"/>
        <v>1.5522499999999999</v>
      </c>
      <c r="G11" s="20">
        <f t="shared" si="2"/>
        <v>0.77612499999999995</v>
      </c>
      <c r="H11" s="20">
        <f t="shared" si="3"/>
        <v>66.626999999999995</v>
      </c>
      <c r="I11" s="20">
        <f t="shared" si="4"/>
        <v>5.5522499999999999</v>
      </c>
      <c r="J11" s="20">
        <f t="shared" si="5"/>
        <v>8.3283749999999994</v>
      </c>
      <c r="K11" s="20">
        <f t="shared" si="6"/>
        <v>2.776125</v>
      </c>
      <c r="L11" s="20">
        <f t="shared" si="7"/>
        <v>12.377197809574461</v>
      </c>
      <c r="M11" s="20">
        <f t="shared" si="8"/>
        <v>9.7709700937499999</v>
      </c>
      <c r="N11" s="20">
        <f t="shared" si="9"/>
        <v>33.252667903324465</v>
      </c>
      <c r="O11" s="20">
        <f t="shared" si="10"/>
        <v>1.2315802927157209</v>
      </c>
    </row>
    <row r="12" spans="1:16" x14ac:dyDescent="0.25">
      <c r="A12">
        <v>21</v>
      </c>
      <c r="B12">
        <v>16</v>
      </c>
      <c r="C12">
        <v>0.5</v>
      </c>
      <c r="D12">
        <v>6.3500000000000001E-2</v>
      </c>
      <c r="E12">
        <f t="shared" si="0"/>
        <v>21.626999999999999</v>
      </c>
      <c r="F12" s="20">
        <f t="shared" si="1"/>
        <v>1.8022499999999999</v>
      </c>
      <c r="G12" s="20">
        <f t="shared" si="2"/>
        <v>0.90112499999999995</v>
      </c>
      <c r="H12" s="20">
        <f t="shared" si="3"/>
        <v>69.626999999999995</v>
      </c>
      <c r="I12" s="20">
        <f t="shared" si="4"/>
        <v>5.8022499999999999</v>
      </c>
      <c r="J12" s="20">
        <f t="shared" si="5"/>
        <v>8.7033749999999994</v>
      </c>
      <c r="K12" s="20">
        <f t="shared" si="6"/>
        <v>2.901125</v>
      </c>
      <c r="L12" s="20">
        <f t="shared" si="7"/>
        <v>13.823531279053629</v>
      </c>
      <c r="M12" s="20">
        <f t="shared" si="8"/>
        <v>11.778907593749999</v>
      </c>
      <c r="N12" s="20">
        <f t="shared" si="9"/>
        <v>37.206938872803626</v>
      </c>
      <c r="O12" s="20">
        <f t="shared" si="10"/>
        <v>1.378034773066801</v>
      </c>
    </row>
    <row r="13" spans="1:16" x14ac:dyDescent="0.25">
      <c r="A13">
        <v>24</v>
      </c>
      <c r="B13">
        <v>16</v>
      </c>
      <c r="C13">
        <v>0.5</v>
      </c>
      <c r="D13">
        <v>6.3500000000000001E-2</v>
      </c>
      <c r="E13">
        <f t="shared" si="0"/>
        <v>24.626999999999999</v>
      </c>
      <c r="F13" s="20">
        <f t="shared" si="1"/>
        <v>2.0522499999999999</v>
      </c>
      <c r="G13" s="20">
        <f t="shared" si="2"/>
        <v>1.026125</v>
      </c>
      <c r="H13" s="20">
        <f t="shared" si="3"/>
        <v>72.626999999999995</v>
      </c>
      <c r="I13" s="20">
        <f t="shared" si="4"/>
        <v>6.0522499999999999</v>
      </c>
      <c r="J13" s="20">
        <f t="shared" si="5"/>
        <v>9.0783749999999994</v>
      </c>
      <c r="K13" s="20">
        <f t="shared" si="6"/>
        <v>3.026125</v>
      </c>
      <c r="L13" s="20">
        <f t="shared" si="7"/>
        <v>15.296690061032795</v>
      </c>
      <c r="M13" s="20">
        <f t="shared" si="8"/>
        <v>13.974345093749998</v>
      </c>
      <c r="N13" s="20">
        <f t="shared" si="9"/>
        <v>41.375535154782789</v>
      </c>
      <c r="O13" s="20">
        <f t="shared" si="10"/>
        <v>1.532427227954918</v>
      </c>
    </row>
    <row r="14" spans="1:16" x14ac:dyDescent="0.25">
      <c r="A14">
        <v>30</v>
      </c>
      <c r="B14">
        <v>14</v>
      </c>
      <c r="C14">
        <v>0.5</v>
      </c>
      <c r="D14">
        <v>7.85E-2</v>
      </c>
      <c r="E14">
        <f t="shared" si="0"/>
        <v>30.657</v>
      </c>
      <c r="F14" s="20">
        <f t="shared" si="1"/>
        <v>2.5547499999999999</v>
      </c>
      <c r="G14" s="20">
        <f t="shared" si="2"/>
        <v>1.2773749999999999</v>
      </c>
      <c r="H14" s="20">
        <f t="shared" si="3"/>
        <v>78.656999999999996</v>
      </c>
      <c r="I14" s="20">
        <f t="shared" si="4"/>
        <v>6.5547499999999994</v>
      </c>
      <c r="J14" s="20">
        <f t="shared" si="5"/>
        <v>9.8321249999999996</v>
      </c>
      <c r="K14" s="20">
        <f t="shared" si="6"/>
        <v>3.2773749999999997</v>
      </c>
      <c r="L14" s="20">
        <f t="shared" si="7"/>
        <v>18.338887124389046</v>
      </c>
      <c r="M14" s="20">
        <f t="shared" si="8"/>
        <v>18.954371343749997</v>
      </c>
      <c r="N14" s="20">
        <f t="shared" si="9"/>
        <v>50.402758468139041</v>
      </c>
      <c r="O14" s="20">
        <f t="shared" si="10"/>
        <v>1.8667688321532978</v>
      </c>
    </row>
    <row r="15" spans="1:16" x14ac:dyDescent="0.25">
      <c r="A15">
        <v>36</v>
      </c>
      <c r="B15">
        <v>14</v>
      </c>
      <c r="C15">
        <v>0.5</v>
      </c>
      <c r="D15">
        <v>7.85E-2</v>
      </c>
      <c r="E15">
        <f t="shared" si="0"/>
        <v>36.656999999999996</v>
      </c>
      <c r="F15" s="20">
        <f t="shared" si="1"/>
        <v>3.0547499999999999</v>
      </c>
      <c r="G15" s="20">
        <f t="shared" si="2"/>
        <v>1.5273749999999999</v>
      </c>
      <c r="H15" s="20">
        <f t="shared" si="3"/>
        <v>84.656999999999996</v>
      </c>
      <c r="I15" s="20">
        <f t="shared" si="4"/>
        <v>7.0547499999999994</v>
      </c>
      <c r="J15" s="20">
        <f t="shared" si="5"/>
        <v>10.582125</v>
      </c>
      <c r="K15" s="20">
        <f t="shared" si="6"/>
        <v>3.5273749999999997</v>
      </c>
      <c r="L15" s="20">
        <f t="shared" si="7"/>
        <v>21.473518382097382</v>
      </c>
      <c r="M15" s="20">
        <f t="shared" si="8"/>
        <v>24.661496343750002</v>
      </c>
      <c r="N15" s="20">
        <f t="shared" si="9"/>
        <v>60.244514725847381</v>
      </c>
      <c r="O15" s="20">
        <f t="shared" si="10"/>
        <v>2.2312783231795326</v>
      </c>
    </row>
    <row r="16" spans="1:16" x14ac:dyDescent="0.25">
      <c r="A16">
        <v>42</v>
      </c>
      <c r="B16">
        <v>12</v>
      </c>
      <c r="C16">
        <v>0.5</v>
      </c>
      <c r="D16">
        <v>0.1084</v>
      </c>
      <c r="E16">
        <f t="shared" si="0"/>
        <v>42.716799999999999</v>
      </c>
      <c r="F16" s="20">
        <f t="shared" si="1"/>
        <v>3.5597333333333334</v>
      </c>
      <c r="G16" s="20">
        <f t="shared" si="2"/>
        <v>1.7798666666666667</v>
      </c>
      <c r="H16" s="20">
        <f t="shared" si="3"/>
        <v>90.716800000000006</v>
      </c>
      <c r="I16" s="20">
        <f t="shared" si="4"/>
        <v>7.5597333333333339</v>
      </c>
      <c r="J16" s="20">
        <f t="shared" si="5"/>
        <v>11.339600000000001</v>
      </c>
      <c r="K16" s="20">
        <f t="shared" si="6"/>
        <v>3.7798666666666669</v>
      </c>
      <c r="L16" s="20">
        <f t="shared" si="7"/>
        <v>24.74830219771674</v>
      </c>
      <c r="M16" s="20">
        <f t="shared" si="8"/>
        <v>31.186752106666674</v>
      </c>
      <c r="N16" s="20">
        <f t="shared" si="9"/>
        <v>71.054520971050081</v>
      </c>
      <c r="O16" s="20">
        <f t="shared" si="10"/>
        <v>2.6316489248537067</v>
      </c>
    </row>
    <row r="17" spans="1:15" x14ac:dyDescent="0.25">
      <c r="A17">
        <v>48</v>
      </c>
      <c r="B17">
        <v>12</v>
      </c>
      <c r="C17">
        <v>0.5</v>
      </c>
      <c r="D17">
        <v>0.1084</v>
      </c>
      <c r="E17">
        <f t="shared" si="0"/>
        <v>48.716799999999999</v>
      </c>
      <c r="F17" s="20">
        <f t="shared" si="1"/>
        <v>4.059733333333333</v>
      </c>
      <c r="G17" s="20">
        <f t="shared" si="2"/>
        <v>2.0298666666666665</v>
      </c>
      <c r="H17" s="20">
        <f t="shared" si="3"/>
        <v>96.716800000000006</v>
      </c>
      <c r="I17" s="20">
        <f t="shared" si="4"/>
        <v>8.0597333333333339</v>
      </c>
      <c r="J17" s="20">
        <f t="shared" si="5"/>
        <v>12.089600000000001</v>
      </c>
      <c r="K17" s="20">
        <f t="shared" si="6"/>
        <v>4.0298666666666669</v>
      </c>
      <c r="L17" s="20">
        <f t="shared" si="7"/>
        <v>28.098605391216736</v>
      </c>
      <c r="M17" s="20">
        <f t="shared" si="8"/>
        <v>38.401352106666657</v>
      </c>
      <c r="N17" s="20">
        <f t="shared" si="9"/>
        <v>82.619424164550054</v>
      </c>
      <c r="O17" s="20">
        <f t="shared" si="10"/>
        <v>3.0599786727611131</v>
      </c>
    </row>
    <row r="18" spans="1:15" x14ac:dyDescent="0.25">
      <c r="A18">
        <v>54</v>
      </c>
      <c r="B18">
        <v>12</v>
      </c>
      <c r="C18">
        <v>0.5</v>
      </c>
      <c r="D18">
        <v>0.1084</v>
      </c>
      <c r="E18">
        <f t="shared" si="0"/>
        <v>54.716799999999999</v>
      </c>
      <c r="F18" s="20">
        <f t="shared" si="1"/>
        <v>4.559733333333333</v>
      </c>
      <c r="G18" s="20">
        <f t="shared" si="2"/>
        <v>2.2798666666666665</v>
      </c>
      <c r="H18" s="20">
        <f t="shared" si="3"/>
        <v>102.71680000000001</v>
      </c>
      <c r="I18" s="20">
        <f t="shared" si="4"/>
        <v>8.5597333333333339</v>
      </c>
      <c r="J18" s="20">
        <f t="shared" si="5"/>
        <v>12.839600000000001</v>
      </c>
      <c r="K18" s="20">
        <f t="shared" si="6"/>
        <v>4.2798666666666669</v>
      </c>
      <c r="L18" s="20">
        <f t="shared" si="7"/>
        <v>31.556209834716736</v>
      </c>
      <c r="M18" s="20">
        <f t="shared" si="8"/>
        <v>46.365952106666661</v>
      </c>
      <c r="N18" s="20">
        <f t="shared" si="9"/>
        <v>95.041628608050075</v>
      </c>
      <c r="O18" s="20">
        <f t="shared" si="10"/>
        <v>3.5200603188166695</v>
      </c>
    </row>
    <row r="19" spans="1:15" x14ac:dyDescent="0.25">
      <c r="A19">
        <v>60</v>
      </c>
      <c r="B19">
        <v>10</v>
      </c>
      <c r="C19">
        <v>0.5</v>
      </c>
      <c r="D19">
        <v>0.13819999999999999</v>
      </c>
      <c r="E19">
        <f t="shared" si="0"/>
        <v>60.776400000000002</v>
      </c>
      <c r="F19" s="20">
        <f t="shared" si="1"/>
        <v>5.0647000000000002</v>
      </c>
      <c r="G19" s="20">
        <f t="shared" si="2"/>
        <v>2.5323500000000001</v>
      </c>
      <c r="H19" s="20">
        <f t="shared" si="3"/>
        <v>108.7764</v>
      </c>
      <c r="I19" s="20">
        <f t="shared" si="4"/>
        <v>9.0647000000000002</v>
      </c>
      <c r="J19" s="20">
        <f t="shared" si="5"/>
        <v>13.597049999999999</v>
      </c>
      <c r="K19" s="20">
        <f t="shared" si="6"/>
        <v>4.5323500000000001</v>
      </c>
      <c r="L19" s="20">
        <f t="shared" si="7"/>
        <v>35.157065148080619</v>
      </c>
      <c r="M19" s="20">
        <f t="shared" si="8"/>
        <v>55.170879135</v>
      </c>
      <c r="N19" s="20">
        <f t="shared" si="9"/>
        <v>108.45734428308063</v>
      </c>
      <c r="O19" s="20">
        <f t="shared" si="10"/>
        <v>4.0169386771511348</v>
      </c>
    </row>
    <row r="20" spans="1:15" x14ac:dyDescent="0.25">
      <c r="A20">
        <v>66</v>
      </c>
      <c r="B20">
        <v>10</v>
      </c>
      <c r="C20">
        <v>0.5</v>
      </c>
      <c r="D20">
        <v>0.13819999999999999</v>
      </c>
      <c r="E20">
        <f t="shared" si="0"/>
        <v>66.776399999999995</v>
      </c>
      <c r="F20" s="20">
        <f t="shared" si="1"/>
        <v>5.5646999999999993</v>
      </c>
      <c r="G20" s="20">
        <f t="shared" si="2"/>
        <v>2.7823499999999997</v>
      </c>
      <c r="H20" s="20">
        <f t="shared" si="3"/>
        <v>114.7764</v>
      </c>
      <c r="I20" s="20">
        <f t="shared" si="4"/>
        <v>9.5647000000000002</v>
      </c>
      <c r="J20" s="20">
        <f t="shared" si="5"/>
        <v>14.347049999999999</v>
      </c>
      <c r="K20" s="20">
        <f t="shared" si="6"/>
        <v>4.7823500000000001</v>
      </c>
      <c r="L20" s="20">
        <f t="shared" si="7"/>
        <v>38.830337950663946</v>
      </c>
      <c r="M20" s="20">
        <f t="shared" si="8"/>
        <v>64.642929134999989</v>
      </c>
      <c r="N20" s="20">
        <f t="shared" si="9"/>
        <v>122.60266708566394</v>
      </c>
      <c r="O20" s="20">
        <f t="shared" si="10"/>
        <v>4.5408395216912574</v>
      </c>
    </row>
    <row r="21" spans="1:15" x14ac:dyDescent="0.25">
      <c r="A21">
        <v>72</v>
      </c>
      <c r="B21">
        <v>10</v>
      </c>
      <c r="C21">
        <v>0.5</v>
      </c>
      <c r="D21">
        <v>0.13819999999999999</v>
      </c>
      <c r="E21">
        <f t="shared" si="0"/>
        <v>72.776399999999995</v>
      </c>
      <c r="F21" s="20">
        <f t="shared" si="1"/>
        <v>6.0646999999999993</v>
      </c>
      <c r="G21" s="20">
        <f t="shared" si="2"/>
        <v>3.0323499999999997</v>
      </c>
      <c r="H21" s="20">
        <f t="shared" si="3"/>
        <v>120.7764</v>
      </c>
      <c r="I21" s="20">
        <f t="shared" si="4"/>
        <v>10.0647</v>
      </c>
      <c r="J21" s="20">
        <f t="shared" si="5"/>
        <v>15.097049999999999</v>
      </c>
      <c r="K21" s="20">
        <f t="shared" si="6"/>
        <v>5.0323500000000001</v>
      </c>
      <c r="L21" s="20">
        <f t="shared" si="7"/>
        <v>42.610912003247279</v>
      </c>
      <c r="M21" s="20">
        <f t="shared" si="8"/>
        <v>74.864979134999984</v>
      </c>
      <c r="N21" s="20">
        <f t="shared" si="9"/>
        <v>137.60529113824725</v>
      </c>
      <c r="O21" s="20">
        <f t="shared" si="10"/>
        <v>5.0964922643795276</v>
      </c>
    </row>
    <row r="22" spans="1:15" x14ac:dyDescent="0.25">
      <c r="A22" s="200" t="s">
        <v>43</v>
      </c>
    </row>
  </sheetData>
  <mergeCells count="3">
    <mergeCell ref="H4:I4"/>
    <mergeCell ref="A2:C2"/>
    <mergeCell ref="A1:I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opLeftCell="E1" workbookViewId="0">
      <selection activeCell="M24" sqref="M24"/>
    </sheetView>
  </sheetViews>
  <sheetFormatPr defaultRowHeight="15" x14ac:dyDescent="0.25"/>
  <cols>
    <col min="1" max="1" width="15.85546875" customWidth="1"/>
    <col min="2" max="2" width="11.42578125" customWidth="1"/>
    <col min="3" max="3" width="14.140625" customWidth="1"/>
    <col min="4" max="4" width="18.85546875" customWidth="1"/>
    <col min="7" max="7" width="13.140625" customWidth="1"/>
    <col min="8" max="8" width="11.42578125" customWidth="1"/>
    <col min="9" max="9" width="17.85546875" customWidth="1"/>
    <col min="10" max="11" width="16.7109375" customWidth="1"/>
    <col min="12" max="12" width="15.42578125" customWidth="1"/>
    <col min="13" max="13" width="18.5703125" customWidth="1"/>
    <col min="14" max="14" width="18.85546875" customWidth="1"/>
    <col min="15" max="15" width="22.5703125" customWidth="1"/>
    <col min="16" max="16" width="37.85546875" customWidth="1"/>
  </cols>
  <sheetData>
    <row r="1" spans="1:16" ht="15.75" customHeight="1" x14ac:dyDescent="0.25">
      <c r="A1" s="227" t="s">
        <v>82</v>
      </c>
      <c r="B1" s="227"/>
      <c r="C1" s="227"/>
      <c r="D1" s="227"/>
      <c r="E1" s="227"/>
      <c r="F1" s="227"/>
      <c r="G1" s="227"/>
      <c r="H1" s="227"/>
      <c r="I1" s="1"/>
      <c r="J1" s="1"/>
      <c r="K1" s="1"/>
      <c r="L1" s="1"/>
      <c r="M1" s="1"/>
      <c r="N1" s="1"/>
      <c r="O1" s="1"/>
    </row>
    <row r="2" spans="1:16" ht="15.75" customHeight="1" x14ac:dyDescent="0.25">
      <c r="A2" s="224" t="s">
        <v>41</v>
      </c>
      <c r="B2" s="224"/>
      <c r="C2" s="224"/>
      <c r="D2" s="49">
        <v>1.5</v>
      </c>
      <c r="E2" s="48" t="s">
        <v>42</v>
      </c>
      <c r="F2" s="44"/>
      <c r="G2" s="1"/>
      <c r="H2" s="1"/>
      <c r="I2" s="1"/>
      <c r="J2" s="1"/>
      <c r="K2" s="1"/>
      <c r="L2" s="1"/>
      <c r="M2" s="1"/>
      <c r="N2" s="1"/>
      <c r="O2" s="1"/>
    </row>
    <row r="3" spans="1:16" ht="15.75" customHeight="1" thickBot="1" x14ac:dyDescent="0.3">
      <c r="A3" s="44"/>
      <c r="B3" s="44"/>
      <c r="C3" s="44"/>
      <c r="D3" s="44"/>
      <c r="E3" s="44"/>
      <c r="F3" s="44"/>
      <c r="G3" s="1"/>
      <c r="H3" s="1"/>
      <c r="I3" s="1"/>
      <c r="J3" s="1"/>
      <c r="K3" s="1"/>
      <c r="L3" s="1"/>
      <c r="M3" s="1"/>
      <c r="N3" s="1"/>
      <c r="O3" s="1"/>
    </row>
    <row r="4" spans="1:16" ht="45.75" thickBot="1" x14ac:dyDescent="0.3">
      <c r="A4" s="1"/>
      <c r="B4" s="1"/>
      <c r="C4" s="1"/>
      <c r="D4" s="1"/>
      <c r="E4" s="1"/>
      <c r="F4" s="1"/>
      <c r="G4" s="4"/>
      <c r="H4" s="222" t="s">
        <v>4</v>
      </c>
      <c r="I4" s="222"/>
      <c r="J4" s="14" t="s">
        <v>14</v>
      </c>
      <c r="K4" s="14" t="s">
        <v>15</v>
      </c>
      <c r="L4" s="25" t="s">
        <v>35</v>
      </c>
      <c r="M4" s="14" t="s">
        <v>40</v>
      </c>
      <c r="N4" s="4"/>
      <c r="O4" s="5"/>
    </row>
    <row r="5" spans="1:16" ht="68.25" customHeight="1" thickBot="1" x14ac:dyDescent="0.3">
      <c r="A5" s="6" t="s">
        <v>17</v>
      </c>
      <c r="B5" s="7" t="s">
        <v>23</v>
      </c>
      <c r="C5" s="9" t="s">
        <v>34</v>
      </c>
      <c r="D5" s="7" t="s">
        <v>9</v>
      </c>
      <c r="E5" s="7" t="s">
        <v>0</v>
      </c>
      <c r="F5" s="7" t="s">
        <v>1</v>
      </c>
      <c r="G5" s="7" t="s">
        <v>10</v>
      </c>
      <c r="H5" s="7" t="s">
        <v>2</v>
      </c>
      <c r="I5" s="7" t="s">
        <v>3</v>
      </c>
      <c r="J5" s="7" t="s">
        <v>5</v>
      </c>
      <c r="K5" s="7" t="s">
        <v>6</v>
      </c>
      <c r="L5" s="7" t="s">
        <v>44</v>
      </c>
      <c r="M5" s="7" t="s">
        <v>46</v>
      </c>
      <c r="N5" s="9" t="s">
        <v>91</v>
      </c>
      <c r="O5" s="10" t="s">
        <v>130</v>
      </c>
      <c r="P5" s="11" t="s">
        <v>19</v>
      </c>
    </row>
    <row r="6" spans="1:16" s="27" customFormat="1" x14ac:dyDescent="0.25">
      <c r="A6" s="27">
        <v>78</v>
      </c>
      <c r="B6" s="27">
        <v>14</v>
      </c>
      <c r="C6" s="27">
        <v>1</v>
      </c>
      <c r="D6" s="27">
        <v>7.85E-2</v>
      </c>
      <c r="E6" s="27">
        <f>A6+C6+2*D6</f>
        <v>79.156999999999996</v>
      </c>
      <c r="F6" s="28">
        <f t="shared" ref="F6:F13" si="0">E6/12</f>
        <v>6.5964166666666664</v>
      </c>
      <c r="G6" s="28">
        <f>F6/2</f>
        <v>3.2982083333333332</v>
      </c>
      <c r="H6" s="28">
        <f>E6+48</f>
        <v>127.157</v>
      </c>
      <c r="I6" s="28">
        <f>H6/12</f>
        <v>10.596416666666666</v>
      </c>
      <c r="J6" s="28">
        <f>1.5*I6</f>
        <v>15.894625</v>
      </c>
      <c r="K6" s="28">
        <f>0.5*I6</f>
        <v>5.2982083333333332</v>
      </c>
      <c r="L6" s="28">
        <f t="shared" ref="L6:L13" si="1">((I6*(F6+1))-(((3.14159*G6^2)+(3.14159*(G6-(C6/12))^2))/2))</f>
        <v>47.172580185187662</v>
      </c>
      <c r="M6" s="28">
        <f>((F6+1)*((F6+1)*D$2))</f>
        <v>86.558319260416667</v>
      </c>
      <c r="N6" s="28">
        <f>J6+K6+L6+M6</f>
        <v>154.92373277893768</v>
      </c>
      <c r="O6" s="28">
        <f>N6/27</f>
        <v>5.7379160288495434</v>
      </c>
    </row>
    <row r="7" spans="1:16" s="27" customFormat="1" x14ac:dyDescent="0.25">
      <c r="A7" s="27">
        <v>84</v>
      </c>
      <c r="B7" s="27">
        <v>12</v>
      </c>
      <c r="C7" s="27">
        <v>1</v>
      </c>
      <c r="D7" s="27">
        <v>0.1084</v>
      </c>
      <c r="E7" s="27">
        <f t="shared" ref="E7:E13" si="2">A7+C7+2*D7</f>
        <v>85.216800000000006</v>
      </c>
      <c r="F7" s="28">
        <f t="shared" si="0"/>
        <v>7.1014000000000008</v>
      </c>
      <c r="G7" s="28">
        <f t="shared" ref="G7:G13" si="3">F7/2</f>
        <v>3.5507000000000004</v>
      </c>
      <c r="H7" s="28">
        <f t="shared" ref="H7:H13" si="4">E7+48</f>
        <v>133.21680000000001</v>
      </c>
      <c r="I7" s="28">
        <f t="shared" ref="I7:I13" si="5">H7/12</f>
        <v>11.1014</v>
      </c>
      <c r="J7" s="28">
        <f t="shared" ref="J7:J13" si="6">1.5*I7</f>
        <v>16.652100000000001</v>
      </c>
      <c r="K7" s="28">
        <f t="shared" ref="K7:K13" si="7">0.5*I7</f>
        <v>5.5507</v>
      </c>
      <c r="L7" s="28">
        <f t="shared" si="1"/>
        <v>51.248040745793134</v>
      </c>
      <c r="M7" s="28">
        <f t="shared" ref="M7:M13" si="8">((F7+1)*((F7+1)*D$2))</f>
        <v>98.449022940000035</v>
      </c>
      <c r="N7" s="28">
        <f t="shared" ref="N7:N13" si="9">J7+K7+L7+M7</f>
        <v>171.89986368579315</v>
      </c>
      <c r="O7" s="28">
        <f t="shared" ref="O7:O13" si="10">N7/27</f>
        <v>6.3666616179923388</v>
      </c>
    </row>
    <row r="8" spans="1:16" s="27" customFormat="1" x14ac:dyDescent="0.25">
      <c r="A8" s="27">
        <v>90</v>
      </c>
      <c r="B8" s="27">
        <v>12</v>
      </c>
      <c r="C8" s="27">
        <v>1</v>
      </c>
      <c r="D8" s="27">
        <v>0.1084</v>
      </c>
      <c r="E8" s="27">
        <f t="shared" si="2"/>
        <v>91.216800000000006</v>
      </c>
      <c r="F8" s="28">
        <f t="shared" si="0"/>
        <v>7.6014000000000008</v>
      </c>
      <c r="G8" s="28">
        <f t="shared" si="3"/>
        <v>3.8007000000000004</v>
      </c>
      <c r="H8" s="28">
        <f t="shared" si="4"/>
        <v>139.21680000000001</v>
      </c>
      <c r="I8" s="28">
        <f t="shared" si="5"/>
        <v>11.6014</v>
      </c>
      <c r="J8" s="28">
        <f t="shared" si="6"/>
        <v>17.402100000000001</v>
      </c>
      <c r="K8" s="28">
        <f t="shared" si="7"/>
        <v>5.8007</v>
      </c>
      <c r="L8" s="28">
        <f t="shared" si="1"/>
        <v>55.391119355959802</v>
      </c>
      <c r="M8" s="28">
        <f t="shared" si="8"/>
        <v>110.97612294000004</v>
      </c>
      <c r="N8" s="28">
        <f t="shared" si="9"/>
        <v>189.57004229595984</v>
      </c>
      <c r="O8" s="28">
        <f t="shared" si="10"/>
        <v>7.0211126776281425</v>
      </c>
    </row>
    <row r="9" spans="1:16" s="27" customFormat="1" x14ac:dyDescent="0.25">
      <c r="A9" s="27">
        <v>96</v>
      </c>
      <c r="B9" s="27">
        <v>12</v>
      </c>
      <c r="C9" s="27">
        <v>1</v>
      </c>
      <c r="D9" s="27">
        <v>0.1084</v>
      </c>
      <c r="E9" s="27">
        <f t="shared" si="2"/>
        <v>97.216800000000006</v>
      </c>
      <c r="F9" s="28">
        <f t="shared" si="0"/>
        <v>8.1013999999999999</v>
      </c>
      <c r="G9" s="28">
        <f t="shared" si="3"/>
        <v>4.0507</v>
      </c>
      <c r="H9" s="28">
        <f t="shared" si="4"/>
        <v>145.21680000000001</v>
      </c>
      <c r="I9" s="28">
        <f t="shared" si="5"/>
        <v>12.1014</v>
      </c>
      <c r="J9" s="28">
        <f t="shared" si="6"/>
        <v>18.152100000000001</v>
      </c>
      <c r="K9" s="28">
        <f t="shared" si="7"/>
        <v>6.0507</v>
      </c>
      <c r="L9" s="28">
        <f t="shared" si="1"/>
        <v>59.641499216126462</v>
      </c>
      <c r="M9" s="28">
        <f t="shared" si="8"/>
        <v>124.25322294</v>
      </c>
      <c r="N9" s="28">
        <f t="shared" si="9"/>
        <v>208.09752215612644</v>
      </c>
      <c r="O9" s="28">
        <f t="shared" si="10"/>
        <v>7.7073156354120904</v>
      </c>
    </row>
    <row r="10" spans="1:16" s="27" customFormat="1" x14ac:dyDescent="0.25">
      <c r="A10" s="27">
        <v>102</v>
      </c>
      <c r="B10" s="27">
        <v>12</v>
      </c>
      <c r="C10" s="27">
        <v>1</v>
      </c>
      <c r="D10" s="27">
        <v>0.1084</v>
      </c>
      <c r="E10" s="27">
        <f t="shared" si="2"/>
        <v>103.21680000000001</v>
      </c>
      <c r="F10" s="28">
        <f t="shared" si="0"/>
        <v>8.6013999999999999</v>
      </c>
      <c r="G10" s="28">
        <f t="shared" si="3"/>
        <v>4.3007</v>
      </c>
      <c r="H10" s="28">
        <f t="shared" si="4"/>
        <v>151.21680000000001</v>
      </c>
      <c r="I10" s="28">
        <f t="shared" si="5"/>
        <v>12.6014</v>
      </c>
      <c r="J10" s="28">
        <f t="shared" si="6"/>
        <v>18.902100000000001</v>
      </c>
      <c r="K10" s="28">
        <f t="shared" si="7"/>
        <v>6.3007</v>
      </c>
      <c r="L10" s="28">
        <f t="shared" si="1"/>
        <v>63.999180326293128</v>
      </c>
      <c r="M10" s="28">
        <f t="shared" si="8"/>
        <v>138.28032294000002</v>
      </c>
      <c r="N10" s="28">
        <f t="shared" si="9"/>
        <v>227.48230326629314</v>
      </c>
      <c r="O10" s="28">
        <f t="shared" si="10"/>
        <v>8.4252704913441914</v>
      </c>
    </row>
    <row r="11" spans="1:16" s="27" customFormat="1" x14ac:dyDescent="0.25">
      <c r="A11" s="27">
        <v>108</v>
      </c>
      <c r="B11" s="27">
        <v>10</v>
      </c>
      <c r="C11" s="27">
        <v>1</v>
      </c>
      <c r="D11" s="27">
        <v>0.13819999999999999</v>
      </c>
      <c r="E11" s="27">
        <f t="shared" si="2"/>
        <v>109.2764</v>
      </c>
      <c r="F11" s="28">
        <f t="shared" si="0"/>
        <v>9.1063666666666663</v>
      </c>
      <c r="G11" s="28">
        <f t="shared" si="3"/>
        <v>4.5531833333333331</v>
      </c>
      <c r="H11" s="28">
        <f t="shared" si="4"/>
        <v>157.2764</v>
      </c>
      <c r="I11" s="28">
        <f t="shared" si="5"/>
        <v>13.106366666666666</v>
      </c>
      <c r="J11" s="28">
        <f t="shared" si="6"/>
        <v>19.659549999999999</v>
      </c>
      <c r="K11" s="28">
        <f t="shared" si="7"/>
        <v>6.5531833333333331</v>
      </c>
      <c r="L11" s="28">
        <f t="shared" si="1"/>
        <v>68.509053067879208</v>
      </c>
      <c r="M11" s="28">
        <f t="shared" si="8"/>
        <v>153.20797080166665</v>
      </c>
      <c r="N11" s="28">
        <f t="shared" si="9"/>
        <v>247.92975720287919</v>
      </c>
      <c r="O11" s="28">
        <f t="shared" si="10"/>
        <v>9.1825836001066374</v>
      </c>
    </row>
    <row r="12" spans="1:16" s="27" customFormat="1" x14ac:dyDescent="0.25">
      <c r="A12" s="27">
        <v>114</v>
      </c>
      <c r="B12" s="27">
        <v>8</v>
      </c>
      <c r="C12" s="27">
        <v>1</v>
      </c>
      <c r="D12" s="27">
        <v>0.1681</v>
      </c>
      <c r="E12" s="27">
        <f t="shared" si="2"/>
        <v>115.33620000000001</v>
      </c>
      <c r="F12" s="28">
        <f t="shared" si="0"/>
        <v>9.6113499999999998</v>
      </c>
      <c r="G12" s="28">
        <f t="shared" si="3"/>
        <v>4.8056749999999999</v>
      </c>
      <c r="H12" s="28">
        <f t="shared" si="4"/>
        <v>163.33620000000002</v>
      </c>
      <c r="I12" s="28">
        <f t="shared" si="5"/>
        <v>13.611350000000002</v>
      </c>
      <c r="J12" s="28">
        <f t="shared" si="6"/>
        <v>20.417025000000002</v>
      </c>
      <c r="K12" s="28">
        <f t="shared" si="7"/>
        <v>6.8056750000000008</v>
      </c>
      <c r="L12" s="28">
        <f t="shared" si="1"/>
        <v>73.1285236340903</v>
      </c>
      <c r="M12" s="28">
        <f t="shared" si="8"/>
        <v>168.90112323374998</v>
      </c>
      <c r="N12" s="28">
        <f t="shared" si="9"/>
        <v>269.25234686784029</v>
      </c>
      <c r="O12" s="28">
        <f t="shared" si="10"/>
        <v>9.9723091432533444</v>
      </c>
    </row>
    <row r="13" spans="1:16" s="27" customFormat="1" x14ac:dyDescent="0.25">
      <c r="A13" s="27">
        <v>120</v>
      </c>
      <c r="B13" s="27">
        <v>8</v>
      </c>
      <c r="C13" s="27">
        <v>1</v>
      </c>
      <c r="D13" s="27">
        <v>0.1681</v>
      </c>
      <c r="E13" s="27">
        <f t="shared" si="2"/>
        <v>121.33620000000001</v>
      </c>
      <c r="F13" s="28">
        <f t="shared" si="0"/>
        <v>10.11135</v>
      </c>
      <c r="G13" s="28">
        <f t="shared" si="3"/>
        <v>5.0556749999999999</v>
      </c>
      <c r="H13" s="28">
        <f t="shared" si="4"/>
        <v>169.33620000000002</v>
      </c>
      <c r="I13" s="28">
        <f t="shared" si="5"/>
        <v>14.111350000000002</v>
      </c>
      <c r="J13" s="28">
        <f t="shared" si="6"/>
        <v>21.167025000000002</v>
      </c>
      <c r="K13" s="28">
        <f t="shared" si="7"/>
        <v>7.0556750000000008</v>
      </c>
      <c r="L13" s="28">
        <f t="shared" si="1"/>
        <v>77.81024378913196</v>
      </c>
      <c r="M13" s="28">
        <f t="shared" si="8"/>
        <v>185.19314823374998</v>
      </c>
      <c r="N13" s="28">
        <f t="shared" si="9"/>
        <v>291.22609202288197</v>
      </c>
      <c r="O13" s="28">
        <f t="shared" si="10"/>
        <v>10.786151556403036</v>
      </c>
    </row>
    <row r="14" spans="1:16" x14ac:dyDescent="0.25"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spans="1:16" x14ac:dyDescent="0.25"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spans="1:16" x14ac:dyDescent="0.25"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6:15" x14ac:dyDescent="0.25"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spans="6:15" x14ac:dyDescent="0.25"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spans="6:15" x14ac:dyDescent="0.25">
      <c r="F19" s="20"/>
      <c r="G19" s="20"/>
      <c r="I19" s="20"/>
      <c r="J19" s="20"/>
      <c r="K19" s="20"/>
      <c r="L19" s="20"/>
      <c r="M19" s="20"/>
      <c r="N19" s="20"/>
      <c r="O19" s="20"/>
    </row>
    <row r="20" spans="6:15" x14ac:dyDescent="0.25">
      <c r="F20" s="20"/>
      <c r="G20" s="20"/>
      <c r="I20" s="20"/>
      <c r="J20" s="20"/>
      <c r="K20" s="20"/>
      <c r="L20" s="20"/>
      <c r="M20" s="20"/>
      <c r="N20" s="20"/>
      <c r="O20" s="20"/>
    </row>
    <row r="21" spans="6:15" x14ac:dyDescent="0.25">
      <c r="F21" s="20"/>
      <c r="G21" s="20"/>
      <c r="I21" s="20"/>
      <c r="J21" s="20"/>
      <c r="K21" s="20"/>
      <c r="L21" s="20"/>
      <c r="M21" s="20"/>
      <c r="N21" s="20"/>
      <c r="O21" s="20"/>
    </row>
  </sheetData>
  <mergeCells count="3">
    <mergeCell ref="H4:I4"/>
    <mergeCell ref="A2:C2"/>
    <mergeCell ref="A1:H1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opLeftCell="E1" workbookViewId="0">
      <selection activeCell="R5" sqref="R5"/>
    </sheetView>
  </sheetViews>
  <sheetFormatPr defaultRowHeight="15" x14ac:dyDescent="0.25"/>
  <cols>
    <col min="1" max="1" width="12.140625" customWidth="1"/>
    <col min="2" max="2" width="11" customWidth="1"/>
    <col min="3" max="3" width="12.42578125" customWidth="1"/>
    <col min="4" max="4" width="16.42578125" customWidth="1"/>
    <col min="5" max="5" width="14.42578125" customWidth="1"/>
    <col min="6" max="6" width="18.85546875" customWidth="1"/>
    <col min="11" max="11" width="11.85546875" customWidth="1"/>
    <col min="12" max="12" width="17.85546875" customWidth="1"/>
    <col min="13" max="14" width="16.7109375" customWidth="1"/>
    <col min="15" max="16" width="15.42578125" customWidth="1"/>
    <col min="17" max="17" width="18.85546875" customWidth="1"/>
    <col min="18" max="18" width="29.42578125" customWidth="1"/>
    <col min="19" max="19" width="37.85546875" customWidth="1"/>
  </cols>
  <sheetData>
    <row r="1" spans="1:19" ht="15.75" customHeight="1" x14ac:dyDescent="0.25">
      <c r="A1" s="225" t="s">
        <v>83</v>
      </c>
      <c r="B1" s="225"/>
      <c r="C1" s="225"/>
      <c r="D1" s="225"/>
      <c r="E1" s="225"/>
      <c r="F1" s="225"/>
      <c r="G1" s="225"/>
      <c r="H1" s="225"/>
      <c r="I1" s="31"/>
      <c r="J1" s="31"/>
      <c r="K1" s="1"/>
      <c r="L1" s="1"/>
      <c r="M1" s="1"/>
      <c r="N1" s="1"/>
      <c r="O1" s="1"/>
      <c r="P1" s="1"/>
      <c r="Q1" s="1"/>
      <c r="R1" s="1"/>
    </row>
    <row r="2" spans="1:19" ht="15.75" customHeight="1" x14ac:dyDescent="0.25">
      <c r="A2" s="224" t="s">
        <v>41</v>
      </c>
      <c r="B2" s="224"/>
      <c r="C2" s="224"/>
      <c r="D2" s="49">
        <v>1.5</v>
      </c>
      <c r="E2" s="48" t="s">
        <v>42</v>
      </c>
      <c r="F2" s="42"/>
      <c r="G2" s="42"/>
      <c r="H2" s="42"/>
      <c r="I2" s="42"/>
      <c r="J2" s="42"/>
      <c r="K2" s="1"/>
      <c r="L2" s="1"/>
      <c r="M2" s="1"/>
      <c r="N2" s="1"/>
      <c r="O2" s="1"/>
      <c r="P2" s="1"/>
      <c r="Q2" s="1"/>
      <c r="R2" s="1"/>
    </row>
    <row r="3" spans="1:19" ht="15.75" customHeight="1" thickBot="1" x14ac:dyDescent="0.3">
      <c r="A3" s="42"/>
      <c r="B3" s="42"/>
      <c r="C3" s="42"/>
      <c r="D3" s="42"/>
      <c r="E3" s="42"/>
      <c r="F3" s="42"/>
      <c r="G3" s="42"/>
      <c r="H3" s="42"/>
      <c r="I3" s="42"/>
      <c r="J3" s="42"/>
      <c r="K3" s="1"/>
      <c r="L3" s="1"/>
      <c r="M3" s="1"/>
      <c r="N3" s="1"/>
      <c r="O3" s="1"/>
      <c r="P3" s="1"/>
      <c r="Q3" s="1"/>
      <c r="R3" s="1"/>
    </row>
    <row r="4" spans="1:19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222" t="s">
        <v>4</v>
      </c>
      <c r="L4" s="222"/>
      <c r="M4" s="226" t="s">
        <v>11</v>
      </c>
      <c r="N4" s="226"/>
      <c r="O4" s="32" t="s">
        <v>12</v>
      </c>
      <c r="P4" s="43" t="s">
        <v>40</v>
      </c>
      <c r="Q4" s="4"/>
      <c r="R4" s="5"/>
    </row>
    <row r="5" spans="1:19" ht="58.5" customHeight="1" thickBot="1" x14ac:dyDescent="0.3">
      <c r="A5" s="12" t="s">
        <v>20</v>
      </c>
      <c r="B5" s="7" t="s">
        <v>22</v>
      </c>
      <c r="C5" s="7" t="s">
        <v>21</v>
      </c>
      <c r="D5" s="9" t="s">
        <v>36</v>
      </c>
      <c r="E5" s="7" t="s">
        <v>37</v>
      </c>
      <c r="F5" s="7" t="s">
        <v>9</v>
      </c>
      <c r="G5" s="7" t="s">
        <v>30</v>
      </c>
      <c r="H5" s="7" t="s">
        <v>31</v>
      </c>
      <c r="I5" s="36" t="s">
        <v>92</v>
      </c>
      <c r="J5" s="36" t="s">
        <v>93</v>
      </c>
      <c r="K5" s="7" t="s">
        <v>2</v>
      </c>
      <c r="L5" s="7" t="s">
        <v>3</v>
      </c>
      <c r="M5" s="7" t="s">
        <v>5</v>
      </c>
      <c r="N5" s="7" t="s">
        <v>6</v>
      </c>
      <c r="O5" s="36" t="s">
        <v>89</v>
      </c>
      <c r="P5" s="7" t="s">
        <v>88</v>
      </c>
      <c r="Q5" s="9" t="s">
        <v>91</v>
      </c>
      <c r="R5" s="174" t="s">
        <v>130</v>
      </c>
      <c r="S5" s="11" t="s">
        <v>19</v>
      </c>
    </row>
    <row r="6" spans="1:19" x14ac:dyDescent="0.25">
      <c r="A6" s="41">
        <v>15</v>
      </c>
      <c r="B6" s="22">
        <v>17</v>
      </c>
      <c r="C6" s="22">
        <v>13</v>
      </c>
      <c r="D6" s="37">
        <v>1.1000000000000001</v>
      </c>
      <c r="E6" s="34">
        <v>16</v>
      </c>
      <c r="F6" s="29">
        <v>6.3500000000000001E-2</v>
      </c>
      <c r="G6" s="41">
        <f>B6+(2*F6)</f>
        <v>17.126999999999999</v>
      </c>
      <c r="H6" s="23">
        <f>G6/12</f>
        <v>1.4272499999999999</v>
      </c>
      <c r="I6" s="30">
        <f>C6+2*F6</f>
        <v>13.127000000000001</v>
      </c>
      <c r="J6" s="30">
        <f>I6/12</f>
        <v>1.0939166666666666</v>
      </c>
      <c r="K6" s="23">
        <f>G6+48</f>
        <v>65.126999999999995</v>
      </c>
      <c r="L6" s="23">
        <f>K6/12</f>
        <v>5.4272499999999999</v>
      </c>
      <c r="M6" s="23">
        <f>L6*1.5</f>
        <v>8.1408749999999994</v>
      </c>
      <c r="N6" s="23">
        <f>L6*0.5</f>
        <v>2.713625</v>
      </c>
      <c r="O6" s="23">
        <f t="shared" ref="O6:O17" si="0">(L6*(J6+1))-D6</f>
        <v>10.264209229166667</v>
      </c>
      <c r="P6" s="23">
        <f>(J6+1)*((J6+1)*D$2)</f>
        <v>6.5767305104166676</v>
      </c>
      <c r="Q6" s="23">
        <f>M6+N6+O6+P6</f>
        <v>27.695439739583335</v>
      </c>
      <c r="R6" s="23">
        <f>Q6/27</f>
        <v>1.0257570273919754</v>
      </c>
    </row>
    <row r="7" spans="1:19" x14ac:dyDescent="0.25">
      <c r="A7" s="41">
        <v>18</v>
      </c>
      <c r="B7" s="22">
        <v>21</v>
      </c>
      <c r="C7" s="22">
        <v>15</v>
      </c>
      <c r="D7" s="37">
        <v>1.5</v>
      </c>
      <c r="E7" s="34">
        <v>16</v>
      </c>
      <c r="F7" s="29">
        <v>6.3500000000000001E-2</v>
      </c>
      <c r="G7" s="41">
        <f t="shared" ref="G7:G17" si="1">B7+(2*F7)</f>
        <v>21.126999999999999</v>
      </c>
      <c r="H7" s="23">
        <f t="shared" ref="H7:H17" si="2">G7/12</f>
        <v>1.7605833333333332</v>
      </c>
      <c r="I7" s="30">
        <f t="shared" ref="I7:I17" si="3">C7+2*F7</f>
        <v>15.127000000000001</v>
      </c>
      <c r="J7" s="30">
        <f t="shared" ref="J7:J17" si="4">I7/12</f>
        <v>1.2605833333333334</v>
      </c>
      <c r="K7" s="23">
        <f t="shared" ref="K7:K17" si="5">G7+48</f>
        <v>69.126999999999995</v>
      </c>
      <c r="L7" s="23">
        <f t="shared" ref="L7:L17" si="6">K7/12</f>
        <v>5.7605833333333329</v>
      </c>
      <c r="M7" s="23">
        <f>L7*1.5</f>
        <v>8.6408749999999994</v>
      </c>
      <c r="N7" s="23">
        <f t="shared" ref="N7:N17" si="7">L7*0.5</f>
        <v>2.8802916666666665</v>
      </c>
      <c r="O7" s="23">
        <f t="shared" si="0"/>
        <v>11.52227867361111</v>
      </c>
      <c r="P7" s="23">
        <f t="shared" ref="P7:P17" si="8">(J7+1)*((J7+1)*D$2)</f>
        <v>7.665355510416668</v>
      </c>
      <c r="Q7" s="23">
        <f t="shared" ref="Q7:Q17" si="9">M7+N7+O7+P7</f>
        <v>30.708800850694445</v>
      </c>
      <c r="R7" s="23">
        <f t="shared" ref="R7:R17" si="10">Q7/27</f>
        <v>1.1373629944701646</v>
      </c>
    </row>
    <row r="8" spans="1:19" x14ac:dyDescent="0.25">
      <c r="A8" s="41">
        <v>21</v>
      </c>
      <c r="B8" s="22">
        <v>24</v>
      </c>
      <c r="C8" s="33">
        <v>18</v>
      </c>
      <c r="D8" s="38">
        <v>2.2000000000000002</v>
      </c>
      <c r="E8" s="35">
        <v>16</v>
      </c>
      <c r="F8" s="29">
        <v>6.3500000000000001E-2</v>
      </c>
      <c r="G8" s="41">
        <f t="shared" si="1"/>
        <v>24.126999999999999</v>
      </c>
      <c r="H8" s="23">
        <f t="shared" si="2"/>
        <v>2.0105833333333334</v>
      </c>
      <c r="I8" s="30">
        <f t="shared" si="3"/>
        <v>18.126999999999999</v>
      </c>
      <c r="J8" s="30">
        <f t="shared" si="4"/>
        <v>1.5105833333333332</v>
      </c>
      <c r="K8" s="23">
        <f t="shared" si="5"/>
        <v>72.126999999999995</v>
      </c>
      <c r="L8" s="23">
        <f t="shared" si="6"/>
        <v>6.0105833333333329</v>
      </c>
      <c r="M8" s="23">
        <f t="shared" ref="M8:M17" si="11">L8*1.5</f>
        <v>9.0158749999999994</v>
      </c>
      <c r="N8" s="23">
        <f t="shared" si="7"/>
        <v>3.0052916666666665</v>
      </c>
      <c r="O8" s="23">
        <f t="shared" si="0"/>
        <v>12.890070340277774</v>
      </c>
      <c r="P8" s="23">
        <f t="shared" si="8"/>
        <v>9.4545430104166641</v>
      </c>
      <c r="Q8" s="23">
        <f t="shared" si="9"/>
        <v>34.365780017361104</v>
      </c>
      <c r="R8" s="23">
        <f t="shared" si="10"/>
        <v>1.2728066673096705</v>
      </c>
      <c r="S8" s="45"/>
    </row>
    <row r="9" spans="1:19" x14ac:dyDescent="0.25">
      <c r="A9" s="41">
        <v>24</v>
      </c>
      <c r="B9" s="22">
        <v>28</v>
      </c>
      <c r="C9" s="22">
        <v>20</v>
      </c>
      <c r="D9" s="37">
        <v>2.8</v>
      </c>
      <c r="E9" s="34">
        <v>16</v>
      </c>
      <c r="F9" s="29">
        <v>6.3500000000000001E-2</v>
      </c>
      <c r="G9" s="41">
        <f t="shared" si="1"/>
        <v>28.126999999999999</v>
      </c>
      <c r="H9" s="23">
        <f t="shared" si="2"/>
        <v>2.3439166666666664</v>
      </c>
      <c r="I9" s="30">
        <f t="shared" si="3"/>
        <v>20.126999999999999</v>
      </c>
      <c r="J9" s="30">
        <f t="shared" si="4"/>
        <v>1.6772499999999999</v>
      </c>
      <c r="K9" s="23">
        <f t="shared" si="5"/>
        <v>76.126999999999995</v>
      </c>
      <c r="L9" s="23">
        <f t="shared" si="6"/>
        <v>6.343916666666666</v>
      </c>
      <c r="M9" s="23">
        <f t="shared" si="11"/>
        <v>9.5158749999999994</v>
      </c>
      <c r="N9" s="23">
        <f t="shared" si="7"/>
        <v>3.171958333333333</v>
      </c>
      <c r="O9" s="23">
        <f t="shared" si="0"/>
        <v>14.18425089583333</v>
      </c>
      <c r="P9" s="23">
        <f t="shared" si="8"/>
        <v>10.751501343749998</v>
      </c>
      <c r="Q9" s="23">
        <f t="shared" si="9"/>
        <v>37.62358557291666</v>
      </c>
      <c r="R9" s="23">
        <f t="shared" si="10"/>
        <v>1.3934661323302466</v>
      </c>
      <c r="S9" s="45"/>
    </row>
    <row r="10" spans="1:19" x14ac:dyDescent="0.25">
      <c r="A10" s="57">
        <v>30</v>
      </c>
      <c r="B10" s="55">
        <v>35</v>
      </c>
      <c r="C10" s="55">
        <v>24</v>
      </c>
      <c r="D10" s="37">
        <v>4.4000000000000004</v>
      </c>
      <c r="E10" s="34">
        <v>14</v>
      </c>
      <c r="F10" s="29">
        <v>7.85E-2</v>
      </c>
      <c r="G10" s="41">
        <f t="shared" si="1"/>
        <v>35.156999999999996</v>
      </c>
      <c r="H10" s="23">
        <f t="shared" si="2"/>
        <v>2.9297499999999999</v>
      </c>
      <c r="I10" s="30">
        <f t="shared" si="3"/>
        <v>24.157</v>
      </c>
      <c r="J10" s="30">
        <f t="shared" si="4"/>
        <v>2.0130833333333333</v>
      </c>
      <c r="K10" s="23">
        <f t="shared" si="5"/>
        <v>83.156999999999996</v>
      </c>
      <c r="L10" s="23">
        <f t="shared" si="6"/>
        <v>6.9297499999999994</v>
      </c>
      <c r="M10" s="23">
        <f t="shared" si="11"/>
        <v>10.394625</v>
      </c>
      <c r="N10" s="23">
        <f t="shared" si="7"/>
        <v>3.4648749999999997</v>
      </c>
      <c r="O10" s="23">
        <f t="shared" si="0"/>
        <v>16.479914229166667</v>
      </c>
      <c r="P10" s="23">
        <f t="shared" si="8"/>
        <v>13.618006760416666</v>
      </c>
      <c r="Q10" s="23">
        <f t="shared" si="9"/>
        <v>43.957420989583326</v>
      </c>
      <c r="R10" s="23">
        <f t="shared" si="10"/>
        <v>1.6280526292438269</v>
      </c>
      <c r="S10" s="45"/>
    </row>
    <row r="11" spans="1:19" x14ac:dyDescent="0.25">
      <c r="A11" s="57">
        <v>36</v>
      </c>
      <c r="B11" s="55">
        <v>42</v>
      </c>
      <c r="C11" s="55">
        <v>29</v>
      </c>
      <c r="D11" s="39">
        <v>6.4</v>
      </c>
      <c r="E11" s="34">
        <v>14</v>
      </c>
      <c r="F11" s="29">
        <v>7.85E-2</v>
      </c>
      <c r="G11" s="41">
        <f t="shared" si="1"/>
        <v>42.156999999999996</v>
      </c>
      <c r="H11" s="23">
        <f t="shared" si="2"/>
        <v>3.5130833333333329</v>
      </c>
      <c r="I11" s="30">
        <f t="shared" si="3"/>
        <v>29.157</v>
      </c>
      <c r="J11" s="30">
        <f t="shared" si="4"/>
        <v>2.4297499999999999</v>
      </c>
      <c r="K11" s="23">
        <f t="shared" si="5"/>
        <v>90.156999999999996</v>
      </c>
      <c r="L11" s="23">
        <f t="shared" si="6"/>
        <v>7.5130833333333333</v>
      </c>
      <c r="M11" s="23">
        <f t="shared" si="11"/>
        <v>11.269625</v>
      </c>
      <c r="N11" s="23">
        <f t="shared" si="7"/>
        <v>3.7565416666666667</v>
      </c>
      <c r="O11" s="23">
        <f t="shared" si="0"/>
        <v>19.367997562500001</v>
      </c>
      <c r="P11" s="23">
        <f t="shared" si="8"/>
        <v>17.644777593749996</v>
      </c>
      <c r="Q11" s="23">
        <f t="shared" si="9"/>
        <v>52.038941822916669</v>
      </c>
      <c r="R11" s="23">
        <f t="shared" si="10"/>
        <v>1.9273682156635803</v>
      </c>
      <c r="S11" s="45"/>
    </row>
    <row r="12" spans="1:19" x14ac:dyDescent="0.25">
      <c r="A12" s="57">
        <v>42</v>
      </c>
      <c r="B12" s="55">
        <v>49</v>
      </c>
      <c r="C12" s="55">
        <v>33</v>
      </c>
      <c r="D12" s="39">
        <v>8.6999999999999993</v>
      </c>
      <c r="E12" s="34">
        <v>12</v>
      </c>
      <c r="F12" s="29">
        <v>0.1084</v>
      </c>
      <c r="G12" s="41">
        <f t="shared" si="1"/>
        <v>49.216799999999999</v>
      </c>
      <c r="H12" s="23">
        <f t="shared" si="2"/>
        <v>4.1013999999999999</v>
      </c>
      <c r="I12" s="30">
        <f t="shared" si="3"/>
        <v>33.216799999999999</v>
      </c>
      <c r="J12" s="30">
        <f t="shared" si="4"/>
        <v>2.7680666666666665</v>
      </c>
      <c r="K12" s="23">
        <f t="shared" si="5"/>
        <v>97.216800000000006</v>
      </c>
      <c r="L12" s="23">
        <f t="shared" si="6"/>
        <v>8.1013999999999999</v>
      </c>
      <c r="M12" s="23">
        <f t="shared" si="11"/>
        <v>12.152100000000001</v>
      </c>
      <c r="N12" s="23">
        <f t="shared" si="7"/>
        <v>4.0507</v>
      </c>
      <c r="O12" s="23">
        <f t="shared" si="0"/>
        <v>21.826615293333333</v>
      </c>
      <c r="P12" s="23">
        <f t="shared" si="8"/>
        <v>21.297489606666666</v>
      </c>
      <c r="Q12" s="23">
        <f t="shared" si="9"/>
        <v>59.326904899999995</v>
      </c>
      <c r="R12" s="23">
        <f t="shared" si="10"/>
        <v>2.1972927740740738</v>
      </c>
      <c r="S12" s="45"/>
    </row>
    <row r="13" spans="1:19" x14ac:dyDescent="0.25">
      <c r="A13" s="57">
        <v>48</v>
      </c>
      <c r="B13" s="55">
        <v>57</v>
      </c>
      <c r="C13" s="55">
        <v>38</v>
      </c>
      <c r="D13" s="39">
        <v>11.4</v>
      </c>
      <c r="E13" s="34">
        <v>12</v>
      </c>
      <c r="F13" s="29">
        <v>0.1084</v>
      </c>
      <c r="G13" s="41">
        <f t="shared" si="1"/>
        <v>57.216799999999999</v>
      </c>
      <c r="H13" s="23">
        <f t="shared" si="2"/>
        <v>4.7680666666666669</v>
      </c>
      <c r="I13" s="30">
        <f t="shared" si="3"/>
        <v>38.216799999999999</v>
      </c>
      <c r="J13" s="30">
        <f t="shared" si="4"/>
        <v>3.1847333333333334</v>
      </c>
      <c r="K13" s="23">
        <f t="shared" si="5"/>
        <v>105.21680000000001</v>
      </c>
      <c r="L13" s="23">
        <f t="shared" si="6"/>
        <v>8.7680666666666678</v>
      </c>
      <c r="M13" s="23">
        <f t="shared" si="11"/>
        <v>13.152100000000001</v>
      </c>
      <c r="N13" s="23">
        <f t="shared" si="7"/>
        <v>4.3840333333333339</v>
      </c>
      <c r="O13" s="23">
        <f t="shared" si="0"/>
        <v>25.292020848888903</v>
      </c>
      <c r="P13" s="23">
        <f t="shared" si="8"/>
        <v>26.267989606666674</v>
      </c>
      <c r="Q13" s="23">
        <f t="shared" si="9"/>
        <v>69.096143788888909</v>
      </c>
      <c r="R13" s="23">
        <f t="shared" si="10"/>
        <v>2.5591164366255152</v>
      </c>
      <c r="S13" s="45"/>
    </row>
    <row r="14" spans="1:19" x14ac:dyDescent="0.25">
      <c r="A14" s="57">
        <v>54</v>
      </c>
      <c r="B14" s="55">
        <v>64</v>
      </c>
      <c r="C14" s="55">
        <v>43</v>
      </c>
      <c r="D14" s="39">
        <v>14.3</v>
      </c>
      <c r="E14" s="34">
        <v>12</v>
      </c>
      <c r="F14" s="29">
        <v>0.1084</v>
      </c>
      <c r="G14" s="41">
        <f t="shared" si="1"/>
        <v>64.216800000000006</v>
      </c>
      <c r="H14" s="23">
        <f t="shared" si="2"/>
        <v>5.3514000000000008</v>
      </c>
      <c r="I14" s="30">
        <f t="shared" si="3"/>
        <v>43.216799999999999</v>
      </c>
      <c r="J14" s="30">
        <f t="shared" si="4"/>
        <v>3.6013999999999999</v>
      </c>
      <c r="K14" s="23">
        <f t="shared" si="5"/>
        <v>112.21680000000001</v>
      </c>
      <c r="L14" s="23">
        <f t="shared" si="6"/>
        <v>9.3513999999999999</v>
      </c>
      <c r="M14" s="23">
        <f t="shared" si="11"/>
        <v>14.027100000000001</v>
      </c>
      <c r="N14" s="23">
        <f t="shared" si="7"/>
        <v>4.6757</v>
      </c>
      <c r="O14" s="23">
        <f t="shared" si="0"/>
        <v>28.729531959999999</v>
      </c>
      <c r="P14" s="23">
        <f t="shared" si="8"/>
        <v>31.759322940000001</v>
      </c>
      <c r="Q14" s="23">
        <f t="shared" si="9"/>
        <v>79.191654900000003</v>
      </c>
      <c r="R14" s="23">
        <f t="shared" si="10"/>
        <v>2.9330242555555555</v>
      </c>
      <c r="S14" s="45"/>
    </row>
    <row r="15" spans="1:19" x14ac:dyDescent="0.25">
      <c r="A15" s="57">
        <v>60</v>
      </c>
      <c r="B15" s="55">
        <v>71</v>
      </c>
      <c r="C15" s="55">
        <v>47</v>
      </c>
      <c r="D15" s="39">
        <v>17.600000000000001</v>
      </c>
      <c r="E15" s="34">
        <v>10</v>
      </c>
      <c r="F15" s="29">
        <v>0.13819999999999999</v>
      </c>
      <c r="G15" s="41">
        <f t="shared" si="1"/>
        <v>71.276399999999995</v>
      </c>
      <c r="H15" s="23">
        <f t="shared" si="2"/>
        <v>5.9396999999999993</v>
      </c>
      <c r="I15" s="30">
        <f t="shared" si="3"/>
        <v>47.276400000000002</v>
      </c>
      <c r="J15" s="30">
        <f t="shared" si="4"/>
        <v>3.9397000000000002</v>
      </c>
      <c r="K15" s="23">
        <f t="shared" si="5"/>
        <v>119.2764</v>
      </c>
      <c r="L15" s="23">
        <f t="shared" si="6"/>
        <v>9.9397000000000002</v>
      </c>
      <c r="M15" s="23">
        <f t="shared" si="11"/>
        <v>14.909549999999999</v>
      </c>
      <c r="N15" s="23">
        <f t="shared" si="7"/>
        <v>4.9698500000000001</v>
      </c>
      <c r="O15" s="23">
        <f t="shared" si="0"/>
        <v>31.49913609</v>
      </c>
      <c r="P15" s="23">
        <f t="shared" si="8"/>
        <v>36.600954135000002</v>
      </c>
      <c r="Q15" s="23">
        <f t="shared" si="9"/>
        <v>87.979490225000006</v>
      </c>
      <c r="R15" s="23">
        <f t="shared" si="10"/>
        <v>3.2584996379629634</v>
      </c>
      <c r="S15" s="45"/>
    </row>
    <row r="16" spans="1:19" x14ac:dyDescent="0.25">
      <c r="A16" s="41">
        <v>66</v>
      </c>
      <c r="B16" s="22">
        <v>77</v>
      </c>
      <c r="C16" s="22">
        <v>52</v>
      </c>
      <c r="D16" s="39">
        <v>21.3</v>
      </c>
      <c r="E16" s="34">
        <v>8</v>
      </c>
      <c r="F16" s="41">
        <v>0.1681</v>
      </c>
      <c r="G16" s="41">
        <f t="shared" si="1"/>
        <v>77.336200000000005</v>
      </c>
      <c r="H16" s="23">
        <f t="shared" si="2"/>
        <v>6.4446833333333338</v>
      </c>
      <c r="I16" s="30">
        <f t="shared" si="3"/>
        <v>52.336199999999998</v>
      </c>
      <c r="J16" s="30">
        <f t="shared" si="4"/>
        <v>4.3613499999999998</v>
      </c>
      <c r="K16" s="23">
        <f t="shared" si="5"/>
        <v>125.33620000000001</v>
      </c>
      <c r="L16" s="23">
        <f t="shared" si="6"/>
        <v>10.444683333333334</v>
      </c>
      <c r="M16" s="23">
        <f t="shared" si="11"/>
        <v>15.667025000000001</v>
      </c>
      <c r="N16" s="23">
        <f t="shared" si="7"/>
        <v>5.2223416666666669</v>
      </c>
      <c r="O16" s="23">
        <f t="shared" si="0"/>
        <v>34.697602989166668</v>
      </c>
      <c r="P16" s="23">
        <f t="shared" si="8"/>
        <v>43.116110733749991</v>
      </c>
      <c r="Q16" s="23">
        <f t="shared" si="9"/>
        <v>98.703080389583334</v>
      </c>
      <c r="R16" s="23">
        <f t="shared" si="10"/>
        <v>3.655669644058642</v>
      </c>
      <c r="S16" s="45"/>
    </row>
    <row r="17" spans="1:19" x14ac:dyDescent="0.25">
      <c r="A17" s="41">
        <v>72</v>
      </c>
      <c r="B17" s="22">
        <v>83</v>
      </c>
      <c r="C17" s="22">
        <v>57</v>
      </c>
      <c r="D17" s="39">
        <v>25.3</v>
      </c>
      <c r="E17" s="34">
        <v>8</v>
      </c>
      <c r="F17" s="41">
        <v>0.1681</v>
      </c>
      <c r="G17" s="41">
        <f t="shared" si="1"/>
        <v>83.336200000000005</v>
      </c>
      <c r="H17" s="23">
        <f t="shared" si="2"/>
        <v>6.9446833333333338</v>
      </c>
      <c r="I17" s="30">
        <f t="shared" si="3"/>
        <v>57.336199999999998</v>
      </c>
      <c r="J17" s="30">
        <f t="shared" si="4"/>
        <v>4.7780166666666668</v>
      </c>
      <c r="K17" s="23">
        <f t="shared" si="5"/>
        <v>131.33620000000002</v>
      </c>
      <c r="L17" s="23">
        <f t="shared" si="6"/>
        <v>10.944683333333336</v>
      </c>
      <c r="M17" s="23">
        <f t="shared" si="11"/>
        <v>16.417025000000002</v>
      </c>
      <c r="N17" s="23">
        <f t="shared" si="7"/>
        <v>5.4723416666666678</v>
      </c>
      <c r="O17" s="23">
        <f t="shared" si="0"/>
        <v>37.938562711388897</v>
      </c>
      <c r="P17" s="23">
        <f t="shared" si="8"/>
        <v>50.078214900416668</v>
      </c>
      <c r="Q17" s="23">
        <f t="shared" si="9"/>
        <v>109.90614427847224</v>
      </c>
      <c r="R17" s="23">
        <f t="shared" si="10"/>
        <v>4.0705979362397127</v>
      </c>
      <c r="S17" s="45"/>
    </row>
    <row r="18" spans="1:19" x14ac:dyDescent="0.25">
      <c r="A18" s="21"/>
      <c r="B18" s="22"/>
      <c r="C18" s="22"/>
      <c r="D18" s="37"/>
      <c r="E18" s="22"/>
      <c r="H18" s="20"/>
      <c r="I18" s="28"/>
      <c r="J18" s="20"/>
      <c r="K18" s="20"/>
      <c r="L18" s="20"/>
      <c r="M18" s="20"/>
      <c r="N18" s="20"/>
      <c r="O18" s="20"/>
      <c r="P18" s="20"/>
      <c r="Q18" s="20"/>
      <c r="R18" s="23"/>
      <c r="S18" s="45"/>
    </row>
    <row r="19" spans="1:19" x14ac:dyDescent="0.2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0"/>
      <c r="L19" s="20"/>
      <c r="M19" s="20"/>
      <c r="N19" s="20"/>
      <c r="O19" s="20"/>
      <c r="P19" s="20"/>
      <c r="Q19" s="20"/>
      <c r="R19" s="23"/>
    </row>
    <row r="20" spans="1:19" x14ac:dyDescent="0.2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0"/>
      <c r="L20" s="20"/>
      <c r="M20" s="20"/>
      <c r="N20" s="20"/>
      <c r="O20" s="20"/>
      <c r="P20" s="20"/>
      <c r="Q20" s="20"/>
      <c r="R20" s="23"/>
    </row>
    <row r="21" spans="1:19" x14ac:dyDescent="0.25">
      <c r="A21" s="26"/>
      <c r="B21" s="26"/>
      <c r="C21" s="26"/>
      <c r="D21" s="26"/>
      <c r="E21" s="26"/>
      <c r="F21" s="26"/>
      <c r="G21" s="26"/>
      <c r="H21" s="26"/>
      <c r="I21" s="26"/>
      <c r="J21" s="26"/>
    </row>
    <row r="22" spans="1:19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</row>
    <row r="23" spans="1:19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9" x14ac:dyDescent="0.25">
      <c r="B24" s="228"/>
      <c r="C24" s="228"/>
      <c r="D24" s="228"/>
      <c r="E24" s="228"/>
      <c r="F24" s="228"/>
      <c r="G24" s="228"/>
      <c r="H24" s="228"/>
      <c r="I24" s="228"/>
      <c r="J24" s="228"/>
    </row>
    <row r="25" spans="1:19" x14ac:dyDescent="0.25">
      <c r="B25" s="228"/>
      <c r="C25" s="228"/>
      <c r="D25" s="228"/>
      <c r="E25" s="228"/>
      <c r="F25" s="228"/>
      <c r="G25" s="228"/>
      <c r="H25" s="228"/>
      <c r="I25" s="228"/>
      <c r="J25" s="228"/>
    </row>
    <row r="26" spans="1:19" x14ac:dyDescent="0.25">
      <c r="B26" s="29"/>
      <c r="C26" s="29"/>
    </row>
    <row r="27" spans="1:19" x14ac:dyDescent="0.25">
      <c r="B27" s="29"/>
      <c r="C27" s="29"/>
    </row>
    <row r="28" spans="1:19" x14ac:dyDescent="0.25">
      <c r="B28" s="29"/>
      <c r="C28" s="29"/>
    </row>
    <row r="37" spans="2:4" x14ac:dyDescent="0.25">
      <c r="B37" s="29"/>
      <c r="C37" s="29"/>
      <c r="D37" s="29"/>
    </row>
  </sheetData>
  <mergeCells count="6">
    <mergeCell ref="A1:H1"/>
    <mergeCell ref="K4:L4"/>
    <mergeCell ref="B24:J24"/>
    <mergeCell ref="B25:J25"/>
    <mergeCell ref="M4:N4"/>
    <mergeCell ref="A2:C2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opLeftCell="C1" workbookViewId="0">
      <selection activeCell="N25" sqref="N25"/>
    </sheetView>
  </sheetViews>
  <sheetFormatPr defaultRowHeight="15" x14ac:dyDescent="0.25"/>
  <cols>
    <col min="1" max="1" width="13.42578125" customWidth="1"/>
    <col min="2" max="2" width="11.28515625" customWidth="1"/>
    <col min="3" max="3" width="10.5703125" customWidth="1"/>
    <col min="4" max="4" width="16.42578125" customWidth="1"/>
    <col min="5" max="5" width="14.42578125" customWidth="1"/>
    <col min="6" max="6" width="18.85546875" customWidth="1"/>
    <col min="11" max="11" width="11.85546875" customWidth="1"/>
    <col min="12" max="12" width="17.85546875" customWidth="1"/>
    <col min="13" max="14" width="16.7109375" customWidth="1"/>
    <col min="15" max="16" width="15.42578125" customWidth="1"/>
    <col min="17" max="17" width="18.85546875" customWidth="1"/>
    <col min="18" max="18" width="29.42578125" customWidth="1"/>
    <col min="19" max="19" width="37.85546875" customWidth="1"/>
  </cols>
  <sheetData>
    <row r="1" spans="1:19" ht="15.75" customHeight="1" x14ac:dyDescent="0.25">
      <c r="A1" s="225" t="s">
        <v>84</v>
      </c>
      <c r="B1" s="225"/>
      <c r="C1" s="225"/>
      <c r="D1" s="225"/>
      <c r="E1" s="225"/>
      <c r="F1" s="225"/>
      <c r="G1" s="225"/>
      <c r="H1" s="225"/>
      <c r="I1" s="31"/>
      <c r="J1" s="31"/>
      <c r="K1" s="1"/>
      <c r="L1" s="1"/>
      <c r="M1" s="1"/>
      <c r="N1" s="1"/>
      <c r="O1" s="1"/>
      <c r="P1" s="1"/>
      <c r="Q1" s="1"/>
      <c r="R1" s="1"/>
    </row>
    <row r="2" spans="1:19" ht="15.75" customHeight="1" x14ac:dyDescent="0.25">
      <c r="A2" s="224" t="s">
        <v>41</v>
      </c>
      <c r="B2" s="224"/>
      <c r="C2" s="224"/>
      <c r="D2" s="49">
        <v>1.5</v>
      </c>
      <c r="E2" s="48" t="s">
        <v>42</v>
      </c>
      <c r="F2" s="42"/>
      <c r="G2" s="42"/>
      <c r="H2" s="42"/>
      <c r="I2" s="42"/>
      <c r="J2" s="42"/>
      <c r="K2" s="1"/>
      <c r="L2" s="1"/>
      <c r="M2" s="1"/>
      <c r="N2" s="1"/>
      <c r="O2" s="1"/>
      <c r="P2" s="1"/>
      <c r="Q2" s="1"/>
      <c r="R2" s="1"/>
    </row>
    <row r="3" spans="1:19" ht="15.75" customHeight="1" thickBot="1" x14ac:dyDescent="0.3">
      <c r="A3" s="42"/>
      <c r="B3" s="42"/>
      <c r="C3" s="42"/>
      <c r="D3" s="42"/>
      <c r="E3" s="42"/>
      <c r="F3" s="42"/>
      <c r="G3" s="42"/>
      <c r="H3" s="42"/>
      <c r="I3" s="42"/>
      <c r="J3" s="42"/>
      <c r="K3" s="1"/>
      <c r="L3" s="1"/>
      <c r="M3" s="1"/>
      <c r="N3" s="1"/>
      <c r="O3" s="1"/>
      <c r="P3" s="1"/>
      <c r="Q3" s="1"/>
      <c r="R3" s="1"/>
    </row>
    <row r="4" spans="1:19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222" t="s">
        <v>4</v>
      </c>
      <c r="L4" s="222"/>
      <c r="M4" s="32" t="s">
        <v>11</v>
      </c>
      <c r="N4" s="32"/>
      <c r="O4" s="32" t="s">
        <v>12</v>
      </c>
      <c r="P4" s="43" t="s">
        <v>40</v>
      </c>
      <c r="Q4" s="4"/>
      <c r="R4" s="5"/>
    </row>
    <row r="5" spans="1:19" ht="58.5" customHeight="1" thickBot="1" x14ac:dyDescent="0.3">
      <c r="A5" s="12" t="s">
        <v>20</v>
      </c>
      <c r="B5" s="7" t="s">
        <v>22</v>
      </c>
      <c r="C5" s="7" t="s">
        <v>21</v>
      </c>
      <c r="D5" s="9" t="s">
        <v>36</v>
      </c>
      <c r="E5" s="7" t="s">
        <v>37</v>
      </c>
      <c r="F5" s="7" t="s">
        <v>9</v>
      </c>
      <c r="G5" s="7" t="s">
        <v>30</v>
      </c>
      <c r="H5" s="7" t="s">
        <v>31</v>
      </c>
      <c r="I5" s="36" t="s">
        <v>92</v>
      </c>
      <c r="J5" s="36" t="s">
        <v>93</v>
      </c>
      <c r="K5" s="7" t="s">
        <v>2</v>
      </c>
      <c r="L5" s="7" t="s">
        <v>3</v>
      </c>
      <c r="M5" s="7" t="s">
        <v>5</v>
      </c>
      <c r="N5" s="7" t="s">
        <v>6</v>
      </c>
      <c r="O5" s="36" t="s">
        <v>89</v>
      </c>
      <c r="P5" s="7" t="s">
        <v>88</v>
      </c>
      <c r="Q5" s="9" t="s">
        <v>91</v>
      </c>
      <c r="R5" s="174" t="s">
        <v>130</v>
      </c>
      <c r="S5" s="11" t="s">
        <v>19</v>
      </c>
    </row>
    <row r="6" spans="1:19" hidden="1" x14ac:dyDescent="0.25">
      <c r="A6" s="54">
        <v>36</v>
      </c>
      <c r="B6" s="56">
        <v>40</v>
      </c>
      <c r="C6" s="22">
        <v>31</v>
      </c>
      <c r="D6" s="37">
        <v>7</v>
      </c>
      <c r="E6" s="29">
        <v>14</v>
      </c>
      <c r="F6" s="29">
        <v>7.85E-2</v>
      </c>
      <c r="G6" s="41">
        <f>B6+(2*F6)</f>
        <v>40.156999999999996</v>
      </c>
      <c r="H6" s="23">
        <f>G6/12</f>
        <v>3.3464166666666664</v>
      </c>
      <c r="I6" s="30">
        <f>C6+2*F6</f>
        <v>31.157</v>
      </c>
      <c r="J6" s="30">
        <f>I6/12</f>
        <v>2.5964166666666668</v>
      </c>
      <c r="K6" s="23">
        <f>G6+24</f>
        <v>64.156999999999996</v>
      </c>
      <c r="L6" s="23">
        <f>K6/12</f>
        <v>5.3464166666666664</v>
      </c>
      <c r="M6" s="23">
        <f>L6*1.5</f>
        <v>8.0196249999999996</v>
      </c>
      <c r="N6" s="23">
        <f>L6*0.5</f>
        <v>2.6732083333333332</v>
      </c>
      <c r="O6" s="23">
        <f t="shared" ref="O6:O17" si="0">(L6*(J6+1))-D6</f>
        <v>12.227942006944446</v>
      </c>
      <c r="P6" s="23">
        <f>(J6+1)*((J6+1)*D$2)</f>
        <v>19.40131926041667</v>
      </c>
      <c r="Q6" s="23">
        <f>M6+N6+O6+P6</f>
        <v>42.322094600694449</v>
      </c>
      <c r="R6" s="23">
        <f>Q6/27</f>
        <v>1.5674849852109054</v>
      </c>
    </row>
    <row r="7" spans="1:19" hidden="1" x14ac:dyDescent="0.25">
      <c r="A7" s="41">
        <v>42</v>
      </c>
      <c r="B7" s="22">
        <v>46</v>
      </c>
      <c r="C7" s="22">
        <v>36</v>
      </c>
      <c r="D7" s="37">
        <v>9.4</v>
      </c>
      <c r="E7" s="29">
        <v>14</v>
      </c>
      <c r="F7" s="29">
        <v>7.85E-2</v>
      </c>
      <c r="G7" s="41">
        <f t="shared" ref="G7:G20" si="1">B7+(2*F7)</f>
        <v>46.156999999999996</v>
      </c>
      <c r="H7" s="23">
        <f t="shared" ref="H7:H20" si="2">G7/12</f>
        <v>3.8464166666666664</v>
      </c>
      <c r="I7" s="30">
        <f t="shared" ref="I7:I20" si="3">C7+2*F7</f>
        <v>36.156999999999996</v>
      </c>
      <c r="J7" s="30">
        <f t="shared" ref="J7:J20" si="4">I7/12</f>
        <v>3.0130833333333329</v>
      </c>
      <c r="K7" s="23">
        <f>1.5*G7</f>
        <v>69.235500000000002</v>
      </c>
      <c r="L7" s="23">
        <f t="shared" ref="L7:L20" si="5">K7/12</f>
        <v>5.7696250000000004</v>
      </c>
      <c r="M7" s="23">
        <f>L7*1.5</f>
        <v>8.6544375000000002</v>
      </c>
      <c r="N7" s="23">
        <f t="shared" ref="N7:N20" si="6">L7*0.5</f>
        <v>2.8848125000000002</v>
      </c>
      <c r="O7" s="23">
        <f t="shared" si="0"/>
        <v>13.753985927083329</v>
      </c>
      <c r="P7" s="23">
        <f t="shared" ref="P7:P20" si="7">(J7+1)*((J7+1)*D$2)</f>
        <v>24.157256760416654</v>
      </c>
      <c r="Q7" s="23">
        <f t="shared" ref="Q7:Q20" si="8">M7+N7+O7+P7</f>
        <v>49.450492687499988</v>
      </c>
      <c r="R7" s="23">
        <f t="shared" ref="R7:R20" si="9">Q7/27</f>
        <v>1.8314997291666661</v>
      </c>
    </row>
    <row r="8" spans="1:19" hidden="1" x14ac:dyDescent="0.25">
      <c r="A8" s="41">
        <v>48</v>
      </c>
      <c r="B8" s="55">
        <v>53</v>
      </c>
      <c r="C8" s="33">
        <v>41</v>
      </c>
      <c r="D8" s="38">
        <v>12.3</v>
      </c>
      <c r="E8" s="29">
        <v>14</v>
      </c>
      <c r="F8" s="29">
        <v>7.85E-2</v>
      </c>
      <c r="G8" s="41">
        <f t="shared" si="1"/>
        <v>53.156999999999996</v>
      </c>
      <c r="H8" s="23">
        <f t="shared" si="2"/>
        <v>4.4297499999999994</v>
      </c>
      <c r="I8" s="30">
        <f t="shared" si="3"/>
        <v>41.156999999999996</v>
      </c>
      <c r="J8" s="30">
        <f t="shared" si="4"/>
        <v>3.4297499999999999</v>
      </c>
      <c r="K8" s="23">
        <f t="shared" ref="K8:K9" si="10">1.5*G8</f>
        <v>79.735500000000002</v>
      </c>
      <c r="L8" s="23">
        <f t="shared" si="5"/>
        <v>6.6446250000000004</v>
      </c>
      <c r="M8" s="23">
        <f t="shared" ref="M8:M20" si="11">L8*1.5</f>
        <v>9.9669375000000002</v>
      </c>
      <c r="N8" s="23">
        <f t="shared" si="6"/>
        <v>3.3223125000000002</v>
      </c>
      <c r="O8" s="23">
        <f t="shared" si="0"/>
        <v>17.134027593750002</v>
      </c>
      <c r="P8" s="23">
        <f t="shared" si="7"/>
        <v>29.434027593750002</v>
      </c>
      <c r="Q8" s="23">
        <f t="shared" si="8"/>
        <v>59.857305187500003</v>
      </c>
      <c r="R8" s="23">
        <f t="shared" si="9"/>
        <v>2.2169372291666667</v>
      </c>
    </row>
    <row r="9" spans="1:19" hidden="1" x14ac:dyDescent="0.25">
      <c r="A9" s="54">
        <v>54</v>
      </c>
      <c r="B9" s="24">
        <v>60</v>
      </c>
      <c r="C9" s="22">
        <v>46</v>
      </c>
      <c r="D9" s="37">
        <v>15.6</v>
      </c>
      <c r="E9" s="29">
        <v>14</v>
      </c>
      <c r="F9" s="29">
        <v>7.85E-2</v>
      </c>
      <c r="G9" s="41">
        <f t="shared" si="1"/>
        <v>60.156999999999996</v>
      </c>
      <c r="H9" s="23">
        <f t="shared" si="2"/>
        <v>5.0130833333333333</v>
      </c>
      <c r="I9" s="30">
        <f t="shared" si="3"/>
        <v>46.156999999999996</v>
      </c>
      <c r="J9" s="30">
        <f t="shared" si="4"/>
        <v>3.8464166666666664</v>
      </c>
      <c r="K9" s="23">
        <f t="shared" si="10"/>
        <v>90.235500000000002</v>
      </c>
      <c r="L9" s="23">
        <f t="shared" si="5"/>
        <v>7.5196250000000004</v>
      </c>
      <c r="M9" s="23">
        <f t="shared" si="11"/>
        <v>11.2794375</v>
      </c>
      <c r="N9" s="23">
        <f t="shared" si="6"/>
        <v>3.7598125000000002</v>
      </c>
      <c r="O9" s="23">
        <f t="shared" si="0"/>
        <v>20.843235927083335</v>
      </c>
      <c r="P9" s="23">
        <f t="shared" si="7"/>
        <v>35.231631760416661</v>
      </c>
      <c r="Q9" s="23">
        <f t="shared" si="8"/>
        <v>71.114117687499999</v>
      </c>
      <c r="R9" s="23">
        <f t="shared" si="9"/>
        <v>2.633856210648148</v>
      </c>
    </row>
    <row r="10" spans="1:19" hidden="1" x14ac:dyDescent="0.25">
      <c r="A10" s="41">
        <v>60</v>
      </c>
      <c r="B10" s="22">
        <v>66</v>
      </c>
      <c r="C10" s="22">
        <v>51</v>
      </c>
      <c r="D10" s="37">
        <v>19.3</v>
      </c>
      <c r="E10" s="29">
        <v>14</v>
      </c>
      <c r="F10" s="29">
        <v>7.85E-2</v>
      </c>
      <c r="G10" s="41">
        <f t="shared" si="1"/>
        <v>66.156999999999996</v>
      </c>
      <c r="H10" s="23">
        <f t="shared" si="2"/>
        <v>5.5130833333333333</v>
      </c>
      <c r="I10" s="30">
        <f t="shared" si="3"/>
        <v>51.156999999999996</v>
      </c>
      <c r="J10" s="30">
        <f t="shared" si="4"/>
        <v>4.2630833333333333</v>
      </c>
      <c r="K10" s="23">
        <f>G10+36</f>
        <v>102.157</v>
      </c>
      <c r="L10" s="23">
        <f t="shared" si="5"/>
        <v>8.5130833333333324</v>
      </c>
      <c r="M10" s="23">
        <f t="shared" si="11"/>
        <v>12.769624999999998</v>
      </c>
      <c r="N10" s="23">
        <f t="shared" si="6"/>
        <v>4.2565416666666662</v>
      </c>
      <c r="O10" s="23">
        <f t="shared" si="0"/>
        <v>25.50506700694444</v>
      </c>
      <c r="P10" s="23">
        <f t="shared" si="7"/>
        <v>41.550069260416663</v>
      </c>
      <c r="Q10" s="23">
        <f t="shared" si="8"/>
        <v>84.081302934027775</v>
      </c>
      <c r="R10" s="23">
        <f t="shared" si="9"/>
        <v>3.1141223308899177</v>
      </c>
    </row>
    <row r="11" spans="1:19" hidden="1" x14ac:dyDescent="0.25">
      <c r="A11" s="41">
        <v>66</v>
      </c>
      <c r="B11" s="22">
        <v>73</v>
      </c>
      <c r="C11" s="22">
        <v>55</v>
      </c>
      <c r="D11" s="39">
        <v>23.2</v>
      </c>
      <c r="E11" s="29">
        <v>14</v>
      </c>
      <c r="F11" s="29">
        <v>7.85E-2</v>
      </c>
      <c r="G11" s="41">
        <f t="shared" si="1"/>
        <v>73.156999999999996</v>
      </c>
      <c r="H11" s="23">
        <f t="shared" si="2"/>
        <v>6.0964166666666664</v>
      </c>
      <c r="I11" s="30">
        <f t="shared" si="3"/>
        <v>55.156999999999996</v>
      </c>
      <c r="J11" s="30">
        <f t="shared" si="4"/>
        <v>4.5964166666666664</v>
      </c>
      <c r="K11" s="23">
        <f t="shared" ref="K11:K12" si="12">G11+36</f>
        <v>109.157</v>
      </c>
      <c r="L11" s="23">
        <f t="shared" si="5"/>
        <v>9.0964166666666664</v>
      </c>
      <c r="M11" s="23">
        <f t="shared" si="11"/>
        <v>13.644625</v>
      </c>
      <c r="N11" s="23">
        <f t="shared" si="6"/>
        <v>4.5482083333333332</v>
      </c>
      <c r="O11" s="23">
        <f t="shared" si="0"/>
        <v>27.707337840277777</v>
      </c>
      <c r="P11" s="23">
        <f t="shared" si="7"/>
        <v>46.979819260416662</v>
      </c>
      <c r="Q11" s="23">
        <f t="shared" si="8"/>
        <v>92.879990434027775</v>
      </c>
      <c r="R11" s="23">
        <f t="shared" si="9"/>
        <v>3.4399996457047326</v>
      </c>
    </row>
    <row r="12" spans="1:19" hidden="1" x14ac:dyDescent="0.25">
      <c r="A12" s="41">
        <v>72</v>
      </c>
      <c r="B12" s="22">
        <v>81</v>
      </c>
      <c r="C12" s="22">
        <v>59</v>
      </c>
      <c r="D12" s="39">
        <v>27.4</v>
      </c>
      <c r="E12" s="29">
        <v>14</v>
      </c>
      <c r="F12" s="29">
        <v>7.85E-2</v>
      </c>
      <c r="G12" s="41">
        <f t="shared" si="1"/>
        <v>81.156999999999996</v>
      </c>
      <c r="H12" s="23">
        <f t="shared" si="2"/>
        <v>6.7630833333333333</v>
      </c>
      <c r="I12" s="30">
        <f t="shared" si="3"/>
        <v>59.156999999999996</v>
      </c>
      <c r="J12" s="30">
        <f t="shared" si="4"/>
        <v>4.9297499999999994</v>
      </c>
      <c r="K12" s="23">
        <f t="shared" si="12"/>
        <v>117.157</v>
      </c>
      <c r="L12" s="23">
        <f t="shared" si="5"/>
        <v>9.7630833333333324</v>
      </c>
      <c r="M12" s="23">
        <f t="shared" si="11"/>
        <v>14.644624999999998</v>
      </c>
      <c r="N12" s="23">
        <f t="shared" si="6"/>
        <v>4.8815416666666662</v>
      </c>
      <c r="O12" s="23">
        <f t="shared" si="0"/>
        <v>30.492643395833326</v>
      </c>
      <c r="P12" s="23">
        <f t="shared" si="7"/>
        <v>52.742902593749989</v>
      </c>
      <c r="Q12" s="23">
        <f t="shared" si="8"/>
        <v>102.76171265624998</v>
      </c>
      <c r="R12" s="23">
        <f t="shared" si="9"/>
        <v>3.8059893576388881</v>
      </c>
    </row>
    <row r="13" spans="1:19" x14ac:dyDescent="0.25">
      <c r="A13" s="41">
        <v>78</v>
      </c>
      <c r="B13" s="33">
        <v>87</v>
      </c>
      <c r="C13" s="22">
        <v>63</v>
      </c>
      <c r="D13" s="39">
        <v>32.1</v>
      </c>
      <c r="E13" s="29">
        <v>14</v>
      </c>
      <c r="F13" s="29">
        <v>7.85E-2</v>
      </c>
      <c r="G13" s="41">
        <f t="shared" si="1"/>
        <v>87.156999999999996</v>
      </c>
      <c r="H13" s="23">
        <f t="shared" si="2"/>
        <v>7.2630833333333333</v>
      </c>
      <c r="I13" s="30">
        <f t="shared" si="3"/>
        <v>63.156999999999996</v>
      </c>
      <c r="J13" s="30">
        <f t="shared" si="4"/>
        <v>5.2630833333333333</v>
      </c>
      <c r="K13" s="23">
        <f>G13+48</f>
        <v>135.15699999999998</v>
      </c>
      <c r="L13" s="23">
        <f t="shared" si="5"/>
        <v>11.263083333333332</v>
      </c>
      <c r="M13" s="23">
        <f t="shared" si="11"/>
        <v>16.894624999999998</v>
      </c>
      <c r="N13" s="23">
        <f t="shared" si="6"/>
        <v>5.6315416666666662</v>
      </c>
      <c r="O13" s="23">
        <f t="shared" si="0"/>
        <v>38.441629506944444</v>
      </c>
      <c r="P13" s="23">
        <f t="shared" si="7"/>
        <v>58.839319260416666</v>
      </c>
      <c r="Q13" s="23">
        <f t="shared" si="8"/>
        <v>119.80711543402776</v>
      </c>
      <c r="R13" s="23">
        <f t="shared" si="9"/>
        <v>4.4373005716306579</v>
      </c>
    </row>
    <row r="14" spans="1:19" x14ac:dyDescent="0.25">
      <c r="A14" s="41">
        <v>84</v>
      </c>
      <c r="B14" s="22">
        <v>95</v>
      </c>
      <c r="C14" s="22">
        <v>67</v>
      </c>
      <c r="D14" s="39">
        <v>37</v>
      </c>
      <c r="E14" s="34">
        <v>12</v>
      </c>
      <c r="F14" s="29">
        <v>0.1084</v>
      </c>
      <c r="G14" s="41">
        <f t="shared" si="1"/>
        <v>95.216800000000006</v>
      </c>
      <c r="H14" s="23">
        <f t="shared" si="2"/>
        <v>7.9347333333333339</v>
      </c>
      <c r="I14" s="30">
        <f t="shared" si="3"/>
        <v>67.216800000000006</v>
      </c>
      <c r="J14" s="30">
        <f t="shared" si="4"/>
        <v>5.6014000000000008</v>
      </c>
      <c r="K14" s="23">
        <f t="shared" ref="K14:K20" si="13">G14+48</f>
        <v>143.21680000000001</v>
      </c>
      <c r="L14" s="23">
        <f t="shared" si="5"/>
        <v>11.934733333333334</v>
      </c>
      <c r="M14" s="23">
        <f t="shared" si="11"/>
        <v>17.902100000000001</v>
      </c>
      <c r="N14" s="23">
        <f t="shared" si="6"/>
        <v>5.9673666666666669</v>
      </c>
      <c r="O14" s="23">
        <f t="shared" si="0"/>
        <v>41.785948626666681</v>
      </c>
      <c r="P14" s="23">
        <f t="shared" si="7"/>
        <v>65.367722940000007</v>
      </c>
      <c r="Q14" s="23">
        <f t="shared" si="8"/>
        <v>131.02313823333336</v>
      </c>
      <c r="R14" s="23">
        <f t="shared" si="9"/>
        <v>4.8527088234567906</v>
      </c>
    </row>
    <row r="15" spans="1:19" x14ac:dyDescent="0.25">
      <c r="A15" s="41">
        <v>90</v>
      </c>
      <c r="B15" s="22">
        <v>103</v>
      </c>
      <c r="C15" s="22">
        <v>71</v>
      </c>
      <c r="D15" s="39">
        <v>42.4</v>
      </c>
      <c r="E15" s="34">
        <v>12</v>
      </c>
      <c r="F15" s="29">
        <v>0.1084</v>
      </c>
      <c r="G15" s="41">
        <f t="shared" si="1"/>
        <v>103.21680000000001</v>
      </c>
      <c r="H15" s="23">
        <f t="shared" si="2"/>
        <v>8.6013999999999999</v>
      </c>
      <c r="I15" s="30">
        <f t="shared" si="3"/>
        <v>71.216800000000006</v>
      </c>
      <c r="J15" s="30">
        <f t="shared" si="4"/>
        <v>5.9347333333333339</v>
      </c>
      <c r="K15" s="23">
        <f t="shared" si="13"/>
        <v>151.21680000000001</v>
      </c>
      <c r="L15" s="23">
        <f t="shared" si="5"/>
        <v>12.6014</v>
      </c>
      <c r="M15" s="23">
        <f t="shared" si="11"/>
        <v>18.902100000000001</v>
      </c>
      <c r="N15" s="23">
        <f t="shared" si="6"/>
        <v>6.3007</v>
      </c>
      <c r="O15" s="23">
        <f t="shared" si="0"/>
        <v>44.98734862666668</v>
      </c>
      <c r="P15" s="23">
        <f t="shared" si="7"/>
        <v>72.135789606666677</v>
      </c>
      <c r="Q15" s="23">
        <f t="shared" si="8"/>
        <v>142.32593823333337</v>
      </c>
      <c r="R15" s="23">
        <f t="shared" si="9"/>
        <v>5.2713310456790134</v>
      </c>
    </row>
    <row r="16" spans="1:19" x14ac:dyDescent="0.25">
      <c r="A16" s="41">
        <v>96</v>
      </c>
      <c r="B16" s="22">
        <v>112</v>
      </c>
      <c r="C16" s="22">
        <v>75</v>
      </c>
      <c r="D16" s="39">
        <v>48</v>
      </c>
      <c r="E16" s="34">
        <v>12</v>
      </c>
      <c r="F16" s="29">
        <v>0.1084</v>
      </c>
      <c r="G16" s="41">
        <f t="shared" si="1"/>
        <v>112.21680000000001</v>
      </c>
      <c r="H16" s="23">
        <f t="shared" si="2"/>
        <v>9.3513999999999999</v>
      </c>
      <c r="I16" s="30">
        <f t="shared" si="3"/>
        <v>75.216800000000006</v>
      </c>
      <c r="J16" s="30">
        <f t="shared" si="4"/>
        <v>6.2680666666666669</v>
      </c>
      <c r="K16" s="23">
        <f t="shared" si="13"/>
        <v>160.21680000000001</v>
      </c>
      <c r="L16" s="23">
        <f t="shared" si="5"/>
        <v>13.3514</v>
      </c>
      <c r="M16" s="23">
        <f t="shared" si="11"/>
        <v>20.027100000000001</v>
      </c>
      <c r="N16" s="23">
        <f t="shared" si="6"/>
        <v>6.6757</v>
      </c>
      <c r="O16" s="23">
        <f t="shared" si="0"/>
        <v>49.03886529333333</v>
      </c>
      <c r="P16" s="23">
        <f t="shared" si="7"/>
        <v>79.237189606666675</v>
      </c>
      <c r="Q16" s="23">
        <f t="shared" si="8"/>
        <v>154.97885489999999</v>
      </c>
      <c r="R16" s="23">
        <f t="shared" si="9"/>
        <v>5.7399575888888883</v>
      </c>
    </row>
    <row r="17" spans="1:18" x14ac:dyDescent="0.25">
      <c r="A17" s="41">
        <v>102</v>
      </c>
      <c r="B17" s="22">
        <v>117</v>
      </c>
      <c r="C17" s="22">
        <v>79</v>
      </c>
      <c r="D17" s="39">
        <v>54.2</v>
      </c>
      <c r="E17" s="34">
        <v>12</v>
      </c>
      <c r="F17" s="29">
        <v>0.1084</v>
      </c>
      <c r="G17" s="41">
        <f t="shared" si="1"/>
        <v>117.21680000000001</v>
      </c>
      <c r="H17" s="23">
        <f t="shared" si="2"/>
        <v>9.7680666666666678</v>
      </c>
      <c r="I17" s="30">
        <f t="shared" si="3"/>
        <v>79.216800000000006</v>
      </c>
      <c r="J17" s="30">
        <f t="shared" si="4"/>
        <v>6.6014000000000008</v>
      </c>
      <c r="K17" s="23">
        <f t="shared" si="13"/>
        <v>165.21680000000001</v>
      </c>
      <c r="L17" s="23">
        <f t="shared" si="5"/>
        <v>13.768066666666668</v>
      </c>
      <c r="M17" s="23">
        <f t="shared" si="11"/>
        <v>20.652100000000001</v>
      </c>
      <c r="N17" s="23">
        <f t="shared" si="6"/>
        <v>6.8840333333333339</v>
      </c>
      <c r="O17" s="23">
        <f t="shared" si="0"/>
        <v>50.456581960000022</v>
      </c>
      <c r="P17" s="23">
        <f t="shared" si="7"/>
        <v>86.671922940000016</v>
      </c>
      <c r="Q17" s="23">
        <f t="shared" si="8"/>
        <v>164.66463823333339</v>
      </c>
      <c r="R17" s="23">
        <f t="shared" si="9"/>
        <v>6.0986903049382741</v>
      </c>
    </row>
    <row r="18" spans="1:18" x14ac:dyDescent="0.25">
      <c r="A18" s="41">
        <v>108</v>
      </c>
      <c r="B18" s="22">
        <v>128</v>
      </c>
      <c r="C18" s="22">
        <v>83</v>
      </c>
      <c r="D18" s="37">
        <v>60.5</v>
      </c>
      <c r="E18" s="22">
        <v>10</v>
      </c>
      <c r="F18" s="29">
        <v>0.13819999999999999</v>
      </c>
      <c r="G18" s="41">
        <f t="shared" si="1"/>
        <v>128.2764</v>
      </c>
      <c r="H18" s="23">
        <f t="shared" si="2"/>
        <v>10.6897</v>
      </c>
      <c r="I18" s="30">
        <f t="shared" si="3"/>
        <v>83.276399999999995</v>
      </c>
      <c r="J18" s="30">
        <f t="shared" si="4"/>
        <v>6.9396999999999993</v>
      </c>
      <c r="K18" s="23">
        <f t="shared" si="13"/>
        <v>176.2764</v>
      </c>
      <c r="L18" s="23">
        <f t="shared" si="5"/>
        <v>14.6897</v>
      </c>
      <c r="M18" s="23">
        <f t="shared" si="11"/>
        <v>22.034549999999999</v>
      </c>
      <c r="N18" s="23">
        <f t="shared" si="6"/>
        <v>7.3448500000000001</v>
      </c>
      <c r="O18" s="23">
        <f t="shared" ref="O18:O20" si="14">(L18*(J18+1))-D18</f>
        <v>56.131811089999985</v>
      </c>
      <c r="P18" s="23">
        <f t="shared" si="7"/>
        <v>94.558254134999984</v>
      </c>
      <c r="Q18" s="23">
        <f t="shared" si="8"/>
        <v>180.06946522499999</v>
      </c>
      <c r="R18" s="23">
        <f t="shared" si="9"/>
        <v>6.6692394527777772</v>
      </c>
    </row>
    <row r="19" spans="1:18" x14ac:dyDescent="0.25">
      <c r="A19" s="41">
        <v>114</v>
      </c>
      <c r="B19" s="22">
        <v>137</v>
      </c>
      <c r="C19" s="22">
        <v>87</v>
      </c>
      <c r="D19" s="39">
        <v>67.400000000000006</v>
      </c>
      <c r="E19" s="34">
        <v>8</v>
      </c>
      <c r="F19" s="41">
        <v>0.1681</v>
      </c>
      <c r="G19" s="41">
        <f t="shared" si="1"/>
        <v>137.33619999999999</v>
      </c>
      <c r="H19" s="23">
        <f t="shared" si="2"/>
        <v>11.444683333333332</v>
      </c>
      <c r="I19" s="30">
        <f t="shared" si="3"/>
        <v>87.336200000000005</v>
      </c>
      <c r="J19" s="30">
        <f t="shared" si="4"/>
        <v>7.2780166666666668</v>
      </c>
      <c r="K19" s="23">
        <f t="shared" si="13"/>
        <v>185.33619999999999</v>
      </c>
      <c r="L19" s="23">
        <f t="shared" si="5"/>
        <v>15.444683333333332</v>
      </c>
      <c r="M19" s="23">
        <f t="shared" si="11"/>
        <v>23.167024999999999</v>
      </c>
      <c r="N19" s="23">
        <f t="shared" si="6"/>
        <v>7.722341666666666</v>
      </c>
      <c r="O19" s="23">
        <f t="shared" si="14"/>
        <v>60.4513460447222</v>
      </c>
      <c r="P19" s="23">
        <f t="shared" si="7"/>
        <v>102.78833990041664</v>
      </c>
      <c r="Q19" s="23">
        <f t="shared" si="8"/>
        <v>194.12905261180549</v>
      </c>
      <c r="R19" s="23">
        <f t="shared" si="9"/>
        <v>7.1899649115483513</v>
      </c>
    </row>
    <row r="20" spans="1:18" x14ac:dyDescent="0.25">
      <c r="A20" s="41">
        <v>120</v>
      </c>
      <c r="B20" s="22">
        <v>142</v>
      </c>
      <c r="C20" s="22">
        <v>91</v>
      </c>
      <c r="D20" s="39">
        <v>74.5</v>
      </c>
      <c r="E20" s="34">
        <v>8</v>
      </c>
      <c r="F20" s="41">
        <v>0.1681</v>
      </c>
      <c r="G20" s="41">
        <f t="shared" si="1"/>
        <v>142.33619999999999</v>
      </c>
      <c r="H20" s="23">
        <f t="shared" si="2"/>
        <v>11.86135</v>
      </c>
      <c r="I20" s="30">
        <f t="shared" si="3"/>
        <v>91.336200000000005</v>
      </c>
      <c r="J20" s="30">
        <f t="shared" si="4"/>
        <v>7.6113500000000007</v>
      </c>
      <c r="K20" s="23">
        <f t="shared" si="13"/>
        <v>190.33619999999999</v>
      </c>
      <c r="L20" s="23">
        <f t="shared" si="5"/>
        <v>15.86135</v>
      </c>
      <c r="M20" s="23">
        <f t="shared" si="11"/>
        <v>23.792024999999999</v>
      </c>
      <c r="N20" s="23">
        <f t="shared" si="6"/>
        <v>7.9306749999999999</v>
      </c>
      <c r="O20" s="23">
        <f t="shared" si="14"/>
        <v>62.087636322500032</v>
      </c>
      <c r="P20" s="23">
        <f t="shared" si="7"/>
        <v>111.23302323375005</v>
      </c>
      <c r="Q20" s="23">
        <f t="shared" si="8"/>
        <v>205.0433595562501</v>
      </c>
      <c r="R20" s="23">
        <f t="shared" si="9"/>
        <v>7.5941985020833371</v>
      </c>
    </row>
    <row r="21" spans="1:18" x14ac:dyDescent="0.25">
      <c r="A21" s="26"/>
      <c r="B21" s="26"/>
      <c r="C21" s="26"/>
      <c r="D21" s="26"/>
      <c r="E21" s="26"/>
      <c r="F21" s="26"/>
      <c r="G21" s="26"/>
      <c r="H21" s="26"/>
      <c r="I21" s="26"/>
      <c r="J21" s="40"/>
      <c r="K21" s="40"/>
      <c r="L21" s="40"/>
    </row>
    <row r="22" spans="1:18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40"/>
      <c r="K22" s="40"/>
      <c r="L22" s="40"/>
    </row>
    <row r="23" spans="1:18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8" x14ac:dyDescent="0.25">
      <c r="B24" s="228"/>
      <c r="C24" s="228"/>
      <c r="D24" s="228"/>
      <c r="E24" s="228"/>
      <c r="F24" s="228"/>
      <c r="G24" s="228"/>
      <c r="H24" s="228"/>
      <c r="I24" s="228"/>
      <c r="J24" s="228"/>
    </row>
    <row r="25" spans="1:18" x14ac:dyDescent="0.25">
      <c r="B25" s="228"/>
      <c r="C25" s="228"/>
      <c r="D25" s="228"/>
      <c r="E25" s="228"/>
      <c r="F25" s="228"/>
      <c r="G25" s="228"/>
      <c r="H25" s="228"/>
      <c r="I25" s="228"/>
      <c r="J25" s="228"/>
    </row>
    <row r="26" spans="1:18" x14ac:dyDescent="0.25">
      <c r="B26" s="29"/>
      <c r="C26" s="29"/>
    </row>
    <row r="27" spans="1:18" x14ac:dyDescent="0.25">
      <c r="B27" s="29"/>
      <c r="C27" s="29"/>
    </row>
    <row r="28" spans="1:18" x14ac:dyDescent="0.25">
      <c r="B28" s="29"/>
      <c r="C28" s="29"/>
    </row>
    <row r="37" spans="2:4" x14ac:dyDescent="0.25">
      <c r="B37" s="29"/>
      <c r="C37" s="29"/>
      <c r="D37" s="29"/>
    </row>
  </sheetData>
  <mergeCells count="5">
    <mergeCell ref="A1:H1"/>
    <mergeCell ref="K4:L4"/>
    <mergeCell ref="B24:J24"/>
    <mergeCell ref="B25:J25"/>
    <mergeCell ref="A2:C2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T38"/>
  <sheetViews>
    <sheetView workbookViewId="0">
      <selection activeCell="AF1" sqref="AF1"/>
    </sheetView>
  </sheetViews>
  <sheetFormatPr defaultRowHeight="15" x14ac:dyDescent="0.25"/>
  <cols>
    <col min="1" max="1" width="2.85546875" customWidth="1"/>
    <col min="2" max="2" width="9.7109375" customWidth="1"/>
    <col min="3" max="3" width="15.140625" hidden="1" customWidth="1"/>
    <col min="4" max="4" width="11.5703125" hidden="1" customWidth="1"/>
    <col min="5" max="5" width="11.7109375" hidden="1" customWidth="1"/>
    <col min="6" max="6" width="12.5703125" hidden="1" customWidth="1"/>
    <col min="7" max="7" width="8.7109375" hidden="1" customWidth="1"/>
    <col min="8" max="8" width="8.85546875" hidden="1" customWidth="1"/>
    <col min="9" max="9" width="14.140625" customWidth="1"/>
    <col min="10" max="10" width="8.42578125" hidden="1" customWidth="1"/>
    <col min="11" max="11" width="8.7109375" hidden="1" customWidth="1"/>
    <col min="12" max="12" width="15" customWidth="1"/>
    <col min="13" max="14" width="9.140625" hidden="1" customWidth="1"/>
    <col min="15" max="15" width="14.42578125" customWidth="1"/>
    <col min="16" max="17" width="9.140625" hidden="1" customWidth="1"/>
    <col min="18" max="18" width="13.42578125" customWidth="1"/>
    <col min="19" max="19" width="10.42578125" hidden="1" customWidth="1"/>
    <col min="20" max="20" width="14.28515625" customWidth="1"/>
    <col min="21" max="21" width="8.140625" hidden="1" customWidth="1"/>
    <col min="22" max="22" width="7" hidden="1" customWidth="1"/>
    <col min="23" max="23" width="17" customWidth="1"/>
    <col min="24" max="25" width="9.140625" hidden="1" customWidth="1"/>
    <col min="26" max="26" width="13" customWidth="1"/>
    <col min="27" max="28" width="9.140625" hidden="1" customWidth="1"/>
    <col min="29" max="29" width="16.28515625" customWidth="1"/>
    <col min="30" max="30" width="9.140625" hidden="1" customWidth="1"/>
    <col min="31" max="31" width="10.5703125" hidden="1" customWidth="1"/>
    <col min="32" max="32" width="14.42578125" customWidth="1"/>
    <col min="33" max="34" width="9.140625" hidden="1" customWidth="1"/>
    <col min="35" max="35" width="14.5703125" customWidth="1"/>
  </cols>
  <sheetData>
    <row r="1" spans="2:46" x14ac:dyDescent="0.25">
      <c r="B1" s="62" t="s">
        <v>87</v>
      </c>
      <c r="AF1" s="85" t="s">
        <v>123</v>
      </c>
    </row>
    <row r="2" spans="2:46" x14ac:dyDescent="0.25">
      <c r="B2" t="s">
        <v>119</v>
      </c>
    </row>
    <row r="3" spans="2:46" x14ac:dyDescent="0.25">
      <c r="B3" t="s">
        <v>66</v>
      </c>
    </row>
    <row r="4" spans="2:46" ht="33.75" customHeight="1" thickBot="1" x14ac:dyDescent="0.3"/>
    <row r="5" spans="2:46" ht="34.5" customHeight="1" x14ac:dyDescent="0.25">
      <c r="B5" s="195"/>
      <c r="C5" s="177"/>
      <c r="D5" s="177"/>
      <c r="E5" s="177"/>
      <c r="F5" s="177"/>
      <c r="G5" s="230" t="s">
        <v>102</v>
      </c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  <c r="T5" s="230"/>
      <c r="U5" s="234" t="s">
        <v>99</v>
      </c>
      <c r="V5" s="234"/>
      <c r="W5" s="234"/>
      <c r="X5" s="234" t="s">
        <v>108</v>
      </c>
      <c r="Y5" s="234"/>
      <c r="Z5" s="234"/>
      <c r="AA5" s="234" t="s">
        <v>100</v>
      </c>
      <c r="AB5" s="234"/>
      <c r="AC5" s="234"/>
      <c r="AD5" s="234" t="s">
        <v>101</v>
      </c>
      <c r="AE5" s="234"/>
      <c r="AF5" s="234"/>
      <c r="AG5" s="234"/>
      <c r="AH5" s="234"/>
      <c r="AI5" s="237"/>
    </row>
    <row r="6" spans="2:46" ht="31.5" customHeight="1" x14ac:dyDescent="0.25">
      <c r="B6" s="196"/>
      <c r="C6" s="61"/>
      <c r="D6" s="61"/>
      <c r="E6" s="61"/>
      <c r="F6" s="61"/>
      <c r="G6" s="233" t="s">
        <v>61</v>
      </c>
      <c r="H6" s="233"/>
      <c r="I6" s="233"/>
      <c r="J6" s="233"/>
      <c r="K6" s="233"/>
      <c r="L6" s="233"/>
      <c r="M6" s="233" t="s">
        <v>62</v>
      </c>
      <c r="N6" s="233"/>
      <c r="O6" s="233"/>
      <c r="P6" s="233"/>
      <c r="Q6" s="233"/>
      <c r="R6" s="233"/>
      <c r="S6" s="229" t="s">
        <v>107</v>
      </c>
      <c r="T6" s="229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8"/>
      <c r="AM6" s="26"/>
      <c r="AN6" s="26"/>
      <c r="AO6" s="26"/>
      <c r="AP6" s="26"/>
      <c r="AQ6" s="26"/>
      <c r="AR6" s="26"/>
      <c r="AS6" s="26"/>
      <c r="AT6" s="26"/>
    </row>
    <row r="7" spans="2:46" ht="24.75" customHeight="1" thickBot="1" x14ac:dyDescent="0.3">
      <c r="B7" s="198"/>
      <c r="C7" s="102"/>
      <c r="D7" s="102"/>
      <c r="E7" s="102"/>
      <c r="F7" s="102"/>
      <c r="G7" s="231" t="s">
        <v>51</v>
      </c>
      <c r="H7" s="231"/>
      <c r="I7" s="231"/>
      <c r="J7" s="231" t="s">
        <v>52</v>
      </c>
      <c r="K7" s="231"/>
      <c r="L7" s="231"/>
      <c r="M7" s="231" t="s">
        <v>51</v>
      </c>
      <c r="N7" s="231"/>
      <c r="O7" s="231"/>
      <c r="P7" s="231" t="s">
        <v>52</v>
      </c>
      <c r="Q7" s="231"/>
      <c r="R7" s="231"/>
      <c r="S7" s="231" t="s">
        <v>51</v>
      </c>
      <c r="T7" s="231"/>
      <c r="U7" s="236"/>
      <c r="V7" s="236"/>
      <c r="W7" s="236"/>
      <c r="X7" s="236"/>
      <c r="Y7" s="236"/>
      <c r="Z7" s="236"/>
      <c r="AA7" s="231" t="s">
        <v>52</v>
      </c>
      <c r="AB7" s="231"/>
      <c r="AC7" s="231"/>
      <c r="AD7" s="231" t="s">
        <v>51</v>
      </c>
      <c r="AE7" s="231"/>
      <c r="AF7" s="231"/>
      <c r="AG7" s="231" t="s">
        <v>52</v>
      </c>
      <c r="AH7" s="231"/>
      <c r="AI7" s="232"/>
      <c r="AM7" s="26"/>
      <c r="AN7" s="26"/>
      <c r="AO7" s="26"/>
      <c r="AP7" s="26"/>
      <c r="AQ7" s="26"/>
      <c r="AR7" s="26"/>
      <c r="AS7" s="26"/>
      <c r="AT7" s="26"/>
    </row>
    <row r="8" spans="2:46" ht="89.25" customHeight="1" thickBot="1" x14ac:dyDescent="0.3">
      <c r="B8" s="197" t="s">
        <v>50</v>
      </c>
      <c r="C8" s="94" t="s">
        <v>53</v>
      </c>
      <c r="D8" s="94" t="s">
        <v>55</v>
      </c>
      <c r="E8" s="94" t="s">
        <v>56</v>
      </c>
      <c r="F8" s="94" t="s">
        <v>54</v>
      </c>
      <c r="G8" s="94" t="s">
        <v>58</v>
      </c>
      <c r="H8" s="94" t="s">
        <v>57</v>
      </c>
      <c r="I8" s="171" t="s">
        <v>116</v>
      </c>
      <c r="J8" s="172" t="s">
        <v>60</v>
      </c>
      <c r="K8" s="172" t="s">
        <v>59</v>
      </c>
      <c r="L8" s="171" t="s">
        <v>116</v>
      </c>
      <c r="M8" s="172" t="s">
        <v>58</v>
      </c>
      <c r="N8" s="172" t="s">
        <v>57</v>
      </c>
      <c r="O8" s="171" t="s">
        <v>116</v>
      </c>
      <c r="P8" s="172" t="s">
        <v>60</v>
      </c>
      <c r="Q8" s="172" t="s">
        <v>59</v>
      </c>
      <c r="R8" s="171" t="s">
        <v>116</v>
      </c>
      <c r="S8" s="172" t="s">
        <v>57</v>
      </c>
      <c r="T8" s="171" t="s">
        <v>116</v>
      </c>
      <c r="U8" s="172" t="s">
        <v>63</v>
      </c>
      <c r="V8" s="172" t="s">
        <v>64</v>
      </c>
      <c r="W8" s="171" t="s">
        <v>116</v>
      </c>
      <c r="X8" s="172" t="s">
        <v>63</v>
      </c>
      <c r="Y8" s="172" t="s">
        <v>64</v>
      </c>
      <c r="Z8" s="171" t="s">
        <v>116</v>
      </c>
      <c r="AA8" s="172" t="s">
        <v>63</v>
      </c>
      <c r="AB8" s="172" t="s">
        <v>64</v>
      </c>
      <c r="AC8" s="171" t="s">
        <v>116</v>
      </c>
      <c r="AD8" s="172" t="s">
        <v>63</v>
      </c>
      <c r="AE8" s="172" t="s">
        <v>64</v>
      </c>
      <c r="AF8" s="171" t="s">
        <v>116</v>
      </c>
      <c r="AG8" s="172" t="s">
        <v>63</v>
      </c>
      <c r="AH8" s="172" t="s">
        <v>64</v>
      </c>
      <c r="AI8" s="171" t="s">
        <v>116</v>
      </c>
      <c r="AM8" s="26"/>
      <c r="AN8" s="26"/>
      <c r="AO8" s="26"/>
      <c r="AP8" s="26"/>
      <c r="AQ8" s="26"/>
      <c r="AR8" s="26"/>
      <c r="AS8" s="26"/>
      <c r="AT8" s="26"/>
    </row>
    <row r="9" spans="2:46" ht="18" hidden="1" customHeight="1" x14ac:dyDescent="0.25">
      <c r="B9" s="178">
        <v>6</v>
      </c>
      <c r="C9" s="94"/>
      <c r="D9" s="61"/>
      <c r="E9" s="94"/>
      <c r="F9" s="94"/>
      <c r="G9" s="136"/>
      <c r="H9" s="179"/>
      <c r="I9" s="179"/>
      <c r="J9" s="179"/>
      <c r="K9" s="179"/>
      <c r="L9" s="179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8"/>
      <c r="AJ9" s="41"/>
      <c r="AK9" s="41"/>
      <c r="AM9" s="26"/>
      <c r="AN9" s="26"/>
      <c r="AO9" s="26"/>
      <c r="AP9" s="26"/>
      <c r="AQ9" s="26"/>
      <c r="AR9" s="26"/>
      <c r="AS9" s="26"/>
      <c r="AT9" s="26"/>
    </row>
    <row r="10" spans="2:46" ht="16.5" hidden="1" customHeight="1" x14ac:dyDescent="0.25">
      <c r="B10" s="178">
        <v>8</v>
      </c>
      <c r="C10" s="94"/>
      <c r="D10" s="61"/>
      <c r="E10" s="94"/>
      <c r="F10" s="94"/>
      <c r="G10" s="136"/>
      <c r="H10" s="179"/>
      <c r="I10" s="179"/>
      <c r="J10" s="179"/>
      <c r="K10" s="179"/>
      <c r="L10" s="179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8"/>
      <c r="AJ10" s="41"/>
      <c r="AK10" s="41"/>
      <c r="AL10" s="26"/>
      <c r="AM10" s="26"/>
      <c r="AN10" s="26"/>
      <c r="AO10" s="26"/>
      <c r="AP10" s="26"/>
      <c r="AQ10" s="26"/>
      <c r="AR10" s="26"/>
      <c r="AS10" s="26"/>
      <c r="AT10" s="26"/>
    </row>
    <row r="11" spans="2:46" ht="18.75" hidden="1" customHeight="1" x14ac:dyDescent="0.25">
      <c r="B11" s="178">
        <v>10</v>
      </c>
      <c r="C11" s="94"/>
      <c r="D11" s="61"/>
      <c r="E11" s="94"/>
      <c r="F11" s="94"/>
      <c r="G11" s="136"/>
      <c r="H11" s="179"/>
      <c r="I11" s="179"/>
      <c r="J11" s="179"/>
      <c r="K11" s="179"/>
      <c r="L11" s="179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8"/>
      <c r="AJ11" s="41"/>
      <c r="AK11" s="41"/>
      <c r="AL11" s="26"/>
      <c r="AM11" s="26"/>
      <c r="AN11" s="26"/>
      <c r="AO11" s="26"/>
      <c r="AP11" s="26"/>
      <c r="AQ11" s="26"/>
      <c r="AR11" s="26"/>
      <c r="AS11" s="26"/>
      <c r="AT11" s="26"/>
    </row>
    <row r="12" spans="2:46" x14ac:dyDescent="0.25">
      <c r="B12" s="180">
        <v>12</v>
      </c>
      <c r="C12" s="83">
        <f>'Rigid Round Culvert '!G6</f>
        <v>5.333333333333333</v>
      </c>
      <c r="D12" s="181">
        <v>5.0522499999999999</v>
      </c>
      <c r="E12" s="182"/>
      <c r="F12" s="183">
        <v>0.5</v>
      </c>
      <c r="G12" s="183"/>
      <c r="H12" s="179"/>
      <c r="I12" s="66" t="s">
        <v>49</v>
      </c>
      <c r="J12" s="52"/>
      <c r="K12" s="179"/>
      <c r="L12" s="66" t="s">
        <v>49</v>
      </c>
      <c r="M12" s="68"/>
      <c r="N12" s="68"/>
      <c r="O12" s="69" t="s">
        <v>49</v>
      </c>
      <c r="P12" s="137">
        <v>72</v>
      </c>
      <c r="Q12" s="137">
        <f>P12/12</f>
        <v>6</v>
      </c>
      <c r="R12" s="73">
        <f>(B12*F12*Q12)/27</f>
        <v>1.3333333333333333</v>
      </c>
      <c r="S12" s="68"/>
      <c r="T12" s="69" t="s">
        <v>49</v>
      </c>
      <c r="U12" s="68">
        <v>72.875</v>
      </c>
      <c r="V12" s="77">
        <f>U12/12</f>
        <v>6.072916666666667</v>
      </c>
      <c r="W12" s="78">
        <f t="shared" ref="W12:W18" si="0">(C12*F12*V12)/27</f>
        <v>0.59979423868312753</v>
      </c>
      <c r="X12" s="79">
        <v>21</v>
      </c>
      <c r="Y12" s="80">
        <f>X12/12</f>
        <v>1.75</v>
      </c>
      <c r="Z12" s="81">
        <f>(D12*F12*Y12)/27</f>
        <v>0.16373032407407406</v>
      </c>
      <c r="AA12" s="68"/>
      <c r="AB12" s="68"/>
      <c r="AC12" s="69" t="s">
        <v>49</v>
      </c>
      <c r="AD12" s="68"/>
      <c r="AE12" s="68"/>
      <c r="AF12" s="69" t="s">
        <v>49</v>
      </c>
      <c r="AG12" s="68"/>
      <c r="AH12" s="68"/>
      <c r="AI12" s="184" t="s">
        <v>49</v>
      </c>
      <c r="AJ12" s="41"/>
      <c r="AK12" s="41"/>
      <c r="AL12" s="26"/>
      <c r="AM12" s="26"/>
      <c r="AN12" s="26"/>
      <c r="AO12" s="26"/>
      <c r="AP12" s="26"/>
      <c r="AQ12" s="26"/>
      <c r="AR12" s="26"/>
      <c r="AS12" s="26"/>
      <c r="AT12" s="26"/>
    </row>
    <row r="13" spans="2:46" x14ac:dyDescent="0.25">
      <c r="B13" s="180">
        <v>15</v>
      </c>
      <c r="C13" s="83">
        <f>'Rigid Round Culvert '!G7</f>
        <v>5.625</v>
      </c>
      <c r="D13" s="181">
        <v>5.3022499999999999</v>
      </c>
      <c r="E13" s="182"/>
      <c r="F13" s="183">
        <v>0.5</v>
      </c>
      <c r="G13" s="137"/>
      <c r="H13" s="179"/>
      <c r="I13" s="67" t="s">
        <v>49</v>
      </c>
      <c r="J13" s="83">
        <v>112.5</v>
      </c>
      <c r="K13" s="179">
        <f t="shared" ref="K13:K16" si="1">J13/12</f>
        <v>9.375</v>
      </c>
      <c r="L13" s="67">
        <f>(C13*F13*K13)/27</f>
        <v>0.9765625</v>
      </c>
      <c r="M13" s="137"/>
      <c r="N13" s="137"/>
      <c r="O13" s="70" t="s">
        <v>49</v>
      </c>
      <c r="P13" s="137">
        <v>84</v>
      </c>
      <c r="Q13" s="137">
        <f t="shared" ref="Q13:Q16" si="2">P13/12</f>
        <v>7</v>
      </c>
      <c r="R13" s="74">
        <f>(B13*F13*Q13)/27</f>
        <v>1.9444444444444444</v>
      </c>
      <c r="S13" s="137"/>
      <c r="T13" s="70" t="s">
        <v>49</v>
      </c>
      <c r="U13" s="137">
        <v>73</v>
      </c>
      <c r="V13" s="52">
        <f t="shared" ref="V13:V29" si="3">U13/12</f>
        <v>6.083333333333333</v>
      </c>
      <c r="W13" s="71">
        <f t="shared" si="0"/>
        <v>0.63368055555555558</v>
      </c>
      <c r="X13" s="82">
        <v>26</v>
      </c>
      <c r="Y13" s="83">
        <f t="shared" ref="Y13:Y28" si="4">X13/12</f>
        <v>2.1666666666666665</v>
      </c>
      <c r="Z13" s="84">
        <f>(D13*F13*Y13)/27</f>
        <v>0.21274459876543209</v>
      </c>
      <c r="AA13" s="137"/>
      <c r="AB13" s="137"/>
      <c r="AC13" s="70" t="s">
        <v>49</v>
      </c>
      <c r="AD13" s="137"/>
      <c r="AE13" s="137"/>
      <c r="AF13" s="70" t="s">
        <v>49</v>
      </c>
      <c r="AG13" s="137"/>
      <c r="AH13" s="137"/>
      <c r="AI13" s="138" t="s">
        <v>49</v>
      </c>
      <c r="AJ13" s="41"/>
      <c r="AK13" s="41"/>
      <c r="AL13" s="26"/>
      <c r="AM13" s="26"/>
      <c r="AN13" s="26"/>
      <c r="AO13" s="26"/>
      <c r="AP13" s="26"/>
      <c r="AQ13" s="26"/>
      <c r="AR13" s="26"/>
      <c r="AS13" s="26"/>
      <c r="AT13" s="26"/>
    </row>
    <row r="14" spans="2:46" x14ac:dyDescent="0.25">
      <c r="B14" s="180">
        <v>18</v>
      </c>
      <c r="C14" s="83">
        <f>'Rigid Round Culvert '!G8</f>
        <v>5.916666666666667</v>
      </c>
      <c r="D14" s="181">
        <v>5.5522499999999999</v>
      </c>
      <c r="E14" s="182"/>
      <c r="F14" s="183">
        <v>0.5</v>
      </c>
      <c r="G14" s="183"/>
      <c r="H14" s="179"/>
      <c r="I14" s="67" t="s">
        <v>49</v>
      </c>
      <c r="J14" s="52">
        <v>112.5</v>
      </c>
      <c r="K14" s="179">
        <f t="shared" si="1"/>
        <v>9.375</v>
      </c>
      <c r="L14" s="67">
        <f>(C14*F14*K14)/27</f>
        <v>1.0271990740740742</v>
      </c>
      <c r="M14" s="137">
        <v>72</v>
      </c>
      <c r="N14" s="137">
        <f>M14/12</f>
        <v>6</v>
      </c>
      <c r="O14" s="71">
        <f>(C14*F14*N14)/27</f>
        <v>0.65740740740740744</v>
      </c>
      <c r="P14" s="137">
        <v>96</v>
      </c>
      <c r="Q14" s="137">
        <f t="shared" si="2"/>
        <v>8</v>
      </c>
      <c r="R14" s="74">
        <f>(B14*F14*Q14)/27</f>
        <v>2.6666666666666665</v>
      </c>
      <c r="S14" s="137"/>
      <c r="T14" s="70" t="s">
        <v>49</v>
      </c>
      <c r="U14" s="137">
        <v>73</v>
      </c>
      <c r="V14" s="52">
        <f t="shared" si="3"/>
        <v>6.083333333333333</v>
      </c>
      <c r="W14" s="71">
        <f t="shared" si="0"/>
        <v>0.66653806584362141</v>
      </c>
      <c r="X14" s="82">
        <v>31</v>
      </c>
      <c r="Y14" s="83">
        <f t="shared" si="4"/>
        <v>2.5833333333333335</v>
      </c>
      <c r="Z14" s="84">
        <f>(D14*F14*Y14)/27</f>
        <v>0.26561689814814815</v>
      </c>
      <c r="AA14" s="137">
        <v>81</v>
      </c>
      <c r="AB14" s="137">
        <f>AA14/12</f>
        <v>6.75</v>
      </c>
      <c r="AC14" s="71">
        <f>(D14*F14*AB14)/27</f>
        <v>0.69403124999999999</v>
      </c>
      <c r="AD14" s="137">
        <v>32</v>
      </c>
      <c r="AE14" s="52">
        <f>AD14/12</f>
        <v>2.6666666666666665</v>
      </c>
      <c r="AF14" s="71">
        <f>(D14*F14*AE14)/27</f>
        <v>0.27418518518518514</v>
      </c>
      <c r="AG14" s="137">
        <v>48</v>
      </c>
      <c r="AH14" s="137">
        <f>AG14/12</f>
        <v>4</v>
      </c>
      <c r="AI14" s="104">
        <f>(D14*F14*AH14)/27</f>
        <v>0.4112777777777778</v>
      </c>
      <c r="AJ14" s="41"/>
      <c r="AK14" s="41"/>
      <c r="AL14" s="26"/>
      <c r="AM14" s="26"/>
      <c r="AN14" s="26"/>
      <c r="AO14" s="26"/>
      <c r="AP14" s="26"/>
      <c r="AQ14" s="26"/>
      <c r="AR14" s="26"/>
      <c r="AS14" s="26"/>
      <c r="AT14" s="26"/>
    </row>
    <row r="15" spans="2:46" x14ac:dyDescent="0.25">
      <c r="B15" s="180">
        <v>21</v>
      </c>
      <c r="C15" s="83">
        <f>'Rigid Round Culvert '!G9</f>
        <v>6.208333333333333</v>
      </c>
      <c r="D15" s="181">
        <v>5.8022499999999999</v>
      </c>
      <c r="E15" s="182"/>
      <c r="F15" s="183">
        <v>0.5</v>
      </c>
      <c r="G15" s="183"/>
      <c r="H15" s="179"/>
      <c r="I15" s="67" t="s">
        <v>49</v>
      </c>
      <c r="J15" s="52"/>
      <c r="K15" s="179"/>
      <c r="L15" s="67" t="s">
        <v>49</v>
      </c>
      <c r="M15" s="137">
        <v>96</v>
      </c>
      <c r="N15" s="137">
        <f>M15/12</f>
        <v>8</v>
      </c>
      <c r="O15" s="71">
        <f>(C15*F15*N15)/27</f>
        <v>0.91975308641975306</v>
      </c>
      <c r="P15" s="137"/>
      <c r="Q15" s="137"/>
      <c r="R15" s="74" t="s">
        <v>49</v>
      </c>
      <c r="S15" s="137"/>
      <c r="T15" s="70" t="s">
        <v>49</v>
      </c>
      <c r="U15" s="137">
        <v>73.5</v>
      </c>
      <c r="V15" s="52">
        <f t="shared" si="3"/>
        <v>6.125</v>
      </c>
      <c r="W15" s="71">
        <f t="shared" si="0"/>
        <v>0.70418595679012341</v>
      </c>
      <c r="X15" s="82">
        <v>36</v>
      </c>
      <c r="Y15" s="83">
        <f t="shared" si="4"/>
        <v>3</v>
      </c>
      <c r="Z15" s="84">
        <f>(D15*F15*Y15)/27</f>
        <v>0.32234722222222217</v>
      </c>
      <c r="AA15" s="137">
        <v>90</v>
      </c>
      <c r="AB15" s="137">
        <f t="shared" ref="AB15:AB20" si="5">AA15/12</f>
        <v>7.5</v>
      </c>
      <c r="AC15" s="71">
        <f>(D15*F15*AB15)/27</f>
        <v>0.80586805555555552</v>
      </c>
      <c r="AD15" s="137">
        <v>44</v>
      </c>
      <c r="AE15" s="52">
        <f t="shared" ref="AE15:AE24" si="6">AD15/12</f>
        <v>3.6666666666666665</v>
      </c>
      <c r="AF15" s="71">
        <f>(D15*F15*AE15)/27</f>
        <v>0.39397993827160493</v>
      </c>
      <c r="AG15" s="137">
        <v>66</v>
      </c>
      <c r="AH15" s="137">
        <f t="shared" ref="AH15:AH24" si="7">AG15/12</f>
        <v>5.5</v>
      </c>
      <c r="AI15" s="104">
        <f>(D15*F15*AH15)/27</f>
        <v>0.5909699074074074</v>
      </c>
      <c r="AJ15" s="41"/>
      <c r="AK15" s="41"/>
      <c r="AL15" s="26"/>
      <c r="AM15" s="26"/>
      <c r="AN15" s="26"/>
      <c r="AO15" s="26"/>
      <c r="AP15" s="26"/>
      <c r="AQ15" s="26"/>
      <c r="AR15" s="26"/>
      <c r="AS15" s="26"/>
      <c r="AT15" s="26"/>
    </row>
    <row r="16" spans="2:46" x14ac:dyDescent="0.25">
      <c r="B16" s="180">
        <v>24</v>
      </c>
      <c r="C16" s="83">
        <f>'Rigid Round Culvert '!G10</f>
        <v>6.5</v>
      </c>
      <c r="D16" s="181">
        <v>6.0522499999999999</v>
      </c>
      <c r="E16" s="182"/>
      <c r="F16" s="183">
        <v>0.5</v>
      </c>
      <c r="G16" s="183">
        <v>101</v>
      </c>
      <c r="H16" s="179">
        <f t="shared" ref="H16" si="8">G16/12</f>
        <v>8.4166666666666661</v>
      </c>
      <c r="I16" s="67">
        <f>(C16*F16*H16)/27</f>
        <v>1.0131172839506173</v>
      </c>
      <c r="J16" s="52">
        <v>148</v>
      </c>
      <c r="K16" s="179">
        <f t="shared" si="1"/>
        <v>12.333333333333334</v>
      </c>
      <c r="L16" s="67">
        <f>(C16*F16*K16)/27</f>
        <v>1.4845679012345681</v>
      </c>
      <c r="M16" s="137"/>
      <c r="N16" s="137"/>
      <c r="O16" s="70" t="s">
        <v>49</v>
      </c>
      <c r="P16" s="137">
        <v>144</v>
      </c>
      <c r="Q16" s="137">
        <f t="shared" si="2"/>
        <v>12</v>
      </c>
      <c r="R16" s="74">
        <f>(B16*F16*Q16)/27</f>
        <v>5.333333333333333</v>
      </c>
      <c r="S16" s="137"/>
      <c r="T16" s="70" t="s">
        <v>49</v>
      </c>
      <c r="U16" s="137">
        <v>73.5</v>
      </c>
      <c r="V16" s="52">
        <f t="shared" si="3"/>
        <v>6.125</v>
      </c>
      <c r="W16" s="71">
        <f t="shared" si="0"/>
        <v>0.73726851851851849</v>
      </c>
      <c r="X16" s="82">
        <v>41</v>
      </c>
      <c r="Y16" s="83">
        <f t="shared" si="4"/>
        <v>3.4166666666666665</v>
      </c>
      <c r="Z16" s="84">
        <f>(D16*F16*Y16)/27</f>
        <v>0.38293557098765435</v>
      </c>
      <c r="AA16" s="137">
        <v>111</v>
      </c>
      <c r="AB16" s="137">
        <f t="shared" si="5"/>
        <v>9.25</v>
      </c>
      <c r="AC16" s="71">
        <f>(D16*F16*AB16)/27</f>
        <v>1.0367280092592592</v>
      </c>
      <c r="AD16" s="137">
        <v>56</v>
      </c>
      <c r="AE16" s="52">
        <f t="shared" si="6"/>
        <v>4.666666666666667</v>
      </c>
      <c r="AF16" s="71">
        <f>(D16*F16*AE16)/27</f>
        <v>0.52303395061728397</v>
      </c>
      <c r="AG16" s="137">
        <v>84</v>
      </c>
      <c r="AH16" s="137">
        <f t="shared" si="7"/>
        <v>7</v>
      </c>
      <c r="AI16" s="104">
        <f>(D16*F16*AH16)/27</f>
        <v>0.7845509259259259</v>
      </c>
      <c r="AJ16" s="41"/>
      <c r="AK16" s="41"/>
      <c r="AL16" s="26"/>
      <c r="AM16" s="26"/>
      <c r="AN16" s="26"/>
      <c r="AO16" s="26"/>
      <c r="AP16" s="26"/>
      <c r="AQ16" s="26"/>
      <c r="AR16" s="26"/>
      <c r="AS16" s="26"/>
      <c r="AT16" s="26"/>
    </row>
    <row r="17" spans="2:46" x14ac:dyDescent="0.25">
      <c r="B17" s="180">
        <v>27</v>
      </c>
      <c r="C17" s="83">
        <f>'Rigid Round Culvert '!G11</f>
        <v>6.791666666666667</v>
      </c>
      <c r="D17" s="61"/>
      <c r="E17" s="182"/>
      <c r="F17" s="183">
        <v>0.5</v>
      </c>
      <c r="G17" s="183"/>
      <c r="H17" s="179"/>
      <c r="I17" s="67" t="s">
        <v>49</v>
      </c>
      <c r="J17" s="52"/>
      <c r="K17" s="179"/>
      <c r="L17" s="67" t="s">
        <v>49</v>
      </c>
      <c r="M17" s="137"/>
      <c r="N17" s="137"/>
      <c r="O17" s="70" t="s">
        <v>49</v>
      </c>
      <c r="P17" s="137"/>
      <c r="Q17" s="137"/>
      <c r="R17" s="75" t="s">
        <v>49</v>
      </c>
      <c r="S17" s="137"/>
      <c r="T17" s="70" t="s">
        <v>49</v>
      </c>
      <c r="U17" s="137">
        <v>73.5</v>
      </c>
      <c r="V17" s="52">
        <f t="shared" si="3"/>
        <v>6.125</v>
      </c>
      <c r="W17" s="71">
        <f t="shared" si="0"/>
        <v>0.77035108024691368</v>
      </c>
      <c r="X17" s="82"/>
      <c r="Y17" s="83"/>
      <c r="Z17" s="84" t="s">
        <v>49</v>
      </c>
      <c r="AA17" s="137"/>
      <c r="AB17" s="137"/>
      <c r="AC17" s="71" t="s">
        <v>49</v>
      </c>
      <c r="AD17" s="137"/>
      <c r="AE17" s="52"/>
      <c r="AF17" s="71" t="s">
        <v>49</v>
      </c>
      <c r="AG17" s="137"/>
      <c r="AH17" s="137"/>
      <c r="AI17" s="104" t="s">
        <v>49</v>
      </c>
      <c r="AJ17" s="41"/>
      <c r="AK17" s="41"/>
      <c r="AL17" s="26"/>
      <c r="AM17" s="26"/>
      <c r="AN17" s="26"/>
      <c r="AO17" s="26"/>
      <c r="AP17" s="26"/>
      <c r="AQ17" s="26"/>
      <c r="AR17" s="26"/>
      <c r="AS17" s="26"/>
      <c r="AT17" s="26"/>
    </row>
    <row r="18" spans="2:46" x14ac:dyDescent="0.25">
      <c r="B18" s="180">
        <v>30</v>
      </c>
      <c r="C18" s="83">
        <f>'Rigid Round Culvert '!G12</f>
        <v>7.083333333333333</v>
      </c>
      <c r="D18" s="181">
        <v>6.5547499999999994</v>
      </c>
      <c r="E18" s="182"/>
      <c r="F18" s="183">
        <v>0.5</v>
      </c>
      <c r="G18" s="183"/>
      <c r="H18" s="179"/>
      <c r="I18" s="67" t="s">
        <v>49</v>
      </c>
      <c r="J18" s="52"/>
      <c r="K18" s="179"/>
      <c r="L18" s="67" t="s">
        <v>49</v>
      </c>
      <c r="M18" s="137"/>
      <c r="N18" s="137"/>
      <c r="O18" s="70" t="s">
        <v>49</v>
      </c>
      <c r="P18" s="137"/>
      <c r="Q18" s="137"/>
      <c r="R18" s="75" t="s">
        <v>49</v>
      </c>
      <c r="S18" s="76">
        <v>8.5</v>
      </c>
      <c r="T18" s="140">
        <f>(C18*S18*F18)/27</f>
        <v>1.1149691358024691</v>
      </c>
      <c r="U18" s="141">
        <v>73.75</v>
      </c>
      <c r="V18" s="142">
        <f t="shared" si="3"/>
        <v>6.145833333333333</v>
      </c>
      <c r="W18" s="140">
        <f t="shared" si="0"/>
        <v>0.80616640946502049</v>
      </c>
      <c r="X18" s="143">
        <v>51</v>
      </c>
      <c r="Y18" s="144">
        <f t="shared" si="4"/>
        <v>4.25</v>
      </c>
      <c r="Z18" s="145">
        <f>(D18*F18*Y18)/27</f>
        <v>0.51588310185185182</v>
      </c>
      <c r="AA18" s="137">
        <v>153</v>
      </c>
      <c r="AB18" s="137">
        <f t="shared" si="5"/>
        <v>12.75</v>
      </c>
      <c r="AC18" s="71">
        <f>(D18*F18*AB18)/27</f>
        <v>1.5476493055555554</v>
      </c>
      <c r="AD18" s="137">
        <v>80</v>
      </c>
      <c r="AE18" s="52">
        <f t="shared" si="6"/>
        <v>6.666666666666667</v>
      </c>
      <c r="AF18" s="71">
        <f>(D18*F18*AE18)/27</f>
        <v>0.80922839506172839</v>
      </c>
      <c r="AG18" s="137">
        <v>120</v>
      </c>
      <c r="AH18" s="137">
        <f t="shared" si="7"/>
        <v>10</v>
      </c>
      <c r="AI18" s="104">
        <f>(D18*F18*AH18)/27</f>
        <v>1.2138425925925926</v>
      </c>
      <c r="AJ18" s="41"/>
      <c r="AK18" s="41"/>
      <c r="AL18" s="26"/>
      <c r="AM18" s="26"/>
      <c r="AN18" s="26"/>
      <c r="AO18" s="26"/>
      <c r="AP18" s="26"/>
      <c r="AQ18" s="26"/>
      <c r="AR18" s="26"/>
      <c r="AS18" s="26"/>
      <c r="AT18" s="26"/>
    </row>
    <row r="19" spans="2:46" hidden="1" x14ac:dyDescent="0.25">
      <c r="B19" s="185">
        <v>33</v>
      </c>
      <c r="C19" s="83">
        <f>'Rigid Round Culvert '!G13</f>
        <v>7.375</v>
      </c>
      <c r="D19" s="52"/>
      <c r="E19" s="182"/>
      <c r="F19" s="183">
        <v>0.5</v>
      </c>
      <c r="G19" s="183"/>
      <c r="H19" s="179"/>
      <c r="I19" s="67"/>
      <c r="J19" s="52"/>
      <c r="K19" s="179"/>
      <c r="L19" s="67"/>
      <c r="M19" s="137"/>
      <c r="N19" s="137"/>
      <c r="O19" s="70"/>
      <c r="P19" s="137"/>
      <c r="Q19" s="137"/>
      <c r="R19" s="75"/>
      <c r="S19" s="137"/>
      <c r="T19" s="140"/>
      <c r="U19" s="141"/>
      <c r="V19" s="142"/>
      <c r="W19" s="140"/>
      <c r="X19" s="143"/>
      <c r="Y19" s="144"/>
      <c r="Z19" s="145"/>
      <c r="AA19" s="137"/>
      <c r="AB19" s="137"/>
      <c r="AC19" s="71"/>
      <c r="AD19" s="137"/>
      <c r="AE19" s="52"/>
      <c r="AF19" s="71"/>
      <c r="AG19" s="137"/>
      <c r="AH19" s="137"/>
      <c r="AI19" s="104"/>
      <c r="AJ19" s="41"/>
      <c r="AK19" s="41"/>
      <c r="AL19" s="26"/>
      <c r="AM19" s="26"/>
      <c r="AN19" s="26"/>
      <c r="AO19" s="26"/>
      <c r="AP19" s="26"/>
      <c r="AQ19" s="26"/>
      <c r="AR19" s="26"/>
      <c r="AS19" s="26"/>
      <c r="AT19" s="26"/>
    </row>
    <row r="20" spans="2:46" x14ac:dyDescent="0.25">
      <c r="B20" s="180">
        <v>36</v>
      </c>
      <c r="C20" s="83">
        <f>'Rigid Round Culvert '!G14</f>
        <v>7.666666666666667</v>
      </c>
      <c r="D20" s="181">
        <v>7.0547499999999994</v>
      </c>
      <c r="E20" s="182"/>
      <c r="F20" s="183">
        <v>0.5</v>
      </c>
      <c r="G20" s="183"/>
      <c r="H20" s="179"/>
      <c r="I20" s="67" t="s">
        <v>49</v>
      </c>
      <c r="J20" s="52"/>
      <c r="K20" s="179"/>
      <c r="L20" s="67" t="s">
        <v>49</v>
      </c>
      <c r="M20" s="137"/>
      <c r="N20" s="137"/>
      <c r="O20" s="70" t="s">
        <v>49</v>
      </c>
      <c r="P20" s="137"/>
      <c r="Q20" s="137"/>
      <c r="R20" s="75" t="s">
        <v>49</v>
      </c>
      <c r="S20" s="137">
        <v>8.5</v>
      </c>
      <c r="T20" s="140">
        <f t="shared" ref="T20:T25" si="9">(C20*S20*F20)/27</f>
        <v>1.2067901234567902</v>
      </c>
      <c r="U20" s="141">
        <v>97.75</v>
      </c>
      <c r="V20" s="142">
        <f t="shared" si="3"/>
        <v>8.1458333333333339</v>
      </c>
      <c r="W20" s="140">
        <f t="shared" ref="W20:W29" si="10">(C20*F20*V20)/27</f>
        <v>1.1565072016460907</v>
      </c>
      <c r="X20" s="143">
        <v>60</v>
      </c>
      <c r="Y20" s="144">
        <f t="shared" si="4"/>
        <v>5</v>
      </c>
      <c r="Z20" s="145">
        <f t="shared" ref="Z20:Z26" si="11">(D20*F20*Y20)/27</f>
        <v>0.6532175925925926</v>
      </c>
      <c r="AA20" s="137">
        <v>183</v>
      </c>
      <c r="AB20" s="137">
        <f t="shared" si="5"/>
        <v>15.25</v>
      </c>
      <c r="AC20" s="71">
        <f>(D20*F20*AB20)/27</f>
        <v>1.9923136574074074</v>
      </c>
      <c r="AD20" s="137">
        <v>104</v>
      </c>
      <c r="AE20" s="52">
        <f t="shared" si="6"/>
        <v>8.6666666666666661</v>
      </c>
      <c r="AF20" s="71">
        <f>(D20*F20*AE20)/27</f>
        <v>1.1322438271604935</v>
      </c>
      <c r="AG20" s="137">
        <v>156</v>
      </c>
      <c r="AH20" s="137">
        <f t="shared" si="7"/>
        <v>13</v>
      </c>
      <c r="AI20" s="104">
        <f>(D20*F20*AH20)/27</f>
        <v>1.6983657407407406</v>
      </c>
      <c r="AJ20" s="41"/>
      <c r="AK20" s="41"/>
      <c r="AL20" s="26"/>
      <c r="AM20" s="26"/>
      <c r="AN20" s="26"/>
      <c r="AO20" s="26"/>
      <c r="AP20" s="26"/>
      <c r="AQ20" s="26"/>
      <c r="AR20" s="26"/>
      <c r="AS20" s="26"/>
      <c r="AT20" s="26"/>
    </row>
    <row r="21" spans="2:46" x14ac:dyDescent="0.25">
      <c r="B21" s="180">
        <v>42</v>
      </c>
      <c r="C21" s="83">
        <f>'Rigid Round Culvert '!G15</f>
        <v>8.25</v>
      </c>
      <c r="D21" s="181">
        <v>7.5597333333333339</v>
      </c>
      <c r="E21" s="182"/>
      <c r="F21" s="183">
        <v>0.5</v>
      </c>
      <c r="G21" s="183"/>
      <c r="H21" s="179"/>
      <c r="I21" s="67" t="s">
        <v>49</v>
      </c>
      <c r="J21" s="52"/>
      <c r="K21" s="179"/>
      <c r="L21" s="67" t="s">
        <v>49</v>
      </c>
      <c r="M21" s="137"/>
      <c r="N21" s="137"/>
      <c r="O21" s="70" t="s">
        <v>49</v>
      </c>
      <c r="P21" s="137"/>
      <c r="Q21" s="137"/>
      <c r="R21" s="75" t="s">
        <v>49</v>
      </c>
      <c r="S21" s="137">
        <v>12</v>
      </c>
      <c r="T21" s="140">
        <f t="shared" si="9"/>
        <v>1.8333333333333333</v>
      </c>
      <c r="U21" s="141">
        <v>98</v>
      </c>
      <c r="V21" s="142">
        <f t="shared" si="3"/>
        <v>8.1666666666666661</v>
      </c>
      <c r="W21" s="140">
        <f t="shared" si="10"/>
        <v>1.2476851851851851</v>
      </c>
      <c r="X21" s="143">
        <v>69</v>
      </c>
      <c r="Y21" s="144">
        <f t="shared" si="4"/>
        <v>5.75</v>
      </c>
      <c r="Z21" s="145">
        <f t="shared" si="11"/>
        <v>0.80497160493827169</v>
      </c>
      <c r="AA21" s="137"/>
      <c r="AB21" s="137"/>
      <c r="AC21" s="70" t="s">
        <v>49</v>
      </c>
      <c r="AD21" s="137">
        <v>128</v>
      </c>
      <c r="AE21" s="52">
        <f t="shared" si="6"/>
        <v>10.666666666666666</v>
      </c>
      <c r="AF21" s="71">
        <f>(D21*F21*AE21)/27</f>
        <v>1.4932806584362139</v>
      </c>
      <c r="AG21" s="137">
        <v>192</v>
      </c>
      <c r="AH21" s="137">
        <f t="shared" si="7"/>
        <v>16</v>
      </c>
      <c r="AI21" s="104">
        <f>(D21*F21*AH21)/27</f>
        <v>2.2399209876543211</v>
      </c>
      <c r="AJ21" s="41"/>
      <c r="AK21" s="41"/>
      <c r="AL21" s="26"/>
      <c r="AM21" s="26"/>
      <c r="AN21" s="26"/>
      <c r="AO21" s="26"/>
      <c r="AP21" s="26"/>
      <c r="AQ21" s="26"/>
      <c r="AR21" s="26"/>
      <c r="AS21" s="26"/>
      <c r="AT21" s="26"/>
    </row>
    <row r="22" spans="2:46" x14ac:dyDescent="0.25">
      <c r="B22" s="180">
        <v>48</v>
      </c>
      <c r="C22" s="83">
        <f>'Rigid Round Culvert '!G16</f>
        <v>8.8333333333333339</v>
      </c>
      <c r="D22" s="181">
        <v>8.0597333333333339</v>
      </c>
      <c r="E22" s="182"/>
      <c r="F22" s="183">
        <v>0.5</v>
      </c>
      <c r="G22" s="183"/>
      <c r="H22" s="179"/>
      <c r="I22" s="67" t="s">
        <v>49</v>
      </c>
      <c r="J22" s="52"/>
      <c r="K22" s="179"/>
      <c r="L22" s="67" t="s">
        <v>49</v>
      </c>
      <c r="M22" s="137"/>
      <c r="N22" s="137"/>
      <c r="O22" s="70" t="s">
        <v>49</v>
      </c>
      <c r="P22" s="137"/>
      <c r="Q22" s="137"/>
      <c r="R22" s="75" t="s">
        <v>49</v>
      </c>
      <c r="S22" s="137">
        <v>14</v>
      </c>
      <c r="T22" s="140">
        <f t="shared" si="9"/>
        <v>2.2901234567901234</v>
      </c>
      <c r="U22" s="141">
        <v>98</v>
      </c>
      <c r="V22" s="142">
        <f t="shared" si="3"/>
        <v>8.1666666666666661</v>
      </c>
      <c r="W22" s="140">
        <f t="shared" si="10"/>
        <v>1.3359053497942386</v>
      </c>
      <c r="X22" s="143">
        <v>78</v>
      </c>
      <c r="Y22" s="144">
        <f t="shared" si="4"/>
        <v>6.5</v>
      </c>
      <c r="Z22" s="145">
        <f t="shared" si="11"/>
        <v>0.97015308641975306</v>
      </c>
      <c r="AA22" s="137"/>
      <c r="AB22" s="137"/>
      <c r="AC22" s="70" t="s">
        <v>49</v>
      </c>
      <c r="AD22" s="137">
        <v>152</v>
      </c>
      <c r="AE22" s="52">
        <f t="shared" si="6"/>
        <v>12.666666666666666</v>
      </c>
      <c r="AF22" s="71">
        <f>(D22*F22*AE22)/27</f>
        <v>1.8905547325102883</v>
      </c>
      <c r="AG22" s="137">
        <v>228</v>
      </c>
      <c r="AH22" s="137">
        <f t="shared" si="7"/>
        <v>19</v>
      </c>
      <c r="AI22" s="104">
        <f>(D22*F22*AH22)/27</f>
        <v>2.8358320987654326</v>
      </c>
      <c r="AJ22" s="41"/>
      <c r="AK22" s="41"/>
      <c r="AL22" s="26"/>
      <c r="AM22" s="26"/>
      <c r="AN22" s="26"/>
      <c r="AO22" s="26"/>
      <c r="AP22" s="26"/>
      <c r="AQ22" s="26"/>
      <c r="AR22" s="26"/>
      <c r="AS22" s="26"/>
      <c r="AT22" s="26"/>
    </row>
    <row r="23" spans="2:46" x14ac:dyDescent="0.25">
      <c r="B23" s="180">
        <v>54</v>
      </c>
      <c r="C23" s="83">
        <f>'Rigid Round Culvert '!G17</f>
        <v>9.4166666666666661</v>
      </c>
      <c r="D23" s="181">
        <v>8.5597333333333339</v>
      </c>
      <c r="E23" s="182"/>
      <c r="F23" s="183">
        <v>0.5</v>
      </c>
      <c r="G23" s="183"/>
      <c r="H23" s="179"/>
      <c r="I23" s="67" t="s">
        <v>49</v>
      </c>
      <c r="J23" s="52"/>
      <c r="K23" s="179"/>
      <c r="L23" s="67" t="s">
        <v>49</v>
      </c>
      <c r="M23" s="137"/>
      <c r="N23" s="137"/>
      <c r="O23" s="70" t="s">
        <v>49</v>
      </c>
      <c r="P23" s="137"/>
      <c r="Q23" s="137"/>
      <c r="R23" s="75" t="s">
        <v>49</v>
      </c>
      <c r="S23" s="137">
        <v>16</v>
      </c>
      <c r="T23" s="140">
        <f t="shared" si="9"/>
        <v>2.7901234567901234</v>
      </c>
      <c r="U23" s="141">
        <v>98.25</v>
      </c>
      <c r="V23" s="142">
        <f t="shared" si="3"/>
        <v>8.1875</v>
      </c>
      <c r="W23" s="140">
        <f t="shared" si="10"/>
        <v>1.427758487654321</v>
      </c>
      <c r="X23" s="143">
        <v>84</v>
      </c>
      <c r="Y23" s="144">
        <f t="shared" si="4"/>
        <v>7</v>
      </c>
      <c r="Z23" s="145">
        <f t="shared" si="11"/>
        <v>1.1095950617283952</v>
      </c>
      <c r="AA23" s="137"/>
      <c r="AB23" s="137"/>
      <c r="AC23" s="70" t="s">
        <v>49</v>
      </c>
      <c r="AD23" s="137">
        <v>176</v>
      </c>
      <c r="AE23" s="52">
        <f t="shared" si="6"/>
        <v>14.666666666666666</v>
      </c>
      <c r="AF23" s="71">
        <f>(D23*F23*AE23)/27</f>
        <v>2.3248658436213994</v>
      </c>
      <c r="AG23" s="137">
        <v>264</v>
      </c>
      <c r="AH23" s="137">
        <f t="shared" si="7"/>
        <v>22</v>
      </c>
      <c r="AI23" s="104">
        <f>(D23*F23*AH23)/27</f>
        <v>3.487298765432099</v>
      </c>
      <c r="AJ23" s="41"/>
      <c r="AK23" s="41"/>
      <c r="AL23" s="26"/>
    </row>
    <row r="24" spans="2:46" x14ac:dyDescent="0.25">
      <c r="B24" s="180">
        <v>60</v>
      </c>
      <c r="C24" s="83">
        <f>'Rigid Round Culvert '!G18</f>
        <v>10</v>
      </c>
      <c r="D24" s="181">
        <v>9.0647000000000002</v>
      </c>
      <c r="E24" s="182"/>
      <c r="F24" s="183">
        <v>0.5</v>
      </c>
      <c r="G24" s="183"/>
      <c r="H24" s="179"/>
      <c r="I24" s="67" t="s">
        <v>49</v>
      </c>
      <c r="J24" s="52"/>
      <c r="K24" s="179"/>
      <c r="L24" s="67" t="s">
        <v>49</v>
      </c>
      <c r="M24" s="137"/>
      <c r="N24" s="137"/>
      <c r="O24" s="70" t="s">
        <v>49</v>
      </c>
      <c r="P24" s="137"/>
      <c r="Q24" s="137"/>
      <c r="R24" s="75" t="s">
        <v>49</v>
      </c>
      <c r="S24" s="137">
        <v>18</v>
      </c>
      <c r="T24" s="140">
        <f t="shared" si="9"/>
        <v>3.3333333333333335</v>
      </c>
      <c r="U24" s="141">
        <v>99</v>
      </c>
      <c r="V24" s="142">
        <f t="shared" si="3"/>
        <v>8.25</v>
      </c>
      <c r="W24" s="140">
        <f t="shared" si="10"/>
        <v>1.5277777777777777</v>
      </c>
      <c r="X24" s="143">
        <v>87</v>
      </c>
      <c r="Y24" s="144">
        <f t="shared" si="4"/>
        <v>7.25</v>
      </c>
      <c r="Z24" s="145">
        <f t="shared" si="11"/>
        <v>1.2170199074074075</v>
      </c>
      <c r="AA24" s="137"/>
      <c r="AB24" s="137"/>
      <c r="AC24" s="70" t="s">
        <v>49</v>
      </c>
      <c r="AD24" s="137">
        <v>200</v>
      </c>
      <c r="AE24" s="52">
        <f t="shared" si="6"/>
        <v>16.666666666666668</v>
      </c>
      <c r="AF24" s="71">
        <f>(D24*F24*AE24)/27</f>
        <v>2.7977469135802471</v>
      </c>
      <c r="AG24" s="137">
        <v>300</v>
      </c>
      <c r="AH24" s="137">
        <f t="shared" si="7"/>
        <v>25</v>
      </c>
      <c r="AI24" s="104">
        <f>(D24*F24*AH24)/27</f>
        <v>4.1966203703703702</v>
      </c>
      <c r="AJ24" s="41"/>
      <c r="AK24" s="41"/>
      <c r="AL24" s="26"/>
    </row>
    <row r="25" spans="2:46" x14ac:dyDescent="0.25">
      <c r="B25" s="180">
        <v>66</v>
      </c>
      <c r="C25" s="83">
        <f>'Rigid Round Culvert '!G19</f>
        <v>10.583333333333334</v>
      </c>
      <c r="D25" s="181">
        <v>9.5647000000000002</v>
      </c>
      <c r="E25" s="182"/>
      <c r="F25" s="183">
        <v>0.5</v>
      </c>
      <c r="G25" s="183"/>
      <c r="H25" s="179"/>
      <c r="I25" s="67" t="s">
        <v>49</v>
      </c>
      <c r="J25" s="52"/>
      <c r="K25" s="179"/>
      <c r="L25" s="67" t="s">
        <v>49</v>
      </c>
      <c r="M25" s="137"/>
      <c r="N25" s="137"/>
      <c r="O25" s="70" t="s">
        <v>49</v>
      </c>
      <c r="P25" s="137"/>
      <c r="Q25" s="137"/>
      <c r="R25" s="75" t="s">
        <v>49</v>
      </c>
      <c r="S25" s="137">
        <v>22</v>
      </c>
      <c r="T25" s="140">
        <f t="shared" si="9"/>
        <v>4.3117283950617287</v>
      </c>
      <c r="U25" s="141">
        <v>99</v>
      </c>
      <c r="V25" s="142">
        <f t="shared" si="3"/>
        <v>8.25</v>
      </c>
      <c r="W25" s="140">
        <f t="shared" si="10"/>
        <v>1.6168981481481481</v>
      </c>
      <c r="X25" s="143">
        <v>87</v>
      </c>
      <c r="Y25" s="144">
        <f t="shared" si="4"/>
        <v>7.25</v>
      </c>
      <c r="Z25" s="145">
        <f t="shared" si="11"/>
        <v>1.284149537037037</v>
      </c>
      <c r="AA25" s="137"/>
      <c r="AB25" s="137"/>
      <c r="AC25" s="70" t="s">
        <v>49</v>
      </c>
      <c r="AD25" s="137"/>
      <c r="AE25" s="137"/>
      <c r="AF25" s="70" t="s">
        <v>49</v>
      </c>
      <c r="AG25" s="137"/>
      <c r="AH25" s="137"/>
      <c r="AI25" s="138" t="s">
        <v>49</v>
      </c>
      <c r="AJ25" s="41"/>
      <c r="AK25" s="41"/>
      <c r="AL25" s="26"/>
    </row>
    <row r="26" spans="2:46" x14ac:dyDescent="0.25">
      <c r="B26" s="180">
        <v>72</v>
      </c>
      <c r="C26" s="83">
        <f>'Rigid Round Culvert '!G20</f>
        <v>11.166666666666666</v>
      </c>
      <c r="D26" s="181">
        <v>10.0647</v>
      </c>
      <c r="E26" s="182"/>
      <c r="F26" s="183">
        <v>0.5</v>
      </c>
      <c r="G26" s="183"/>
      <c r="H26" s="179"/>
      <c r="I26" s="67" t="s">
        <v>49</v>
      </c>
      <c r="J26" s="52"/>
      <c r="K26" s="179"/>
      <c r="L26" s="67" t="s">
        <v>49</v>
      </c>
      <c r="M26" s="137"/>
      <c r="N26" s="137"/>
      <c r="O26" s="70" t="s">
        <v>49</v>
      </c>
      <c r="P26" s="137"/>
      <c r="Q26" s="137"/>
      <c r="R26" s="75" t="s">
        <v>49</v>
      </c>
      <c r="S26" s="137"/>
      <c r="T26" s="146" t="s">
        <v>49</v>
      </c>
      <c r="U26" s="141">
        <v>99</v>
      </c>
      <c r="V26" s="142">
        <f t="shared" si="3"/>
        <v>8.25</v>
      </c>
      <c r="W26" s="140">
        <f t="shared" si="10"/>
        <v>1.7060185185185186</v>
      </c>
      <c r="X26" s="143">
        <v>87</v>
      </c>
      <c r="Y26" s="144">
        <f t="shared" si="4"/>
        <v>7.25</v>
      </c>
      <c r="Z26" s="145">
        <f t="shared" si="11"/>
        <v>1.3512791666666668</v>
      </c>
      <c r="AA26" s="137"/>
      <c r="AB26" s="137"/>
      <c r="AC26" s="70" t="s">
        <v>49</v>
      </c>
      <c r="AD26" s="137"/>
      <c r="AE26" s="137"/>
      <c r="AF26" s="70" t="s">
        <v>49</v>
      </c>
      <c r="AG26" s="137"/>
      <c r="AH26" s="137"/>
      <c r="AI26" s="138" t="s">
        <v>49</v>
      </c>
      <c r="AJ26" s="41"/>
      <c r="AK26" s="41"/>
      <c r="AL26" s="26"/>
    </row>
    <row r="27" spans="2:46" x14ac:dyDescent="0.25">
      <c r="B27" s="180">
        <v>78</v>
      </c>
      <c r="C27" s="83">
        <f>'Rigid Round Culvert '!G21</f>
        <v>11.75</v>
      </c>
      <c r="D27" s="186"/>
      <c r="E27" s="83">
        <f>'Flex Round Culv_3041'!I6</f>
        <v>10.596416666666666</v>
      </c>
      <c r="F27" s="183">
        <v>0.5</v>
      </c>
      <c r="G27" s="183"/>
      <c r="H27" s="179"/>
      <c r="I27" s="67" t="s">
        <v>49</v>
      </c>
      <c r="J27" s="52"/>
      <c r="K27" s="179"/>
      <c r="L27" s="67" t="s">
        <v>49</v>
      </c>
      <c r="M27" s="137"/>
      <c r="N27" s="137"/>
      <c r="O27" s="70" t="s">
        <v>49</v>
      </c>
      <c r="P27" s="137"/>
      <c r="Q27" s="137"/>
      <c r="R27" s="75" t="s">
        <v>49</v>
      </c>
      <c r="S27" s="137"/>
      <c r="T27" s="146" t="s">
        <v>49</v>
      </c>
      <c r="U27" s="141">
        <v>111</v>
      </c>
      <c r="V27" s="142">
        <f t="shared" si="3"/>
        <v>9.25</v>
      </c>
      <c r="W27" s="140">
        <f t="shared" si="10"/>
        <v>2.0127314814814814</v>
      </c>
      <c r="X27" s="143">
        <v>87</v>
      </c>
      <c r="Y27" s="144">
        <f t="shared" si="4"/>
        <v>7.25</v>
      </c>
      <c r="Z27" s="145">
        <f>(E27*Y27*F27)/27</f>
        <v>1.4226670524691358</v>
      </c>
      <c r="AA27" s="137"/>
      <c r="AB27" s="137"/>
      <c r="AC27" s="70" t="s">
        <v>49</v>
      </c>
      <c r="AD27" s="137"/>
      <c r="AE27" s="137"/>
      <c r="AF27" s="70" t="s">
        <v>49</v>
      </c>
      <c r="AG27" s="137"/>
      <c r="AH27" s="137"/>
      <c r="AI27" s="138" t="s">
        <v>49</v>
      </c>
      <c r="AJ27" s="41"/>
      <c r="AK27" s="41"/>
      <c r="AL27" s="26"/>
    </row>
    <row r="28" spans="2:46" x14ac:dyDescent="0.25">
      <c r="B28" s="180">
        <v>84</v>
      </c>
      <c r="C28" s="83">
        <f>'Rigid Round Culvert '!G22</f>
        <v>12.333333333333334</v>
      </c>
      <c r="D28" s="186"/>
      <c r="E28" s="83">
        <f>'Flex Round Culv_3041'!I7</f>
        <v>11.1014</v>
      </c>
      <c r="F28" s="183">
        <v>0.5</v>
      </c>
      <c r="G28" s="183"/>
      <c r="H28" s="179"/>
      <c r="I28" s="67" t="s">
        <v>49</v>
      </c>
      <c r="J28" s="52"/>
      <c r="K28" s="179"/>
      <c r="L28" s="67" t="s">
        <v>49</v>
      </c>
      <c r="M28" s="137"/>
      <c r="N28" s="137"/>
      <c r="O28" s="70" t="s">
        <v>49</v>
      </c>
      <c r="P28" s="137"/>
      <c r="Q28" s="137"/>
      <c r="R28" s="75" t="s">
        <v>49</v>
      </c>
      <c r="S28" s="137"/>
      <c r="T28" s="146" t="s">
        <v>49</v>
      </c>
      <c r="U28" s="141">
        <v>111.5</v>
      </c>
      <c r="V28" s="142">
        <f t="shared" si="3"/>
        <v>9.2916666666666661</v>
      </c>
      <c r="W28" s="140">
        <f t="shared" si="10"/>
        <v>2.1221707818930038</v>
      </c>
      <c r="X28" s="143">
        <v>87</v>
      </c>
      <c r="Y28" s="144">
        <f t="shared" si="4"/>
        <v>7.25</v>
      </c>
      <c r="Z28" s="145">
        <f>(E28*Y28*F28)/27</f>
        <v>1.4904657407407409</v>
      </c>
      <c r="AA28" s="137"/>
      <c r="AB28" s="137"/>
      <c r="AC28" s="70" t="s">
        <v>49</v>
      </c>
      <c r="AD28" s="137"/>
      <c r="AE28" s="137"/>
      <c r="AF28" s="70" t="s">
        <v>49</v>
      </c>
      <c r="AG28" s="137"/>
      <c r="AH28" s="137"/>
      <c r="AI28" s="138" t="s">
        <v>49</v>
      </c>
      <c r="AJ28" s="41"/>
      <c r="AK28" s="41"/>
      <c r="AL28" s="26"/>
    </row>
    <row r="29" spans="2:46" ht="15.75" thickBot="1" x14ac:dyDescent="0.3">
      <c r="B29" s="187">
        <v>90</v>
      </c>
      <c r="C29" s="117">
        <f>'Rigid Round Culvert '!G23</f>
        <v>12.916666666666666</v>
      </c>
      <c r="D29" s="188"/>
      <c r="E29" s="117">
        <f>'Flex Round Culv_3041'!I8</f>
        <v>11.6014</v>
      </c>
      <c r="F29" s="189">
        <v>0.5</v>
      </c>
      <c r="G29" s="189"/>
      <c r="H29" s="190"/>
      <c r="I29" s="191" t="s">
        <v>49</v>
      </c>
      <c r="J29" s="106"/>
      <c r="K29" s="190"/>
      <c r="L29" s="191" t="s">
        <v>49</v>
      </c>
      <c r="M29" s="134"/>
      <c r="N29" s="134"/>
      <c r="O29" s="192" t="s">
        <v>49</v>
      </c>
      <c r="P29" s="134"/>
      <c r="Q29" s="134"/>
      <c r="R29" s="193" t="s">
        <v>49</v>
      </c>
      <c r="S29" s="134"/>
      <c r="T29" s="192" t="s">
        <v>49</v>
      </c>
      <c r="U29" s="134">
        <v>111.5</v>
      </c>
      <c r="V29" s="106">
        <f t="shared" si="3"/>
        <v>9.2916666666666661</v>
      </c>
      <c r="W29" s="194">
        <f t="shared" si="10"/>
        <v>2.2225437242798352</v>
      </c>
      <c r="X29" s="134"/>
      <c r="Y29" s="134"/>
      <c r="Z29" s="192" t="s">
        <v>49</v>
      </c>
      <c r="AA29" s="134"/>
      <c r="AB29" s="134"/>
      <c r="AC29" s="192" t="s">
        <v>49</v>
      </c>
      <c r="AD29" s="134"/>
      <c r="AE29" s="134"/>
      <c r="AF29" s="192" t="s">
        <v>49</v>
      </c>
      <c r="AG29" s="134"/>
      <c r="AH29" s="134"/>
      <c r="AI29" s="135" t="s">
        <v>49</v>
      </c>
      <c r="AJ29" s="41"/>
      <c r="AK29" s="41"/>
      <c r="AL29" s="26"/>
    </row>
    <row r="30" spans="2:46" hidden="1" x14ac:dyDescent="0.25">
      <c r="B30" s="63">
        <v>96</v>
      </c>
      <c r="C30" s="18">
        <f>'Rigid Round Culvert '!G24</f>
        <v>13.5</v>
      </c>
      <c r="D30" s="27"/>
      <c r="E30" s="18">
        <f>'Flex Round Culv_3041'!I9</f>
        <v>12.1014</v>
      </c>
      <c r="F30" s="2">
        <v>0.5</v>
      </c>
      <c r="G30" s="2"/>
      <c r="H30" s="65"/>
      <c r="I30" s="65"/>
      <c r="J30" s="23"/>
      <c r="K30" s="65"/>
      <c r="L30" s="65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26"/>
    </row>
    <row r="31" spans="2:46" hidden="1" x14ac:dyDescent="0.25">
      <c r="B31" s="63">
        <v>102</v>
      </c>
      <c r="C31" s="18">
        <f>'Rigid Round Culvert '!G25</f>
        <v>14.083333333333334</v>
      </c>
      <c r="D31" s="27"/>
      <c r="E31" s="18">
        <f>'Flex Round Culv_3041'!I10</f>
        <v>12.6014</v>
      </c>
      <c r="F31" s="2">
        <v>0.5</v>
      </c>
      <c r="G31" s="2"/>
      <c r="H31" s="65"/>
      <c r="I31" s="65"/>
      <c r="J31" s="23"/>
      <c r="K31" s="65"/>
      <c r="L31" s="65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26"/>
    </row>
    <row r="32" spans="2:46" hidden="1" x14ac:dyDescent="0.25">
      <c r="B32" s="63">
        <v>108</v>
      </c>
      <c r="C32" s="18">
        <f>'Rigid Round Culvert '!G26</f>
        <v>14.666666666666666</v>
      </c>
      <c r="D32" s="27"/>
      <c r="E32" s="18">
        <f>'Flex Round Culv_3041'!I11</f>
        <v>13.106366666666666</v>
      </c>
      <c r="F32" s="2">
        <v>0.5</v>
      </c>
      <c r="G32" s="2"/>
      <c r="H32" s="65"/>
      <c r="I32" s="65"/>
      <c r="J32" s="23"/>
      <c r="K32" s="65"/>
      <c r="L32" s="65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26"/>
    </row>
    <row r="33" spans="2:38" hidden="1" x14ac:dyDescent="0.25">
      <c r="B33" s="64">
        <v>114</v>
      </c>
      <c r="D33" s="27"/>
      <c r="E33" s="18">
        <f>'Flex Round Culv_3041'!I12</f>
        <v>13.611350000000002</v>
      </c>
      <c r="G33" s="41"/>
      <c r="H33" s="65"/>
      <c r="I33" s="65"/>
      <c r="J33" s="23"/>
      <c r="K33" s="65"/>
      <c r="L33" s="65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26"/>
    </row>
    <row r="34" spans="2:38" hidden="1" x14ac:dyDescent="0.25">
      <c r="B34" s="64">
        <v>120</v>
      </c>
      <c r="D34" s="27"/>
      <c r="E34" s="18">
        <f>'Flex Round Culv_3041'!I13</f>
        <v>14.111350000000002</v>
      </c>
      <c r="G34" s="41"/>
      <c r="H34" s="65"/>
      <c r="I34" s="65"/>
      <c r="J34" s="23"/>
      <c r="K34" s="65"/>
      <c r="L34" s="65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26"/>
    </row>
    <row r="35" spans="2:38" x14ac:dyDescent="0.25">
      <c r="G35" s="41"/>
      <c r="H35" s="23"/>
      <c r="I35" s="23"/>
      <c r="J35" s="23"/>
      <c r="K35" s="23"/>
      <c r="L35" s="23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26"/>
    </row>
    <row r="36" spans="2:38" x14ac:dyDescent="0.25">
      <c r="B36" s="62" t="s">
        <v>65</v>
      </c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</row>
    <row r="37" spans="2:38" ht="17.25" x14ac:dyDescent="0.25">
      <c r="B37" t="s">
        <v>109</v>
      </c>
    </row>
    <row r="38" spans="2:38" ht="17.25" x14ac:dyDescent="0.25">
      <c r="B38" t="s">
        <v>118</v>
      </c>
    </row>
  </sheetData>
  <mergeCells count="16">
    <mergeCell ref="S6:T6"/>
    <mergeCell ref="G5:T5"/>
    <mergeCell ref="S7:T7"/>
    <mergeCell ref="AD7:AF7"/>
    <mergeCell ref="AG7:AI7"/>
    <mergeCell ref="M6:R6"/>
    <mergeCell ref="G6:L6"/>
    <mergeCell ref="G7:I7"/>
    <mergeCell ref="J7:L7"/>
    <mergeCell ref="M7:O7"/>
    <mergeCell ref="P7:R7"/>
    <mergeCell ref="U5:W7"/>
    <mergeCell ref="X5:Z7"/>
    <mergeCell ref="AA7:AC7"/>
    <mergeCell ref="AA5:AC6"/>
    <mergeCell ref="AD5:AI6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8"/>
  <sheetViews>
    <sheetView tabSelected="1" topLeftCell="B1" workbookViewId="0">
      <selection activeCell="AM4" sqref="AM4"/>
    </sheetView>
  </sheetViews>
  <sheetFormatPr defaultRowHeight="15" x14ac:dyDescent="0.25"/>
  <cols>
    <col min="1" max="1" width="0" hidden="1" customWidth="1"/>
    <col min="2" max="2" width="4.28515625" customWidth="1"/>
    <col min="3" max="3" width="11.7109375" customWidth="1"/>
    <col min="6" max="8" width="9.140625" hidden="1" customWidth="1"/>
    <col min="9" max="9" width="20.85546875" customWidth="1"/>
    <col min="10" max="10" width="9.5703125" hidden="1" customWidth="1"/>
    <col min="11" max="12" width="9.140625" hidden="1" customWidth="1"/>
    <col min="13" max="13" width="9.5703125" hidden="1" customWidth="1"/>
    <col min="14" max="14" width="20.7109375" customWidth="1"/>
    <col min="15" max="18" width="9.140625" hidden="1" customWidth="1"/>
    <col min="19" max="19" width="20.85546875" customWidth="1"/>
    <col min="22" max="22" width="12" customWidth="1"/>
    <col min="25" max="27" width="9.140625" hidden="1" customWidth="1"/>
    <col min="28" max="28" width="9.5703125" hidden="1" customWidth="1"/>
    <col min="29" max="29" width="21" customWidth="1"/>
    <col min="30" max="31" width="9.140625" hidden="1" customWidth="1"/>
    <col min="32" max="32" width="21.7109375" customWidth="1"/>
    <col min="33" max="33" width="9.140625" hidden="1" customWidth="1"/>
    <col min="34" max="34" width="10.5703125" hidden="1" customWidth="1"/>
    <col min="35" max="35" width="21.28515625" customWidth="1"/>
    <col min="36" max="37" width="9.140625" hidden="1" customWidth="1"/>
    <col min="38" max="38" width="22.140625" customWidth="1"/>
  </cols>
  <sheetData>
    <row r="1" spans="1:38" x14ac:dyDescent="0.25">
      <c r="C1" s="62" t="s">
        <v>87</v>
      </c>
      <c r="AL1" s="85" t="s">
        <v>123</v>
      </c>
    </row>
    <row r="2" spans="1:38" x14ac:dyDescent="0.25">
      <c r="C2" t="s">
        <v>119</v>
      </c>
    </row>
    <row r="3" spans="1:38" x14ac:dyDescent="0.25">
      <c r="C3" t="s">
        <v>66</v>
      </c>
    </row>
    <row r="4" spans="1:38" x14ac:dyDescent="0.25">
      <c r="C4" s="85"/>
    </row>
    <row r="5" spans="1:38" ht="15.75" thickBot="1" x14ac:dyDescent="0.3">
      <c r="C5" s="85"/>
    </row>
    <row r="6" spans="1:38" ht="16.5" customHeight="1" thickBot="1" x14ac:dyDescent="0.3">
      <c r="C6" s="245" t="s">
        <v>76</v>
      </c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7"/>
      <c r="V6" s="245" t="s">
        <v>78</v>
      </c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7"/>
    </row>
    <row r="7" spans="1:38" ht="63.75" customHeight="1" thickBot="1" x14ac:dyDescent="0.3">
      <c r="C7" s="252"/>
      <c r="D7" s="253"/>
      <c r="E7" s="254"/>
      <c r="F7" s="239" t="s">
        <v>103</v>
      </c>
      <c r="G7" s="240"/>
      <c r="H7" s="240"/>
      <c r="I7" s="241"/>
      <c r="J7" s="260" t="s">
        <v>104</v>
      </c>
      <c r="K7" s="261"/>
      <c r="L7" s="261"/>
      <c r="M7" s="261"/>
      <c r="N7" s="261"/>
      <c r="O7" s="261"/>
      <c r="P7" s="261"/>
      <c r="Q7" s="261"/>
      <c r="R7" s="261"/>
      <c r="S7" s="262"/>
      <c r="V7" s="252"/>
      <c r="W7" s="253"/>
      <c r="X7" s="254"/>
      <c r="Y7" s="239" t="s">
        <v>105</v>
      </c>
      <c r="Z7" s="240"/>
      <c r="AA7" s="240"/>
      <c r="AB7" s="240"/>
      <c r="AC7" s="241"/>
      <c r="AD7" s="239" t="s">
        <v>100</v>
      </c>
      <c r="AE7" s="240"/>
      <c r="AF7" s="241"/>
      <c r="AG7" s="248" t="s">
        <v>106</v>
      </c>
      <c r="AH7" s="249"/>
      <c r="AI7" s="249"/>
      <c r="AJ7" s="249"/>
      <c r="AK7" s="249"/>
      <c r="AL7" s="250"/>
    </row>
    <row r="8" spans="1:38" ht="31.5" customHeight="1" thickBot="1" x14ac:dyDescent="0.3">
      <c r="C8" s="255"/>
      <c r="D8" s="256"/>
      <c r="E8" s="257"/>
      <c r="F8" s="242"/>
      <c r="G8" s="243"/>
      <c r="H8" s="243"/>
      <c r="I8" s="244"/>
      <c r="J8" s="258" t="s">
        <v>79</v>
      </c>
      <c r="K8" s="258"/>
      <c r="L8" s="258"/>
      <c r="M8" s="258"/>
      <c r="N8" s="258"/>
      <c r="O8" s="258" t="s">
        <v>80</v>
      </c>
      <c r="P8" s="258"/>
      <c r="Q8" s="258"/>
      <c r="R8" s="258"/>
      <c r="S8" s="259"/>
      <c r="V8" s="263"/>
      <c r="W8" s="264"/>
      <c r="X8" s="265"/>
      <c r="Y8" s="242"/>
      <c r="Z8" s="243"/>
      <c r="AA8" s="243"/>
      <c r="AB8" s="243"/>
      <c r="AC8" s="244"/>
      <c r="AD8" s="251" t="s">
        <v>74</v>
      </c>
      <c r="AE8" s="231"/>
      <c r="AF8" s="232"/>
      <c r="AG8" s="251" t="s">
        <v>75</v>
      </c>
      <c r="AH8" s="231"/>
      <c r="AI8" s="231"/>
      <c r="AJ8" s="231" t="s">
        <v>74</v>
      </c>
      <c r="AK8" s="231"/>
      <c r="AL8" s="232"/>
    </row>
    <row r="9" spans="1:38" ht="70.5" customHeight="1" thickBot="1" x14ac:dyDescent="0.3">
      <c r="A9" s="12" t="s">
        <v>20</v>
      </c>
      <c r="C9" s="109" t="s">
        <v>77</v>
      </c>
      <c r="D9" s="86" t="s">
        <v>21</v>
      </c>
      <c r="E9" s="87" t="s">
        <v>22</v>
      </c>
      <c r="F9" s="93" t="s">
        <v>67</v>
      </c>
      <c r="G9" s="94" t="s">
        <v>63</v>
      </c>
      <c r="H9" s="94" t="s">
        <v>64</v>
      </c>
      <c r="I9" s="171" t="s">
        <v>116</v>
      </c>
      <c r="J9" s="172" t="s">
        <v>63</v>
      </c>
      <c r="K9" s="173" t="s">
        <v>69</v>
      </c>
      <c r="L9" s="172" t="s">
        <v>68</v>
      </c>
      <c r="M9" s="172" t="s">
        <v>64</v>
      </c>
      <c r="N9" s="174" t="s">
        <v>116</v>
      </c>
      <c r="O9" s="172" t="s">
        <v>63</v>
      </c>
      <c r="P9" s="173" t="s">
        <v>70</v>
      </c>
      <c r="Q9" s="172" t="s">
        <v>68</v>
      </c>
      <c r="R9" s="172" t="s">
        <v>64</v>
      </c>
      <c r="S9" s="174" t="s">
        <v>116</v>
      </c>
      <c r="V9" s="110" t="s">
        <v>73</v>
      </c>
      <c r="W9" s="111" t="s">
        <v>22</v>
      </c>
      <c r="X9" s="111" t="s">
        <v>21</v>
      </c>
      <c r="Y9" s="112" t="s">
        <v>71</v>
      </c>
      <c r="Z9" s="112" t="s">
        <v>72</v>
      </c>
      <c r="AA9" s="113" t="s">
        <v>63</v>
      </c>
      <c r="AB9" s="113" t="s">
        <v>64</v>
      </c>
      <c r="AC9" s="174" t="s">
        <v>116</v>
      </c>
      <c r="AD9" s="175" t="s">
        <v>63</v>
      </c>
      <c r="AE9" s="175" t="s">
        <v>64</v>
      </c>
      <c r="AF9" s="174" t="s">
        <v>116</v>
      </c>
      <c r="AG9" s="176" t="s">
        <v>63</v>
      </c>
      <c r="AH9" s="176" t="s">
        <v>64</v>
      </c>
      <c r="AI9" s="171" t="s">
        <v>116</v>
      </c>
      <c r="AJ9" s="176" t="s">
        <v>63</v>
      </c>
      <c r="AK9" s="176" t="s">
        <v>64</v>
      </c>
      <c r="AL9" s="171" t="s">
        <v>116</v>
      </c>
    </row>
    <row r="10" spans="1:38" x14ac:dyDescent="0.25">
      <c r="A10" s="41">
        <v>22</v>
      </c>
      <c r="C10" s="95">
        <v>18</v>
      </c>
      <c r="D10" s="88">
        <v>13.5</v>
      </c>
      <c r="E10" s="88">
        <v>22</v>
      </c>
      <c r="F10" s="88">
        <v>6.25</v>
      </c>
      <c r="G10" s="88">
        <v>72</v>
      </c>
      <c r="H10" s="96">
        <f>G10/12</f>
        <v>6</v>
      </c>
      <c r="I10" s="83">
        <f t="shared" ref="I10:I19" si="0">(F10*H10*0.5)/27</f>
        <v>0.69444444444444442</v>
      </c>
      <c r="J10" s="83"/>
      <c r="K10" s="82"/>
      <c r="L10" s="82"/>
      <c r="M10" s="82"/>
      <c r="N10" s="82" t="s">
        <v>49</v>
      </c>
      <c r="O10" s="83"/>
      <c r="P10" s="82"/>
      <c r="Q10" s="82"/>
      <c r="R10" s="82"/>
      <c r="S10" s="114" t="s">
        <v>49</v>
      </c>
      <c r="V10" s="95">
        <v>15</v>
      </c>
      <c r="W10" s="88">
        <v>17</v>
      </c>
      <c r="X10" s="88">
        <v>13</v>
      </c>
      <c r="Y10" s="52">
        <v>5.4272499999999999</v>
      </c>
      <c r="Z10" s="52"/>
      <c r="AA10" s="51">
        <v>19</v>
      </c>
      <c r="AB10" s="52">
        <f>AA10/12</f>
        <v>1.5833333333333333</v>
      </c>
      <c r="AC10" s="52">
        <f t="shared" ref="AC10:AC21" si="1">(Y10*AB10*0.5)/27</f>
        <v>0.15913233024691356</v>
      </c>
      <c r="AD10" s="51"/>
      <c r="AE10" s="51"/>
      <c r="AF10" s="51" t="s">
        <v>49</v>
      </c>
      <c r="AG10" s="51"/>
      <c r="AH10" s="51"/>
      <c r="AI10" s="51" t="s">
        <v>49</v>
      </c>
      <c r="AJ10" s="51"/>
      <c r="AK10" s="51"/>
      <c r="AL10" s="103" t="s">
        <v>49</v>
      </c>
    </row>
    <row r="11" spans="1:38" x14ac:dyDescent="0.25">
      <c r="A11" s="57">
        <v>28</v>
      </c>
      <c r="C11" s="95">
        <v>24</v>
      </c>
      <c r="D11" s="97">
        <v>18</v>
      </c>
      <c r="E11" s="97">
        <v>28.5</v>
      </c>
      <c r="F11" s="88">
        <v>6.958333333333333</v>
      </c>
      <c r="G11" s="88">
        <v>72</v>
      </c>
      <c r="H11" s="96">
        <f t="shared" ref="H11:H19" si="2">G11/12</f>
        <v>6</v>
      </c>
      <c r="I11" s="83">
        <f t="shared" si="0"/>
        <v>0.77314814814814814</v>
      </c>
      <c r="J11" s="83"/>
      <c r="K11" s="82"/>
      <c r="L11" s="82"/>
      <c r="M11" s="82"/>
      <c r="N11" s="82" t="s">
        <v>49</v>
      </c>
      <c r="O11" s="83"/>
      <c r="P11" s="82"/>
      <c r="Q11" s="82"/>
      <c r="R11" s="82"/>
      <c r="S11" s="114" t="s">
        <v>49</v>
      </c>
      <c r="V11" s="95">
        <v>18</v>
      </c>
      <c r="W11" s="88">
        <v>21</v>
      </c>
      <c r="X11" s="97">
        <v>15</v>
      </c>
      <c r="Y11" s="52">
        <v>5.7605833333333329</v>
      </c>
      <c r="Z11" s="52"/>
      <c r="AA11" s="51">
        <v>23</v>
      </c>
      <c r="AB11" s="52">
        <f t="shared" ref="AB11:AB21" si="3">AA11/12</f>
        <v>1.9166666666666667</v>
      </c>
      <c r="AC11" s="52">
        <f t="shared" si="1"/>
        <v>0.20446514917695474</v>
      </c>
      <c r="AD11" s="51">
        <v>60</v>
      </c>
      <c r="AE11" s="51">
        <f>AD11/12</f>
        <v>5</v>
      </c>
      <c r="AF11" s="52">
        <f>(Y11*AE11*0.5)/27</f>
        <v>0.53338734567901236</v>
      </c>
      <c r="AG11" s="51">
        <v>20</v>
      </c>
      <c r="AH11" s="52">
        <f>AG11/12</f>
        <v>1.6666666666666667</v>
      </c>
      <c r="AI11" s="52">
        <f t="shared" ref="AI11:AI19" si="4">(Y11*AH11*0.5)/27</f>
        <v>0.1777957818930041</v>
      </c>
      <c r="AJ11" s="51">
        <v>30</v>
      </c>
      <c r="AK11" s="52">
        <f>AJ11/12</f>
        <v>2.5</v>
      </c>
      <c r="AL11" s="104">
        <f t="shared" ref="AL11:AL19" si="5">(Y11*AK11*0.5)/27</f>
        <v>0.26669367283950618</v>
      </c>
    </row>
    <row r="12" spans="1:38" x14ac:dyDescent="0.25">
      <c r="A12" s="57">
        <v>36</v>
      </c>
      <c r="B12" s="57"/>
      <c r="C12" s="95">
        <v>30</v>
      </c>
      <c r="D12" s="97">
        <v>22.5</v>
      </c>
      <c r="E12" s="98">
        <v>36.25</v>
      </c>
      <c r="F12" s="88">
        <v>7.6875</v>
      </c>
      <c r="G12" s="88">
        <v>96</v>
      </c>
      <c r="H12" s="96">
        <f t="shared" si="2"/>
        <v>8</v>
      </c>
      <c r="I12" s="83">
        <f t="shared" si="0"/>
        <v>1.1388888888888888</v>
      </c>
      <c r="J12" s="83"/>
      <c r="K12" s="82"/>
      <c r="L12" s="82"/>
      <c r="M12" s="82"/>
      <c r="N12" s="82" t="s">
        <v>49</v>
      </c>
      <c r="O12" s="83"/>
      <c r="P12" s="82"/>
      <c r="Q12" s="82"/>
      <c r="R12" s="82"/>
      <c r="S12" s="114" t="s">
        <v>49</v>
      </c>
      <c r="V12" s="95">
        <v>21</v>
      </c>
      <c r="W12" s="88">
        <v>24</v>
      </c>
      <c r="X12" s="97">
        <v>18</v>
      </c>
      <c r="Y12" s="52">
        <v>6.0105833333333329</v>
      </c>
      <c r="Z12" s="52"/>
      <c r="AA12" s="51">
        <v>28</v>
      </c>
      <c r="AB12" s="52">
        <f t="shared" si="3"/>
        <v>2.3333333333333335</v>
      </c>
      <c r="AC12" s="52">
        <f t="shared" si="1"/>
        <v>0.25971656378600821</v>
      </c>
      <c r="AD12" s="51">
        <v>81</v>
      </c>
      <c r="AE12" s="51">
        <f t="shared" ref="AE12:AE14" si="6">AD12/12</f>
        <v>6.75</v>
      </c>
      <c r="AF12" s="52">
        <f>(Y12*AE12*0.5)/27</f>
        <v>0.75132291666666662</v>
      </c>
      <c r="AG12" s="51">
        <v>32</v>
      </c>
      <c r="AH12" s="52">
        <f t="shared" ref="AH12:AH21" si="7">AG12/12</f>
        <v>2.6666666666666665</v>
      </c>
      <c r="AI12" s="52">
        <f t="shared" si="4"/>
        <v>0.29681893004115217</v>
      </c>
      <c r="AJ12" s="51">
        <v>48</v>
      </c>
      <c r="AK12" s="52">
        <f t="shared" ref="AK12:AK21" si="8">AJ12/12</f>
        <v>4</v>
      </c>
      <c r="AL12" s="104">
        <f t="shared" si="5"/>
        <v>0.44522839506172834</v>
      </c>
    </row>
    <row r="13" spans="1:38" x14ac:dyDescent="0.25">
      <c r="A13" s="57">
        <v>44</v>
      </c>
      <c r="B13" s="57"/>
      <c r="C13" s="95">
        <v>36</v>
      </c>
      <c r="D13" s="97">
        <v>26.625</v>
      </c>
      <c r="E13" s="97">
        <v>43.75</v>
      </c>
      <c r="F13" s="88">
        <v>8.3958333333333339</v>
      </c>
      <c r="G13" s="88">
        <v>96</v>
      </c>
      <c r="H13" s="96">
        <f t="shared" si="2"/>
        <v>8</v>
      </c>
      <c r="I13" s="83">
        <f t="shared" si="0"/>
        <v>1.2438271604938274</v>
      </c>
      <c r="J13" s="83"/>
      <c r="K13" s="82"/>
      <c r="L13" s="82"/>
      <c r="M13" s="82"/>
      <c r="N13" s="82" t="s">
        <v>49</v>
      </c>
      <c r="O13" s="83"/>
      <c r="P13" s="82"/>
      <c r="Q13" s="82"/>
      <c r="R13" s="82"/>
      <c r="S13" s="114" t="s">
        <v>49</v>
      </c>
      <c r="V13" s="95">
        <v>24</v>
      </c>
      <c r="W13" s="88">
        <v>28</v>
      </c>
      <c r="X13" s="88">
        <v>20</v>
      </c>
      <c r="Y13" s="52">
        <v>6.343916666666666</v>
      </c>
      <c r="Z13" s="52"/>
      <c r="AA13" s="51">
        <v>32</v>
      </c>
      <c r="AB13" s="52">
        <f t="shared" si="3"/>
        <v>2.6666666666666665</v>
      </c>
      <c r="AC13" s="52">
        <f t="shared" si="1"/>
        <v>0.31327983539094645</v>
      </c>
      <c r="AD13" s="51">
        <v>87</v>
      </c>
      <c r="AE13" s="51">
        <f t="shared" si="6"/>
        <v>7.25</v>
      </c>
      <c r="AF13" s="52">
        <f>(Y13*AE13*0.5)/27</f>
        <v>0.85172955246913573</v>
      </c>
      <c r="AG13" s="51">
        <v>40</v>
      </c>
      <c r="AH13" s="52">
        <f t="shared" si="7"/>
        <v>3.3333333333333335</v>
      </c>
      <c r="AI13" s="52">
        <f t="shared" si="4"/>
        <v>0.39159979423868307</v>
      </c>
      <c r="AJ13" s="51">
        <v>60</v>
      </c>
      <c r="AK13" s="52">
        <f t="shared" si="8"/>
        <v>5</v>
      </c>
      <c r="AL13" s="104">
        <f t="shared" si="5"/>
        <v>0.58739969135802461</v>
      </c>
    </row>
    <row r="14" spans="1:38" ht="15" customHeight="1" x14ac:dyDescent="0.25">
      <c r="A14" s="57">
        <v>51</v>
      </c>
      <c r="B14" s="57"/>
      <c r="C14" s="95">
        <v>42</v>
      </c>
      <c r="D14" s="97">
        <v>31.3125</v>
      </c>
      <c r="E14" s="99">
        <v>51.125</v>
      </c>
      <c r="F14" s="88">
        <v>9.0104166666666661</v>
      </c>
      <c r="G14" s="88">
        <v>96</v>
      </c>
      <c r="H14" s="96">
        <f t="shared" si="2"/>
        <v>8</v>
      </c>
      <c r="I14" s="83">
        <f t="shared" si="0"/>
        <v>1.3348765432098764</v>
      </c>
      <c r="J14" s="83"/>
      <c r="K14" s="82"/>
      <c r="L14" s="82"/>
      <c r="M14" s="82"/>
      <c r="N14" s="82" t="s">
        <v>49</v>
      </c>
      <c r="O14" s="83"/>
      <c r="P14" s="82"/>
      <c r="Q14" s="82"/>
      <c r="R14" s="82"/>
      <c r="S14" s="114" t="s">
        <v>49</v>
      </c>
      <c r="V14" s="105">
        <v>30</v>
      </c>
      <c r="W14" s="97">
        <v>35</v>
      </c>
      <c r="X14" s="97">
        <v>24</v>
      </c>
      <c r="Y14" s="52">
        <v>6.9297499999999994</v>
      </c>
      <c r="Z14" s="52"/>
      <c r="AA14" s="51">
        <v>39</v>
      </c>
      <c r="AB14" s="52">
        <f t="shared" si="3"/>
        <v>3.25</v>
      </c>
      <c r="AC14" s="52">
        <f t="shared" si="1"/>
        <v>0.41706828703703702</v>
      </c>
      <c r="AD14" s="51">
        <v>111</v>
      </c>
      <c r="AE14" s="51">
        <f t="shared" si="6"/>
        <v>9.25</v>
      </c>
      <c r="AF14" s="52">
        <f>(Y14*AE14*0.5)/27</f>
        <v>1.1870405092592591</v>
      </c>
      <c r="AG14" s="51">
        <v>56</v>
      </c>
      <c r="AH14" s="52">
        <f t="shared" si="7"/>
        <v>4.666666666666667</v>
      </c>
      <c r="AI14" s="52">
        <f t="shared" si="4"/>
        <v>0.59886728395061728</v>
      </c>
      <c r="AJ14" s="51">
        <v>84</v>
      </c>
      <c r="AK14" s="52">
        <f t="shared" si="8"/>
        <v>7</v>
      </c>
      <c r="AL14" s="104">
        <f t="shared" si="5"/>
        <v>0.89830092592592592</v>
      </c>
    </row>
    <row r="15" spans="1:38" x14ac:dyDescent="0.25">
      <c r="A15" s="57">
        <v>58</v>
      </c>
      <c r="B15" s="57"/>
      <c r="C15" s="95">
        <v>48</v>
      </c>
      <c r="D15" s="97">
        <v>36</v>
      </c>
      <c r="E15" s="97">
        <v>58.5</v>
      </c>
      <c r="F15" s="88">
        <v>9.7083333333333339</v>
      </c>
      <c r="G15" s="88">
        <v>96</v>
      </c>
      <c r="H15" s="96">
        <f t="shared" si="2"/>
        <v>8</v>
      </c>
      <c r="I15" s="83">
        <f t="shared" si="0"/>
        <v>1.4382716049382718</v>
      </c>
      <c r="J15" s="83"/>
      <c r="K15" s="82"/>
      <c r="L15" s="82"/>
      <c r="M15" s="82"/>
      <c r="N15" s="82" t="s">
        <v>49</v>
      </c>
      <c r="O15" s="83"/>
      <c r="P15" s="82"/>
      <c r="Q15" s="82"/>
      <c r="R15" s="82"/>
      <c r="S15" s="114" t="s">
        <v>49</v>
      </c>
      <c r="V15" s="105">
        <v>36</v>
      </c>
      <c r="W15" s="97">
        <v>42</v>
      </c>
      <c r="X15" s="97">
        <v>29</v>
      </c>
      <c r="Y15" s="52">
        <v>7.5130833333333333</v>
      </c>
      <c r="Z15" s="52"/>
      <c r="AA15" s="51">
        <v>46</v>
      </c>
      <c r="AB15" s="52">
        <f t="shared" si="3"/>
        <v>3.8333333333333335</v>
      </c>
      <c r="AC15" s="52">
        <f t="shared" si="1"/>
        <v>0.53333616255144034</v>
      </c>
      <c r="AD15" s="51"/>
      <c r="AE15" s="51"/>
      <c r="AF15" s="51" t="s">
        <v>49</v>
      </c>
      <c r="AG15" s="51">
        <v>76</v>
      </c>
      <c r="AH15" s="52">
        <f t="shared" si="7"/>
        <v>6.333333333333333</v>
      </c>
      <c r="AI15" s="52">
        <f t="shared" si="4"/>
        <v>0.88116409465020573</v>
      </c>
      <c r="AJ15" s="51">
        <v>114</v>
      </c>
      <c r="AK15" s="52">
        <f t="shared" si="8"/>
        <v>9.5</v>
      </c>
      <c r="AL15" s="104">
        <f t="shared" si="5"/>
        <v>1.3217461419753087</v>
      </c>
    </row>
    <row r="16" spans="1:38" x14ac:dyDescent="0.25">
      <c r="A16" s="57">
        <v>65</v>
      </c>
      <c r="B16" s="57"/>
      <c r="C16" s="95">
        <v>54</v>
      </c>
      <c r="D16" s="97">
        <v>40</v>
      </c>
      <c r="E16" s="97">
        <v>65</v>
      </c>
      <c r="F16" s="88">
        <v>10.333333333333334</v>
      </c>
      <c r="G16" s="88">
        <v>96</v>
      </c>
      <c r="H16" s="96">
        <f t="shared" si="2"/>
        <v>8</v>
      </c>
      <c r="I16" s="83">
        <f t="shared" si="0"/>
        <v>1.5308641975308643</v>
      </c>
      <c r="J16" s="83"/>
      <c r="K16" s="82"/>
      <c r="L16" s="82"/>
      <c r="M16" s="82"/>
      <c r="N16" s="82" t="s">
        <v>49</v>
      </c>
      <c r="O16" s="83"/>
      <c r="P16" s="82"/>
      <c r="Q16" s="82"/>
      <c r="R16" s="82"/>
      <c r="S16" s="114" t="s">
        <v>49</v>
      </c>
      <c r="V16" s="105">
        <v>42</v>
      </c>
      <c r="W16" s="97">
        <v>49</v>
      </c>
      <c r="X16" s="97">
        <v>33</v>
      </c>
      <c r="Y16" s="52">
        <v>8.1013999999999999</v>
      </c>
      <c r="Z16" s="52"/>
      <c r="AA16" s="51">
        <v>53</v>
      </c>
      <c r="AB16" s="52">
        <f t="shared" si="3"/>
        <v>4.416666666666667</v>
      </c>
      <c r="AC16" s="52">
        <f t="shared" si="1"/>
        <v>0.66261450617283957</v>
      </c>
      <c r="AD16" s="51"/>
      <c r="AE16" s="51"/>
      <c r="AF16" s="51" t="s">
        <v>49</v>
      </c>
      <c r="AG16" s="51">
        <v>92</v>
      </c>
      <c r="AH16" s="52">
        <f t="shared" si="7"/>
        <v>7.666666666666667</v>
      </c>
      <c r="AI16" s="52">
        <f t="shared" si="4"/>
        <v>1.1501987654320989</v>
      </c>
      <c r="AJ16" s="51">
        <v>138</v>
      </c>
      <c r="AK16" s="52">
        <f t="shared" si="8"/>
        <v>11.5</v>
      </c>
      <c r="AL16" s="104">
        <f t="shared" si="5"/>
        <v>1.7252981481481482</v>
      </c>
    </row>
    <row r="17" spans="1:38" x14ac:dyDescent="0.25">
      <c r="A17" s="57">
        <v>73</v>
      </c>
      <c r="B17" s="57"/>
      <c r="C17" s="95">
        <v>60</v>
      </c>
      <c r="D17" s="97">
        <v>45</v>
      </c>
      <c r="E17" s="97">
        <v>73</v>
      </c>
      <c r="F17" s="88">
        <v>11.083333333333334</v>
      </c>
      <c r="G17" s="88">
        <v>96</v>
      </c>
      <c r="H17" s="96">
        <f t="shared" si="2"/>
        <v>8</v>
      </c>
      <c r="I17" s="83">
        <f t="shared" si="0"/>
        <v>1.6419753086419755</v>
      </c>
      <c r="J17" s="83"/>
      <c r="K17" s="82"/>
      <c r="L17" s="82"/>
      <c r="M17" s="82"/>
      <c r="N17" s="82" t="s">
        <v>49</v>
      </c>
      <c r="O17" s="83"/>
      <c r="P17" s="82"/>
      <c r="Q17" s="82"/>
      <c r="R17" s="82"/>
      <c r="S17" s="114" t="s">
        <v>49</v>
      </c>
      <c r="V17" s="105">
        <v>48</v>
      </c>
      <c r="W17" s="97">
        <v>57</v>
      </c>
      <c r="X17" s="97">
        <v>38</v>
      </c>
      <c r="Y17" s="52">
        <v>8.7680666666666678</v>
      </c>
      <c r="Z17" s="52"/>
      <c r="AA17" s="51">
        <v>63</v>
      </c>
      <c r="AB17" s="52">
        <f t="shared" si="3"/>
        <v>5.25</v>
      </c>
      <c r="AC17" s="52">
        <f t="shared" si="1"/>
        <v>0.85245092592592608</v>
      </c>
      <c r="AD17" s="51"/>
      <c r="AE17" s="51"/>
      <c r="AF17" s="51" t="s">
        <v>49</v>
      </c>
      <c r="AG17" s="51">
        <v>112</v>
      </c>
      <c r="AH17" s="52">
        <f t="shared" si="7"/>
        <v>9.3333333333333339</v>
      </c>
      <c r="AI17" s="52">
        <f t="shared" si="4"/>
        <v>1.515468312757202</v>
      </c>
      <c r="AJ17" s="51">
        <v>168</v>
      </c>
      <c r="AK17" s="52">
        <f t="shared" si="8"/>
        <v>14</v>
      </c>
      <c r="AL17" s="104">
        <f t="shared" si="5"/>
        <v>2.2732024691358026</v>
      </c>
    </row>
    <row r="18" spans="1:38" x14ac:dyDescent="0.25">
      <c r="A18" s="57">
        <v>88</v>
      </c>
      <c r="B18" s="57"/>
      <c r="C18" s="95">
        <v>72</v>
      </c>
      <c r="D18" s="97">
        <v>54</v>
      </c>
      <c r="E18" s="97">
        <v>88</v>
      </c>
      <c r="F18" s="88">
        <v>12.5</v>
      </c>
      <c r="G18" s="88">
        <v>99</v>
      </c>
      <c r="H18" s="96">
        <f t="shared" si="2"/>
        <v>8.25</v>
      </c>
      <c r="I18" s="83">
        <f t="shared" si="0"/>
        <v>1.9097222222222223</v>
      </c>
      <c r="J18" s="83"/>
      <c r="K18" s="82"/>
      <c r="L18" s="82"/>
      <c r="M18" s="82"/>
      <c r="N18" s="82" t="s">
        <v>49</v>
      </c>
      <c r="O18" s="83"/>
      <c r="P18" s="82"/>
      <c r="Q18" s="82"/>
      <c r="R18" s="82"/>
      <c r="S18" s="114" t="s">
        <v>49</v>
      </c>
      <c r="V18" s="105">
        <v>54</v>
      </c>
      <c r="W18" s="97">
        <v>64</v>
      </c>
      <c r="X18" s="97">
        <v>43</v>
      </c>
      <c r="Y18" s="52">
        <v>9.3513999999999999</v>
      </c>
      <c r="Z18" s="52"/>
      <c r="AA18" s="51">
        <v>70</v>
      </c>
      <c r="AB18" s="52">
        <f t="shared" si="3"/>
        <v>5.833333333333333</v>
      </c>
      <c r="AC18" s="52">
        <f t="shared" si="1"/>
        <v>1.010182098765432</v>
      </c>
      <c r="AD18" s="51"/>
      <c r="AE18" s="51"/>
      <c r="AF18" s="51" t="s">
        <v>49</v>
      </c>
      <c r="AG18" s="51">
        <v>132</v>
      </c>
      <c r="AH18" s="52">
        <f t="shared" si="7"/>
        <v>11</v>
      </c>
      <c r="AI18" s="52">
        <f t="shared" si="4"/>
        <v>1.9049148148148147</v>
      </c>
      <c r="AJ18" s="51">
        <v>198</v>
      </c>
      <c r="AK18" s="52">
        <f t="shared" si="8"/>
        <v>16.5</v>
      </c>
      <c r="AL18" s="104">
        <f t="shared" si="5"/>
        <v>2.8573722222222222</v>
      </c>
    </row>
    <row r="19" spans="1:38" x14ac:dyDescent="0.25">
      <c r="A19" s="41">
        <v>102</v>
      </c>
      <c r="B19" s="41"/>
      <c r="C19" s="95">
        <v>84</v>
      </c>
      <c r="D19" s="88">
        <v>62</v>
      </c>
      <c r="E19" s="88">
        <v>102</v>
      </c>
      <c r="F19" s="88">
        <v>13.833333333333334</v>
      </c>
      <c r="G19" s="88">
        <v>102</v>
      </c>
      <c r="H19" s="96">
        <f t="shared" si="2"/>
        <v>8.5</v>
      </c>
      <c r="I19" s="83">
        <f t="shared" si="0"/>
        <v>2.1774691358024691</v>
      </c>
      <c r="J19" s="83"/>
      <c r="K19" s="82"/>
      <c r="L19" s="82"/>
      <c r="M19" s="82"/>
      <c r="N19" s="82" t="s">
        <v>49</v>
      </c>
      <c r="O19" s="83"/>
      <c r="P19" s="82"/>
      <c r="Q19" s="82"/>
      <c r="R19" s="82"/>
      <c r="S19" s="114" t="s">
        <v>49</v>
      </c>
      <c r="V19" s="105">
        <v>60</v>
      </c>
      <c r="W19" s="97">
        <v>71</v>
      </c>
      <c r="X19" s="97">
        <v>47</v>
      </c>
      <c r="Y19" s="52">
        <v>9.9397000000000002</v>
      </c>
      <c r="Z19" s="52"/>
      <c r="AA19" s="51">
        <v>77</v>
      </c>
      <c r="AB19" s="52">
        <f t="shared" si="3"/>
        <v>6.416666666666667</v>
      </c>
      <c r="AC19" s="52">
        <f t="shared" si="1"/>
        <v>1.181106327160494</v>
      </c>
      <c r="AD19" s="51"/>
      <c r="AE19" s="51"/>
      <c r="AF19" s="51" t="s">
        <v>49</v>
      </c>
      <c r="AG19" s="51">
        <v>148</v>
      </c>
      <c r="AH19" s="52">
        <f t="shared" si="7"/>
        <v>12.333333333333334</v>
      </c>
      <c r="AI19" s="52">
        <f t="shared" si="4"/>
        <v>2.2701783950617287</v>
      </c>
      <c r="AJ19" s="51">
        <v>222</v>
      </c>
      <c r="AK19" s="52">
        <f t="shared" si="8"/>
        <v>18.5</v>
      </c>
      <c r="AL19" s="104">
        <f t="shared" si="5"/>
        <v>3.405267592592593</v>
      </c>
    </row>
    <row r="20" spans="1:38" x14ac:dyDescent="0.25">
      <c r="A20" s="41">
        <v>115</v>
      </c>
      <c r="B20" s="41"/>
      <c r="C20" s="95">
        <v>90</v>
      </c>
      <c r="D20" s="88">
        <v>72</v>
      </c>
      <c r="E20" s="88">
        <v>115.5</v>
      </c>
      <c r="F20" s="88">
        <v>15.041666666666666</v>
      </c>
      <c r="G20" s="88"/>
      <c r="H20" s="61"/>
      <c r="I20" s="82" t="s">
        <v>49</v>
      </c>
      <c r="J20" s="82">
        <v>102.25</v>
      </c>
      <c r="K20" s="82">
        <v>31</v>
      </c>
      <c r="L20" s="82">
        <v>72</v>
      </c>
      <c r="M20" s="83">
        <f>(J20+K20+L20)/12</f>
        <v>17.104166666666668</v>
      </c>
      <c r="N20" s="83">
        <f>(F20*M20*0.5)/27</f>
        <v>4.7643550668724286</v>
      </c>
      <c r="O20" s="82">
        <v>102.25</v>
      </c>
      <c r="P20" s="82">
        <v>24</v>
      </c>
      <c r="Q20" s="82">
        <v>72</v>
      </c>
      <c r="R20" s="83">
        <f>(O20+P20+Q20)/12</f>
        <v>16.520833333333332</v>
      </c>
      <c r="S20" s="115">
        <f>(F20*R20*0.5)/27</f>
        <v>4.601867926954732</v>
      </c>
      <c r="V20" s="95">
        <v>66</v>
      </c>
      <c r="W20" s="88">
        <v>77</v>
      </c>
      <c r="X20" s="88">
        <v>52</v>
      </c>
      <c r="Y20" s="52">
        <v>10.444683333333334</v>
      </c>
      <c r="Z20" s="52"/>
      <c r="AA20" s="51">
        <v>77</v>
      </c>
      <c r="AB20" s="52">
        <f t="shared" si="3"/>
        <v>6.416666666666667</v>
      </c>
      <c r="AC20" s="52">
        <f t="shared" si="1"/>
        <v>1.2411120627572017</v>
      </c>
      <c r="AD20" s="51"/>
      <c r="AE20" s="51"/>
      <c r="AF20" s="51" t="s">
        <v>49</v>
      </c>
      <c r="AG20" s="51"/>
      <c r="AH20" s="52"/>
      <c r="AI20" s="52" t="s">
        <v>49</v>
      </c>
      <c r="AJ20" s="51"/>
      <c r="AK20" s="52"/>
      <c r="AL20" s="104" t="s">
        <v>49</v>
      </c>
    </row>
    <row r="21" spans="1:38" ht="15.75" thickBot="1" x14ac:dyDescent="0.3">
      <c r="A21" s="41">
        <v>122</v>
      </c>
      <c r="B21" s="41"/>
      <c r="C21" s="95">
        <v>96</v>
      </c>
      <c r="D21" s="88">
        <v>77.5</v>
      </c>
      <c r="E21" s="52">
        <v>122.375</v>
      </c>
      <c r="F21" s="88">
        <v>15.697916666666666</v>
      </c>
      <c r="G21" s="88"/>
      <c r="H21" s="61"/>
      <c r="I21" s="82" t="s">
        <v>49</v>
      </c>
      <c r="J21" s="82">
        <v>112.5</v>
      </c>
      <c r="K21" s="82">
        <v>31</v>
      </c>
      <c r="L21" s="82">
        <v>72</v>
      </c>
      <c r="M21" s="83">
        <f t="shared" ref="M21:M24" si="9">(J21+K21+L21)/12</f>
        <v>17.958333333333332</v>
      </c>
      <c r="N21" s="83">
        <f>(F21*M21*0.5)/27</f>
        <v>5.2205262988683119</v>
      </c>
      <c r="O21" s="82">
        <v>112.5</v>
      </c>
      <c r="P21" s="82">
        <v>24</v>
      </c>
      <c r="Q21" s="82">
        <v>72</v>
      </c>
      <c r="R21" s="83">
        <f t="shared" ref="R21:R24" si="10">(O21+P21+Q21)/12</f>
        <v>17.375</v>
      </c>
      <c r="S21" s="115">
        <f>(F21*R21*0.5)/27</f>
        <v>5.0509500385802468</v>
      </c>
      <c r="V21" s="100">
        <v>72</v>
      </c>
      <c r="W21" s="101">
        <v>83</v>
      </c>
      <c r="X21" s="101">
        <v>57</v>
      </c>
      <c r="Y21" s="106">
        <v>10.944683333333336</v>
      </c>
      <c r="Z21" s="106"/>
      <c r="AA21" s="107">
        <v>77</v>
      </c>
      <c r="AB21" s="106">
        <f t="shared" si="3"/>
        <v>6.416666666666667</v>
      </c>
      <c r="AC21" s="106">
        <f t="shared" si="1"/>
        <v>1.3005256430041157</v>
      </c>
      <c r="AD21" s="107"/>
      <c r="AE21" s="107"/>
      <c r="AF21" s="107" t="s">
        <v>49</v>
      </c>
      <c r="AG21" s="107">
        <v>188</v>
      </c>
      <c r="AH21" s="106">
        <f t="shared" si="7"/>
        <v>15.666666666666666</v>
      </c>
      <c r="AI21" s="106">
        <f>(Y21*AH21*0.5)/27</f>
        <v>3.1753093621399184</v>
      </c>
      <c r="AJ21" s="107">
        <v>282</v>
      </c>
      <c r="AK21" s="106">
        <f t="shared" si="8"/>
        <v>23.5</v>
      </c>
      <c r="AL21" s="108">
        <f>(Y21*AK21*0.5)/27</f>
        <v>4.7629640432098777</v>
      </c>
    </row>
    <row r="22" spans="1:38" x14ac:dyDescent="0.25">
      <c r="A22" s="41">
        <v>138</v>
      </c>
      <c r="B22" s="41"/>
      <c r="C22" s="95">
        <v>108</v>
      </c>
      <c r="D22" s="88">
        <v>87.125</v>
      </c>
      <c r="E22" s="88">
        <v>138.5</v>
      </c>
      <c r="F22" s="88">
        <v>17.208333333333332</v>
      </c>
      <c r="G22" s="88"/>
      <c r="H22" s="61"/>
      <c r="I22" s="82" t="s">
        <v>49</v>
      </c>
      <c r="J22" s="82">
        <v>129.5</v>
      </c>
      <c r="K22" s="82">
        <v>31</v>
      </c>
      <c r="L22" s="82">
        <v>72</v>
      </c>
      <c r="M22" s="83">
        <f t="shared" si="9"/>
        <v>19.375</v>
      </c>
      <c r="N22" s="83">
        <f>(F22*M22*0.5)/27</f>
        <v>6.174286265432098</v>
      </c>
      <c r="O22" s="82">
        <v>129.5</v>
      </c>
      <c r="P22" s="82">
        <v>24</v>
      </c>
      <c r="Q22" s="82">
        <v>72</v>
      </c>
      <c r="R22" s="83">
        <f t="shared" si="10"/>
        <v>18.791666666666668</v>
      </c>
      <c r="S22" s="115">
        <f>(F22*R22*0.5)/27</f>
        <v>5.9883937757201648</v>
      </c>
      <c r="V22" s="89">
        <v>78</v>
      </c>
      <c r="W22" s="90">
        <v>87</v>
      </c>
      <c r="X22" s="90">
        <v>63</v>
      </c>
      <c r="Y22" s="91"/>
      <c r="Z22" s="92">
        <v>11.263083333333332</v>
      </c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</row>
    <row r="23" spans="1:38" x14ac:dyDescent="0.25">
      <c r="A23" s="41">
        <v>154</v>
      </c>
      <c r="B23" s="41"/>
      <c r="C23" s="95">
        <v>120</v>
      </c>
      <c r="D23" s="88">
        <v>96.875</v>
      </c>
      <c r="E23" s="88">
        <v>154</v>
      </c>
      <c r="F23" s="88">
        <v>18.666666666666668</v>
      </c>
      <c r="G23" s="88"/>
      <c r="H23" s="61"/>
      <c r="I23" s="82" t="s">
        <v>49</v>
      </c>
      <c r="J23" s="82">
        <v>144</v>
      </c>
      <c r="K23" s="82">
        <v>31</v>
      </c>
      <c r="L23" s="82">
        <v>72</v>
      </c>
      <c r="M23" s="83">
        <f t="shared" si="9"/>
        <v>20.583333333333332</v>
      </c>
      <c r="N23" s="83">
        <f>(F23*M23*0.5)/27</f>
        <v>7.1152263374485596</v>
      </c>
      <c r="O23" s="82">
        <v>144</v>
      </c>
      <c r="P23" s="82">
        <v>24</v>
      </c>
      <c r="Q23" s="82">
        <v>72</v>
      </c>
      <c r="R23" s="83">
        <f t="shared" si="10"/>
        <v>20</v>
      </c>
      <c r="S23" s="115">
        <f>(F23*R23*0.5)/27</f>
        <v>6.9135802469135808</v>
      </c>
      <c r="V23" s="89">
        <v>84</v>
      </c>
      <c r="W23" s="90">
        <v>95</v>
      </c>
      <c r="X23" s="90">
        <v>67</v>
      </c>
      <c r="Y23" s="91"/>
      <c r="Z23" s="92">
        <v>11.934733333333334</v>
      </c>
    </row>
    <row r="24" spans="1:38" ht="15.75" thickBot="1" x14ac:dyDescent="0.3">
      <c r="A24" s="41">
        <v>169</v>
      </c>
      <c r="B24" s="41"/>
      <c r="C24" s="100">
        <v>132</v>
      </c>
      <c r="D24" s="101">
        <v>106.5</v>
      </c>
      <c r="E24" s="101">
        <v>168.75</v>
      </c>
      <c r="F24" s="101">
        <v>19.729166666666668</v>
      </c>
      <c r="G24" s="101"/>
      <c r="H24" s="102"/>
      <c r="I24" s="116" t="s">
        <v>49</v>
      </c>
      <c r="J24" s="116">
        <v>144</v>
      </c>
      <c r="K24" s="116">
        <v>31</v>
      </c>
      <c r="L24" s="116">
        <v>72</v>
      </c>
      <c r="M24" s="117">
        <f t="shared" si="9"/>
        <v>20.583333333333332</v>
      </c>
      <c r="N24" s="117">
        <f>(F24*M24*0.5)/27</f>
        <v>7.520222479423869</v>
      </c>
      <c r="O24" s="116">
        <v>144</v>
      </c>
      <c r="P24" s="116">
        <v>24</v>
      </c>
      <c r="Q24" s="116">
        <v>72</v>
      </c>
      <c r="R24" s="117">
        <f t="shared" si="10"/>
        <v>20</v>
      </c>
      <c r="S24" s="118">
        <f>(F24*R24*0.5)/27</f>
        <v>7.3070987654320998</v>
      </c>
      <c r="V24" s="89">
        <v>90</v>
      </c>
      <c r="W24" s="90">
        <v>103</v>
      </c>
      <c r="X24" s="90">
        <v>71</v>
      </c>
      <c r="Y24" s="91"/>
      <c r="Z24" s="92">
        <v>12.6014</v>
      </c>
    </row>
    <row r="25" spans="1:38" x14ac:dyDescent="0.25">
      <c r="V25" s="89">
        <v>96</v>
      </c>
      <c r="W25" s="90">
        <v>112</v>
      </c>
      <c r="X25" s="90">
        <v>75</v>
      </c>
      <c r="Y25" s="91"/>
      <c r="Z25" s="92">
        <v>13.3514</v>
      </c>
    </row>
    <row r="26" spans="1:38" x14ac:dyDescent="0.25">
      <c r="V26" s="89">
        <v>102</v>
      </c>
      <c r="W26" s="90">
        <v>117</v>
      </c>
      <c r="X26" s="90">
        <v>79</v>
      </c>
      <c r="Y26" s="91"/>
      <c r="Z26" s="92">
        <v>13.768066666666668</v>
      </c>
    </row>
    <row r="27" spans="1:38" x14ac:dyDescent="0.25">
      <c r="V27" s="89">
        <v>108</v>
      </c>
      <c r="W27" s="90">
        <v>128</v>
      </c>
      <c r="X27" s="90">
        <v>83</v>
      </c>
      <c r="Y27" s="91"/>
      <c r="Z27" s="92">
        <v>14.6897</v>
      </c>
    </row>
    <row r="28" spans="1:38" x14ac:dyDescent="0.25">
      <c r="V28" s="89">
        <v>114</v>
      </c>
      <c r="W28" s="90">
        <v>137</v>
      </c>
      <c r="X28" s="90">
        <v>87</v>
      </c>
      <c r="Y28" s="91"/>
      <c r="Z28" s="92">
        <v>15.444683333333332</v>
      </c>
    </row>
    <row r="29" spans="1:38" x14ac:dyDescent="0.25">
      <c r="V29" s="89">
        <v>120</v>
      </c>
      <c r="W29" s="90">
        <v>142</v>
      </c>
      <c r="X29" s="90">
        <v>91</v>
      </c>
      <c r="Y29" s="91"/>
      <c r="Z29" s="92">
        <v>15.86135</v>
      </c>
    </row>
    <row r="30" spans="1:38" x14ac:dyDescent="0.25">
      <c r="V30" s="51"/>
      <c r="W30" s="88"/>
      <c r="X30" s="52"/>
      <c r="Y30" s="61"/>
      <c r="Z30" s="61"/>
    </row>
    <row r="31" spans="1:38" x14ac:dyDescent="0.25">
      <c r="V31" s="51"/>
      <c r="W31" s="88"/>
      <c r="X31" s="88"/>
      <c r="Y31" s="61"/>
      <c r="Z31" s="61"/>
    </row>
    <row r="32" spans="1:38" x14ac:dyDescent="0.25">
      <c r="V32" s="41"/>
      <c r="W32" s="22"/>
      <c r="X32" s="22"/>
    </row>
    <row r="33" spans="21:29" x14ac:dyDescent="0.25">
      <c r="V33" s="41"/>
      <c r="W33" s="22"/>
      <c r="X33" s="22"/>
    </row>
    <row r="42" spans="21:29" x14ac:dyDescent="0.25">
      <c r="U42" s="26"/>
      <c r="V42" s="26"/>
      <c r="W42" s="26"/>
      <c r="X42" s="26"/>
      <c r="Y42" s="26"/>
      <c r="Z42" s="26"/>
      <c r="AA42" s="26"/>
      <c r="AB42" s="26"/>
      <c r="AC42" s="26"/>
    </row>
    <row r="43" spans="21:29" x14ac:dyDescent="0.25">
      <c r="U43" s="26"/>
      <c r="V43" s="26"/>
      <c r="W43" s="26"/>
      <c r="X43" s="26"/>
      <c r="Y43" s="26"/>
      <c r="Z43" s="26"/>
      <c r="AA43" s="26"/>
      <c r="AB43" s="26"/>
      <c r="AC43" s="26"/>
    </row>
    <row r="44" spans="21:29" x14ac:dyDescent="0.25">
      <c r="U44" s="26"/>
      <c r="V44" s="26"/>
      <c r="W44" s="26"/>
      <c r="X44" s="26"/>
      <c r="Y44" s="26"/>
      <c r="Z44" s="26"/>
      <c r="AA44" s="26"/>
      <c r="AB44" s="26"/>
      <c r="AC44" s="26"/>
    </row>
    <row r="45" spans="21:29" x14ac:dyDescent="0.25">
      <c r="U45" s="26"/>
      <c r="V45" s="26"/>
      <c r="W45" s="26"/>
      <c r="X45" s="26"/>
      <c r="Y45" s="26"/>
      <c r="Z45" s="26"/>
      <c r="AA45" s="26"/>
      <c r="AB45" s="26"/>
      <c r="AC45" s="26"/>
    </row>
    <row r="46" spans="21:29" x14ac:dyDescent="0.25">
      <c r="U46" s="26"/>
      <c r="V46" s="26"/>
      <c r="W46" s="26"/>
      <c r="X46" s="26"/>
      <c r="Y46" s="26"/>
      <c r="Z46" s="26"/>
      <c r="AA46" s="26"/>
      <c r="AB46" s="26"/>
      <c r="AC46" s="26"/>
    </row>
    <row r="47" spans="21:29" x14ac:dyDescent="0.25">
      <c r="U47" s="26"/>
      <c r="V47" s="26"/>
      <c r="W47" s="26"/>
      <c r="X47" s="26"/>
      <c r="Y47" s="26"/>
      <c r="Z47" s="26"/>
      <c r="AA47" s="26"/>
      <c r="AB47" s="26"/>
      <c r="AC47" s="26"/>
    </row>
    <row r="48" spans="21:29" x14ac:dyDescent="0.25">
      <c r="U48" s="26"/>
      <c r="V48" s="26"/>
      <c r="W48" s="26"/>
      <c r="X48" s="26"/>
      <c r="Y48" s="26"/>
      <c r="Z48" s="26"/>
      <c r="AA48" s="26"/>
      <c r="AB48" s="26"/>
      <c r="AC48" s="26"/>
    </row>
    <row r="49" spans="21:29" x14ac:dyDescent="0.25">
      <c r="U49" s="26"/>
      <c r="V49" s="26"/>
      <c r="W49" s="26"/>
      <c r="X49" s="26"/>
      <c r="Y49" s="26"/>
      <c r="Z49" s="26"/>
      <c r="AA49" s="26"/>
      <c r="AB49" s="26"/>
      <c r="AC49" s="26"/>
    </row>
    <row r="50" spans="21:29" x14ac:dyDescent="0.25">
      <c r="U50" s="26"/>
      <c r="V50" s="26"/>
      <c r="W50" s="26"/>
      <c r="X50" s="26"/>
      <c r="Y50" s="26"/>
      <c r="Z50" s="26"/>
      <c r="AA50" s="26"/>
      <c r="AB50" s="26"/>
      <c r="AC50" s="26"/>
    </row>
    <row r="51" spans="21:29" x14ac:dyDescent="0.25">
      <c r="U51" s="26"/>
      <c r="V51" s="26"/>
      <c r="W51" s="26"/>
      <c r="X51" s="26"/>
      <c r="Y51" s="26"/>
      <c r="Z51" s="26"/>
      <c r="AA51" s="26"/>
      <c r="AB51" s="26"/>
      <c r="AC51" s="26"/>
    </row>
    <row r="52" spans="21:29" x14ac:dyDescent="0.25">
      <c r="U52" s="26"/>
      <c r="V52" s="26"/>
      <c r="W52" s="26"/>
      <c r="X52" s="26"/>
      <c r="Y52" s="26"/>
      <c r="Z52" s="26"/>
      <c r="AA52" s="26"/>
      <c r="AB52" s="26"/>
      <c r="AC52" s="26"/>
    </row>
    <row r="53" spans="21:29" x14ac:dyDescent="0.25">
      <c r="U53" s="26"/>
      <c r="V53" s="26"/>
      <c r="W53" s="26"/>
      <c r="X53" s="26"/>
      <c r="Y53" s="26"/>
      <c r="Z53" s="26"/>
      <c r="AA53" s="26"/>
      <c r="AB53" s="26"/>
      <c r="AC53" s="26"/>
    </row>
    <row r="54" spans="21:29" x14ac:dyDescent="0.25">
      <c r="U54" s="26"/>
      <c r="V54" s="26"/>
      <c r="W54" s="26"/>
      <c r="X54" s="26"/>
      <c r="Y54" s="26"/>
      <c r="Z54" s="26"/>
      <c r="AA54" s="26"/>
      <c r="AB54" s="26"/>
      <c r="AC54" s="26"/>
    </row>
    <row r="55" spans="21:29" x14ac:dyDescent="0.25">
      <c r="U55" s="26"/>
      <c r="V55" s="26"/>
      <c r="W55" s="26"/>
      <c r="X55" s="26"/>
      <c r="Y55" s="26"/>
      <c r="Z55" s="26"/>
      <c r="AA55" s="26"/>
      <c r="AB55" s="26"/>
      <c r="AC55" s="26"/>
    </row>
    <row r="56" spans="21:29" x14ac:dyDescent="0.25">
      <c r="U56" s="26"/>
      <c r="V56" s="26"/>
      <c r="W56" s="26"/>
      <c r="X56" s="26"/>
      <c r="Y56" s="26"/>
      <c r="Z56" s="26"/>
      <c r="AA56" s="26"/>
      <c r="AB56" s="26"/>
      <c r="AC56" s="26"/>
    </row>
    <row r="57" spans="21:29" x14ac:dyDescent="0.25">
      <c r="U57" s="26"/>
      <c r="V57" s="26"/>
      <c r="W57" s="26"/>
      <c r="X57" s="26"/>
      <c r="Y57" s="26"/>
      <c r="Z57" s="26"/>
      <c r="AA57" s="26"/>
      <c r="AB57" s="26"/>
      <c r="AC57" s="26"/>
    </row>
    <row r="58" spans="21:29" x14ac:dyDescent="0.25">
      <c r="U58" s="26"/>
      <c r="V58" s="26"/>
      <c r="W58" s="26"/>
      <c r="X58" s="26"/>
      <c r="Y58" s="26"/>
      <c r="Z58" s="26"/>
      <c r="AA58" s="26"/>
      <c r="AB58" s="26"/>
      <c r="AC58" s="26"/>
    </row>
    <row r="59" spans="21:29" x14ac:dyDescent="0.25">
      <c r="U59" s="26"/>
      <c r="V59" s="26"/>
      <c r="W59" s="26"/>
      <c r="X59" s="26"/>
      <c r="Y59" s="26"/>
      <c r="Z59" s="26"/>
      <c r="AA59" s="26"/>
      <c r="AB59" s="26"/>
      <c r="AC59" s="26"/>
    </row>
    <row r="60" spans="21:29" x14ac:dyDescent="0.25">
      <c r="U60" s="26"/>
      <c r="V60" s="26"/>
      <c r="W60" s="26"/>
      <c r="X60" s="26"/>
      <c r="Y60" s="26"/>
      <c r="Z60" s="26"/>
      <c r="AA60" s="26"/>
      <c r="AB60" s="26"/>
      <c r="AC60" s="26"/>
    </row>
    <row r="61" spans="21:29" x14ac:dyDescent="0.25">
      <c r="U61" s="26"/>
      <c r="V61" s="26"/>
      <c r="W61" s="26"/>
      <c r="X61" s="26"/>
      <c r="Y61" s="26"/>
      <c r="Z61" s="26"/>
      <c r="AA61" s="26"/>
      <c r="AB61" s="26"/>
      <c r="AC61" s="26"/>
    </row>
    <row r="62" spans="21:29" x14ac:dyDescent="0.25">
      <c r="U62" s="26"/>
      <c r="V62" s="26"/>
      <c r="W62" s="26"/>
      <c r="X62" s="26"/>
      <c r="Y62" s="26"/>
      <c r="Z62" s="26"/>
      <c r="AA62" s="26"/>
      <c r="AB62" s="26"/>
      <c r="AC62" s="26"/>
    </row>
    <row r="63" spans="21:29" x14ac:dyDescent="0.25">
      <c r="U63" s="26"/>
      <c r="V63" s="26"/>
      <c r="W63" s="26"/>
      <c r="X63" s="26"/>
      <c r="Y63" s="26"/>
      <c r="Z63" s="26"/>
      <c r="AA63" s="26"/>
      <c r="AB63" s="26"/>
      <c r="AC63" s="26"/>
    </row>
    <row r="64" spans="21:29" x14ac:dyDescent="0.25">
      <c r="U64" s="26"/>
      <c r="V64" s="26"/>
      <c r="W64" s="26"/>
      <c r="X64" s="26"/>
      <c r="Y64" s="26"/>
      <c r="Z64" s="26"/>
      <c r="AA64" s="26"/>
      <c r="AB64" s="26"/>
      <c r="AC64" s="26"/>
    </row>
    <row r="65" spans="21:29" x14ac:dyDescent="0.25">
      <c r="U65" s="26"/>
      <c r="V65" s="26"/>
      <c r="W65" s="26"/>
      <c r="X65" s="26"/>
      <c r="Y65" s="26"/>
      <c r="Z65" s="26"/>
      <c r="AA65" s="26"/>
      <c r="AB65" s="26"/>
      <c r="AC65" s="26"/>
    </row>
    <row r="66" spans="21:29" x14ac:dyDescent="0.25">
      <c r="U66" s="26"/>
      <c r="V66" s="26"/>
      <c r="W66" s="26"/>
      <c r="X66" s="26"/>
      <c r="Y66" s="26"/>
      <c r="Z66" s="26"/>
      <c r="AA66" s="26"/>
      <c r="AB66" s="26"/>
      <c r="AC66" s="26"/>
    </row>
    <row r="67" spans="21:29" x14ac:dyDescent="0.25">
      <c r="U67" s="26"/>
      <c r="V67" s="26"/>
      <c r="W67" s="26"/>
      <c r="X67" s="26"/>
      <c r="Y67" s="26"/>
      <c r="Z67" s="26"/>
      <c r="AA67" s="26"/>
      <c r="AB67" s="26"/>
      <c r="AC67" s="26"/>
    </row>
    <row r="68" spans="21:29" x14ac:dyDescent="0.25">
      <c r="V68" s="41"/>
      <c r="W68" s="22"/>
      <c r="X68" s="22"/>
    </row>
  </sheetData>
  <mergeCells count="14">
    <mergeCell ref="F7:I8"/>
    <mergeCell ref="C6:S6"/>
    <mergeCell ref="AG7:AL7"/>
    <mergeCell ref="AG8:AI8"/>
    <mergeCell ref="AJ8:AL8"/>
    <mergeCell ref="C7:E8"/>
    <mergeCell ref="J8:N8"/>
    <mergeCell ref="O8:S8"/>
    <mergeCell ref="J7:S7"/>
    <mergeCell ref="V6:AL6"/>
    <mergeCell ref="Y7:AC8"/>
    <mergeCell ref="V7:X8"/>
    <mergeCell ref="AD8:AF8"/>
    <mergeCell ref="AD7:AF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Design Reference Tables</vt:lpstr>
      <vt:lpstr>Rigid Round Culvert </vt:lpstr>
      <vt:lpstr>Rigid Arch Culvert</vt:lpstr>
      <vt:lpstr>Flex Round Culv_3040</vt:lpstr>
      <vt:lpstr>Flex Round Culv_3041</vt:lpstr>
      <vt:lpstr>Flex Arch Culv_3040</vt:lpstr>
      <vt:lpstr>Flex Arch Culv_3041</vt:lpstr>
      <vt:lpstr>Round Pipe Aprons</vt:lpstr>
      <vt:lpstr>Arch Pipe Aprons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Mohamoud Mire</dc:creator>
  <cp:lastModifiedBy>Andrea Hendrickson</cp:lastModifiedBy>
  <cp:lastPrinted>2019-04-10T17:57:13Z</cp:lastPrinted>
  <dcterms:created xsi:type="dcterms:W3CDTF">2018-03-01T15:36:37Z</dcterms:created>
  <dcterms:modified xsi:type="dcterms:W3CDTF">2019-04-30T21:39:12Z</dcterms:modified>
</cp:coreProperties>
</file>