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45" windowWidth="15420" windowHeight="4185"/>
  </bookViews>
  <sheets>
    <sheet name="check" sheetId="6" r:id="rId1"/>
    <sheet name="notes" sheetId="7" r:id="rId2"/>
    <sheet name="costs" sheetId="1" r:id="rId3"/>
    <sheet name="costDetail" sheetId="13" r:id="rId4"/>
    <sheet name="benefits &amp; sum" sheetId="2" r:id="rId5"/>
    <sheet name="modeDetail" sheetId="15" r:id="rId6"/>
    <sheet name="safetyDetail" sheetId="16" r:id="rId7"/>
  </sheets>
  <calcPr calcId="125725"/>
</workbook>
</file>

<file path=xl/calcChain.xml><?xml version="1.0" encoding="utf-8"?>
<calcChain xmlns="http://schemas.openxmlformats.org/spreadsheetml/2006/main">
  <c r="D21" i="1"/>
  <c r="D2"/>
  <c r="C3" i="2"/>
  <c r="C4"/>
  <c r="C5"/>
  <c r="C6"/>
  <c r="C7"/>
  <c r="C8"/>
  <c r="C9"/>
  <c r="C10"/>
  <c r="C11"/>
  <c r="C12"/>
  <c r="C13"/>
  <c r="C14"/>
  <c r="C15"/>
  <c r="C16"/>
  <c r="C17"/>
  <c r="C18"/>
  <c r="C19"/>
  <c r="C20"/>
  <c r="C21"/>
  <c r="C2"/>
  <c r="R21" i="16"/>
  <c r="S21"/>
  <c r="T21"/>
  <c r="R20"/>
  <c r="S20"/>
  <c r="T20"/>
  <c r="R19"/>
  <c r="S19"/>
  <c r="T19"/>
  <c r="R18"/>
  <c r="S18"/>
  <c r="T18"/>
  <c r="R17"/>
  <c r="S17"/>
  <c r="T17"/>
  <c r="R16"/>
  <c r="S16"/>
  <c r="T16"/>
  <c r="R15"/>
  <c r="S15"/>
  <c r="T15"/>
  <c r="R14"/>
  <c r="S14"/>
  <c r="T14"/>
  <c r="R13"/>
  <c r="S13"/>
  <c r="T13"/>
  <c r="R12"/>
  <c r="S12"/>
  <c r="T12"/>
  <c r="R11"/>
  <c r="S11"/>
  <c r="T11"/>
  <c r="R10"/>
  <c r="S10"/>
  <c r="T10"/>
  <c r="R9"/>
  <c r="S9"/>
  <c r="T9"/>
  <c r="R8"/>
  <c r="S8"/>
  <c r="T8"/>
  <c r="R7"/>
  <c r="S7"/>
  <c r="T7"/>
  <c r="R6"/>
  <c r="S6"/>
  <c r="T6"/>
  <c r="R5"/>
  <c r="S5"/>
  <c r="T5"/>
  <c r="R4"/>
  <c r="S4"/>
  <c r="T4"/>
  <c r="R3"/>
  <c r="S3"/>
  <c r="T3"/>
  <c r="R2"/>
  <c r="S2"/>
  <c r="T2"/>
  <c r="BJ2" i="15"/>
  <c r="BM3"/>
  <c r="BM4"/>
  <c r="BM5"/>
  <c r="BM6"/>
  <c r="BM7"/>
  <c r="BM8"/>
  <c r="BM9"/>
  <c r="BM10"/>
  <c r="BM11"/>
  <c r="BM12"/>
  <c r="BM13"/>
  <c r="BM14"/>
  <c r="BM15"/>
  <c r="BM16"/>
  <c r="BM17"/>
  <c r="BM18"/>
  <c r="BM19"/>
  <c r="BM20"/>
  <c r="BM21"/>
  <c r="BM2"/>
  <c r="AF3"/>
  <c r="AQ3"/>
  <c r="M3"/>
  <c r="BH3"/>
  <c r="AX3"/>
  <c r="N3"/>
  <c r="BA3"/>
  <c r="BL3"/>
  <c r="AV3"/>
  <c r="BC3"/>
  <c r="AY3"/>
  <c r="BE3"/>
  <c r="BN3"/>
  <c r="BP3"/>
  <c r="B3" i="2"/>
  <c r="AF4" i="15"/>
  <c r="AQ4"/>
  <c r="M4"/>
  <c r="BH4"/>
  <c r="AX4"/>
  <c r="N4"/>
  <c r="BA4"/>
  <c r="BL4"/>
  <c r="AV4"/>
  <c r="BC4"/>
  <c r="AY4"/>
  <c r="BE4"/>
  <c r="BN4"/>
  <c r="BP4"/>
  <c r="B4" i="2"/>
  <c r="AF5" i="15"/>
  <c r="AQ5"/>
  <c r="M5"/>
  <c r="BH5"/>
  <c r="AX5"/>
  <c r="N5"/>
  <c r="BA5"/>
  <c r="BL5"/>
  <c r="AV5"/>
  <c r="BC5"/>
  <c r="AY5"/>
  <c r="BE5"/>
  <c r="BN5"/>
  <c r="BP5"/>
  <c r="B5" i="2"/>
  <c r="AF6" i="15"/>
  <c r="AQ6"/>
  <c r="M6"/>
  <c r="BH6"/>
  <c r="AX6"/>
  <c r="N6"/>
  <c r="BA6"/>
  <c r="BL6"/>
  <c r="AV6"/>
  <c r="BC6"/>
  <c r="AY6"/>
  <c r="BE6"/>
  <c r="BN6"/>
  <c r="BP6"/>
  <c r="B6" i="2"/>
  <c r="AF7" i="15"/>
  <c r="AQ7"/>
  <c r="M7"/>
  <c r="BH7"/>
  <c r="AX7"/>
  <c r="N7"/>
  <c r="BA7"/>
  <c r="BL7"/>
  <c r="AV7"/>
  <c r="BC7"/>
  <c r="AY7"/>
  <c r="BE7"/>
  <c r="BN7"/>
  <c r="BP7"/>
  <c r="B7" i="2"/>
  <c r="AF8" i="15"/>
  <c r="AQ8"/>
  <c r="M8"/>
  <c r="BH8"/>
  <c r="AX8"/>
  <c r="N8"/>
  <c r="BA8"/>
  <c r="BL8"/>
  <c r="AV8"/>
  <c r="BC8"/>
  <c r="AY8"/>
  <c r="BE8"/>
  <c r="BN8"/>
  <c r="BP8"/>
  <c r="B8" i="2"/>
  <c r="AF9" i="15"/>
  <c r="AQ9"/>
  <c r="M9"/>
  <c r="BH9"/>
  <c r="AX9"/>
  <c r="N9"/>
  <c r="BA9"/>
  <c r="BL9"/>
  <c r="AV9"/>
  <c r="BC9"/>
  <c r="AY9"/>
  <c r="BE9"/>
  <c r="BN9"/>
  <c r="BP9"/>
  <c r="B9" i="2"/>
  <c r="AF10" i="15"/>
  <c r="AQ10"/>
  <c r="M10"/>
  <c r="BH10"/>
  <c r="AX10"/>
  <c r="N10"/>
  <c r="BA10"/>
  <c r="BL10"/>
  <c r="AV10"/>
  <c r="BC10"/>
  <c r="AY10"/>
  <c r="BE10"/>
  <c r="BN10"/>
  <c r="BP10"/>
  <c r="B10" i="2"/>
  <c r="AF11" i="15"/>
  <c r="AQ11"/>
  <c r="M11"/>
  <c r="BH11"/>
  <c r="AX11"/>
  <c r="N11"/>
  <c r="BA11"/>
  <c r="BL11"/>
  <c r="AV11"/>
  <c r="BC11"/>
  <c r="AY11"/>
  <c r="BE11"/>
  <c r="BN11"/>
  <c r="BP11"/>
  <c r="B11" i="2"/>
  <c r="AF12" i="15"/>
  <c r="AQ12"/>
  <c r="M12"/>
  <c r="BH12"/>
  <c r="AX12"/>
  <c r="N12"/>
  <c r="BA12"/>
  <c r="BL12"/>
  <c r="AV12"/>
  <c r="BC12"/>
  <c r="AY12"/>
  <c r="BE12"/>
  <c r="BN12"/>
  <c r="BP12"/>
  <c r="B12" i="2"/>
  <c r="AF13" i="15"/>
  <c r="AQ13"/>
  <c r="M13"/>
  <c r="BH13"/>
  <c r="AX13"/>
  <c r="N13"/>
  <c r="BA13"/>
  <c r="BL13"/>
  <c r="AV13"/>
  <c r="BC13"/>
  <c r="AY13"/>
  <c r="BE13"/>
  <c r="BN13"/>
  <c r="BP13"/>
  <c r="B13" i="2"/>
  <c r="AF14" i="15"/>
  <c r="AQ14"/>
  <c r="M14"/>
  <c r="BH14"/>
  <c r="AX14"/>
  <c r="N14"/>
  <c r="BA14"/>
  <c r="BL14"/>
  <c r="AV14"/>
  <c r="BC14"/>
  <c r="AY14"/>
  <c r="BE14"/>
  <c r="BN14"/>
  <c r="BP14"/>
  <c r="B14" i="2"/>
  <c r="AF15" i="15"/>
  <c r="AQ15"/>
  <c r="M15"/>
  <c r="BH15"/>
  <c r="AX15"/>
  <c r="N15"/>
  <c r="BA15"/>
  <c r="BL15"/>
  <c r="AV15"/>
  <c r="BC15"/>
  <c r="AY15"/>
  <c r="BE15"/>
  <c r="BN15"/>
  <c r="BP15"/>
  <c r="B15" i="2"/>
  <c r="AF16" i="15"/>
  <c r="AQ16"/>
  <c r="M16"/>
  <c r="BH16"/>
  <c r="AX16"/>
  <c r="N16"/>
  <c r="BA16"/>
  <c r="BL16"/>
  <c r="AV16"/>
  <c r="BC16"/>
  <c r="AY16"/>
  <c r="BE16"/>
  <c r="BN16"/>
  <c r="BP16"/>
  <c r="B16" i="2"/>
  <c r="AF17" i="15"/>
  <c r="AQ17"/>
  <c r="M17"/>
  <c r="BH17"/>
  <c r="AX17"/>
  <c r="N17"/>
  <c r="BA17"/>
  <c r="BL17"/>
  <c r="AV17"/>
  <c r="BC17"/>
  <c r="AY17"/>
  <c r="BE17"/>
  <c r="BN17"/>
  <c r="BP17"/>
  <c r="B17" i="2"/>
  <c r="AF18" i="15"/>
  <c r="AQ18"/>
  <c r="M18"/>
  <c r="BH18"/>
  <c r="AX18"/>
  <c r="N18"/>
  <c r="BA18"/>
  <c r="BL18"/>
  <c r="AV18"/>
  <c r="BC18"/>
  <c r="AY18"/>
  <c r="BE18"/>
  <c r="BN18"/>
  <c r="BP18"/>
  <c r="B18" i="2"/>
  <c r="AF19" i="15"/>
  <c r="AQ19"/>
  <c r="M19"/>
  <c r="BH19"/>
  <c r="AX19"/>
  <c r="N19"/>
  <c r="BA19"/>
  <c r="BL19"/>
  <c r="AV19"/>
  <c r="BC19"/>
  <c r="AY19"/>
  <c r="BE19"/>
  <c r="BN19"/>
  <c r="BP19"/>
  <c r="B19" i="2"/>
  <c r="AF20" i="15"/>
  <c r="AQ20"/>
  <c r="M20"/>
  <c r="BH20"/>
  <c r="AX20"/>
  <c r="N20"/>
  <c r="BA20"/>
  <c r="BL20"/>
  <c r="AV20"/>
  <c r="BC20"/>
  <c r="AY20"/>
  <c r="BE20"/>
  <c r="BN20"/>
  <c r="BP20"/>
  <c r="B20" i="2"/>
  <c r="AF21" i="15"/>
  <c r="AQ21"/>
  <c r="M21"/>
  <c r="BH21"/>
  <c r="AX21"/>
  <c r="N21"/>
  <c r="BA21"/>
  <c r="BL21"/>
  <c r="AV21"/>
  <c r="BC21"/>
  <c r="AY21"/>
  <c r="BE21"/>
  <c r="BN21"/>
  <c r="BP21"/>
  <c r="B21" i="2"/>
  <c r="BP2" i="15"/>
  <c r="B2" i="2"/>
  <c r="M2" i="15"/>
  <c r="AQ2"/>
  <c r="AG3"/>
  <c r="AG4"/>
  <c r="AG5"/>
  <c r="AG6"/>
  <c r="AG7"/>
  <c r="AG8"/>
  <c r="AG9"/>
  <c r="AG10"/>
  <c r="AG11"/>
  <c r="AG12"/>
  <c r="AG13"/>
  <c r="AG14"/>
  <c r="AG15"/>
  <c r="AG16"/>
  <c r="AG17"/>
  <c r="AG18"/>
  <c r="AG19"/>
  <c r="AG20"/>
  <c r="AG21"/>
  <c r="AG2"/>
  <c r="AF2"/>
  <c r="S21"/>
  <c r="R2"/>
  <c r="Q21"/>
  <c r="P2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R3"/>
  <c r="R4"/>
  <c r="R5"/>
  <c r="R6"/>
  <c r="R7"/>
  <c r="R8"/>
  <c r="R9"/>
  <c r="R10"/>
  <c r="R11"/>
  <c r="R12"/>
  <c r="R13"/>
  <c r="R14"/>
  <c r="R15"/>
  <c r="R16"/>
  <c r="R17"/>
  <c r="R18"/>
  <c r="R19"/>
  <c r="R20"/>
  <c r="R21"/>
  <c r="AR21"/>
  <c r="AS21"/>
  <c r="BI21"/>
  <c r="BJ21"/>
  <c r="BK21"/>
  <c r="AE21"/>
  <c r="AD21"/>
  <c r="AT21"/>
  <c r="BF21"/>
  <c r="BD21"/>
  <c r="AW21"/>
  <c r="L21"/>
  <c r="K21"/>
  <c r="Q2"/>
  <c r="Q20"/>
  <c r="S2"/>
  <c r="S20"/>
  <c r="AR20"/>
  <c r="AS20"/>
  <c r="BI20"/>
  <c r="BJ20"/>
  <c r="BK20"/>
  <c r="AE20"/>
  <c r="AD20"/>
  <c r="AT20"/>
  <c r="BF20"/>
  <c r="BD20"/>
  <c r="AW20"/>
  <c r="L20"/>
  <c r="K20"/>
  <c r="Q19"/>
  <c r="S19"/>
  <c r="AR19"/>
  <c r="AS19"/>
  <c r="BI19"/>
  <c r="BJ19"/>
  <c r="BK19"/>
  <c r="AE19"/>
  <c r="AD19"/>
  <c r="AT19"/>
  <c r="BF19"/>
  <c r="BD19"/>
  <c r="AW19"/>
  <c r="L19"/>
  <c r="K19"/>
  <c r="Q18"/>
  <c r="S18"/>
  <c r="AR18"/>
  <c r="AS18"/>
  <c r="BI18"/>
  <c r="BJ18"/>
  <c r="BK18"/>
  <c r="AE18"/>
  <c r="AD18"/>
  <c r="AT18"/>
  <c r="BF18"/>
  <c r="BD18"/>
  <c r="AW18"/>
  <c r="L18"/>
  <c r="K18"/>
  <c r="Q17"/>
  <c r="S17"/>
  <c r="AR17"/>
  <c r="AS17"/>
  <c r="BI17"/>
  <c r="BJ17"/>
  <c r="BK17"/>
  <c r="AE17"/>
  <c r="AD17"/>
  <c r="AT17"/>
  <c r="BF17"/>
  <c r="BD17"/>
  <c r="AW17"/>
  <c r="L17"/>
  <c r="K17"/>
  <c r="Q16"/>
  <c r="S16"/>
  <c r="AR16"/>
  <c r="AS16"/>
  <c r="BI16"/>
  <c r="BJ16"/>
  <c r="BK16"/>
  <c r="AE16"/>
  <c r="AD16"/>
  <c r="AT16"/>
  <c r="BF16"/>
  <c r="BD16"/>
  <c r="AW16"/>
  <c r="L16"/>
  <c r="K16"/>
  <c r="Q15"/>
  <c r="S15"/>
  <c r="AR15"/>
  <c r="AS15"/>
  <c r="BI15"/>
  <c r="BJ15"/>
  <c r="BK15"/>
  <c r="AE15"/>
  <c r="AD15"/>
  <c r="AT15"/>
  <c r="BF15"/>
  <c r="BD15"/>
  <c r="AW15"/>
  <c r="L15"/>
  <c r="K15"/>
  <c r="Q14"/>
  <c r="S14"/>
  <c r="AR14"/>
  <c r="AS14"/>
  <c r="BI14"/>
  <c r="BJ14"/>
  <c r="BK14"/>
  <c r="AE14"/>
  <c r="AD14"/>
  <c r="AT14"/>
  <c r="BF14"/>
  <c r="BD14"/>
  <c r="AW14"/>
  <c r="L14"/>
  <c r="K14"/>
  <c r="Q13"/>
  <c r="S13"/>
  <c r="AR13"/>
  <c r="AS13"/>
  <c r="BI13"/>
  <c r="BJ13"/>
  <c r="BK13"/>
  <c r="AE13"/>
  <c r="AD13"/>
  <c r="AT13"/>
  <c r="BF13"/>
  <c r="BD13"/>
  <c r="AW13"/>
  <c r="L13"/>
  <c r="K13"/>
  <c r="Q12"/>
  <c r="S12"/>
  <c r="AR12"/>
  <c r="AS12"/>
  <c r="BI12"/>
  <c r="BJ12"/>
  <c r="BK12"/>
  <c r="AE12"/>
  <c r="AD12"/>
  <c r="AT12"/>
  <c r="BF12"/>
  <c r="BD12"/>
  <c r="AW12"/>
  <c r="L12"/>
  <c r="K12"/>
  <c r="Q11"/>
  <c r="S11"/>
  <c r="AR11"/>
  <c r="AS11"/>
  <c r="BI11"/>
  <c r="BJ11"/>
  <c r="BK11"/>
  <c r="AE11"/>
  <c r="AD11"/>
  <c r="AT11"/>
  <c r="BF11"/>
  <c r="BD11"/>
  <c r="AW11"/>
  <c r="L11"/>
  <c r="K11"/>
  <c r="Q10"/>
  <c r="S10"/>
  <c r="AR10"/>
  <c r="AS10"/>
  <c r="BI10"/>
  <c r="BJ10"/>
  <c r="BK10"/>
  <c r="AE10"/>
  <c r="AD10"/>
  <c r="AT10"/>
  <c r="BF10"/>
  <c r="BD10"/>
  <c r="AW10"/>
  <c r="L10"/>
  <c r="K10"/>
  <c r="Q9"/>
  <c r="S9"/>
  <c r="AR9"/>
  <c r="AS9"/>
  <c r="BI9"/>
  <c r="BJ9"/>
  <c r="BK9"/>
  <c r="AE9"/>
  <c r="AD9"/>
  <c r="AT9"/>
  <c r="BF9"/>
  <c r="BD9"/>
  <c r="AW9"/>
  <c r="L9"/>
  <c r="K9"/>
  <c r="Q8"/>
  <c r="S8"/>
  <c r="AR8"/>
  <c r="AS8"/>
  <c r="BI8"/>
  <c r="BJ8"/>
  <c r="BK8"/>
  <c r="AE8"/>
  <c r="AD8"/>
  <c r="AT8"/>
  <c r="BF8"/>
  <c r="BD8"/>
  <c r="AW8"/>
  <c r="L8"/>
  <c r="K8"/>
  <c r="Q7"/>
  <c r="S7"/>
  <c r="AR7"/>
  <c r="AS7"/>
  <c r="BI7"/>
  <c r="BJ7"/>
  <c r="BK7"/>
  <c r="AE7"/>
  <c r="AD7"/>
  <c r="AT7"/>
  <c r="BF7"/>
  <c r="BD7"/>
  <c r="AW7"/>
  <c r="L7"/>
  <c r="K7"/>
  <c r="Q6"/>
  <c r="S6"/>
  <c r="AR6"/>
  <c r="AS6"/>
  <c r="BI6"/>
  <c r="BJ6"/>
  <c r="BK6"/>
  <c r="AE6"/>
  <c r="AD6"/>
  <c r="AT6"/>
  <c r="BF6"/>
  <c r="BD6"/>
  <c r="AW6"/>
  <c r="L6"/>
  <c r="K6"/>
  <c r="Q5"/>
  <c r="S5"/>
  <c r="AR5"/>
  <c r="AS5"/>
  <c r="BI5"/>
  <c r="BJ5"/>
  <c r="BK5"/>
  <c r="AE5"/>
  <c r="AD5"/>
  <c r="AT5"/>
  <c r="BF5"/>
  <c r="BD5"/>
  <c r="AW5"/>
  <c r="L5"/>
  <c r="K5"/>
  <c r="Q4"/>
  <c r="S4"/>
  <c r="AR4"/>
  <c r="AS4"/>
  <c r="BI4"/>
  <c r="BJ4"/>
  <c r="BK4"/>
  <c r="AE4"/>
  <c r="AD4"/>
  <c r="AT4"/>
  <c r="BF4"/>
  <c r="BD4"/>
  <c r="AW4"/>
  <c r="L4"/>
  <c r="K4"/>
  <c r="Q3"/>
  <c r="S3"/>
  <c r="AR3"/>
  <c r="AS3"/>
  <c r="BI3"/>
  <c r="BJ3"/>
  <c r="BK3"/>
  <c r="AE3"/>
  <c r="AD3"/>
  <c r="AT3"/>
  <c r="BF3"/>
  <c r="BD3"/>
  <c r="AW3"/>
  <c r="L3"/>
  <c r="K3"/>
  <c r="AR2"/>
  <c r="AS2"/>
  <c r="BH2"/>
  <c r="BI2"/>
  <c r="BK2"/>
  <c r="AE2"/>
  <c r="AD2"/>
  <c r="AT2"/>
  <c r="AX2"/>
  <c r="N2"/>
  <c r="BA2"/>
  <c r="BL2"/>
  <c r="AY2"/>
  <c r="BE2"/>
  <c r="BN2"/>
  <c r="BF2"/>
  <c r="AV2"/>
  <c r="BD2"/>
  <c r="BC2"/>
  <c r="AW2"/>
  <c r="L2"/>
  <c r="K2"/>
  <c r="B2"/>
  <c r="B21" i="1"/>
  <c r="B5"/>
  <c r="D4"/>
  <c r="D5"/>
  <c r="D6"/>
  <c r="D7"/>
  <c r="D8"/>
  <c r="D9"/>
  <c r="D10"/>
  <c r="D11"/>
  <c r="D12"/>
  <c r="D13"/>
  <c r="D14"/>
  <c r="D15"/>
  <c r="D16"/>
  <c r="D17"/>
  <c r="D18"/>
  <c r="D19"/>
  <c r="D20"/>
  <c r="D3"/>
  <c r="B3"/>
  <c r="B4"/>
  <c r="B6"/>
  <c r="B7"/>
  <c r="B8"/>
  <c r="B9"/>
  <c r="B10"/>
  <c r="B11"/>
  <c r="B12"/>
  <c r="B13"/>
  <c r="B14"/>
  <c r="B15"/>
  <c r="B16"/>
  <c r="B17"/>
  <c r="B18"/>
  <c r="B19"/>
  <c r="B20"/>
  <c r="B2"/>
  <c r="D3" i="13"/>
  <c r="F3"/>
  <c r="G3"/>
  <c r="D4"/>
  <c r="F4"/>
  <c r="G4"/>
  <c r="F5"/>
  <c r="G5"/>
  <c r="D10"/>
  <c r="F10"/>
  <c r="H10"/>
  <c r="D11"/>
  <c r="F11"/>
  <c r="H11"/>
  <c r="D12"/>
  <c r="F12"/>
  <c r="H12"/>
  <c r="F13"/>
  <c r="H13"/>
  <c r="F3" i="1"/>
  <c r="F4"/>
  <c r="F5"/>
  <c r="F6"/>
  <c r="F7"/>
  <c r="F9"/>
  <c r="F10"/>
  <c r="F11"/>
  <c r="F12"/>
  <c r="F13"/>
  <c r="F14"/>
  <c r="F16"/>
  <c r="F17"/>
  <c r="F18"/>
  <c r="F19"/>
  <c r="F20"/>
  <c r="F15"/>
  <c r="F8"/>
  <c r="F21"/>
  <c r="F2"/>
  <c r="J1"/>
  <c r="G15" s="1"/>
  <c r="G16"/>
  <c r="G13"/>
  <c r="G5"/>
  <c r="E2" i="2"/>
  <c r="F2"/>
  <c r="E5"/>
  <c r="F5"/>
  <c r="E6"/>
  <c r="F6"/>
  <c r="E4"/>
  <c r="F4"/>
  <c r="E3"/>
  <c r="F3"/>
  <c r="E7"/>
  <c r="F7"/>
  <c r="E8"/>
  <c r="F8"/>
  <c r="E9"/>
  <c r="F9"/>
  <c r="E10"/>
  <c r="F10"/>
  <c r="E11"/>
  <c r="F11"/>
  <c r="E12"/>
  <c r="F12"/>
  <c r="E13"/>
  <c r="F13"/>
  <c r="E14"/>
  <c r="F14"/>
  <c r="E15"/>
  <c r="F15"/>
  <c r="E16"/>
  <c r="F16"/>
  <c r="E17"/>
  <c r="F17"/>
  <c r="E18"/>
  <c r="F18"/>
  <c r="E19"/>
  <c r="F19"/>
  <c r="E20"/>
  <c r="F20"/>
  <c r="E21"/>
  <c r="F21"/>
  <c r="G9" i="1" l="1"/>
  <c r="G6"/>
  <c r="G7"/>
  <c r="G10"/>
  <c r="F23" i="2"/>
  <c r="G8" i="1"/>
  <c r="G17"/>
  <c r="G18"/>
  <c r="G21"/>
  <c r="G19"/>
  <c r="G12"/>
  <c r="G20"/>
  <c r="G3"/>
  <c r="G11"/>
  <c r="G4"/>
  <c r="G14"/>
  <c r="G2"/>
  <c r="G23" s="1"/>
  <c r="F24" i="2" s="1"/>
  <c r="F25" s="1"/>
</calcChain>
</file>

<file path=xl/sharedStrings.xml><?xml version="1.0" encoding="utf-8"?>
<sst xmlns="http://schemas.openxmlformats.org/spreadsheetml/2006/main" count="139" uniqueCount="125">
  <si>
    <t>?</t>
  </si>
  <si>
    <t>CS Benefit $</t>
  </si>
  <si>
    <t>Total (Present Value)</t>
  </si>
  <si>
    <t>Discount Rate</t>
  </si>
  <si>
    <t>2012 - 2031</t>
  </si>
  <si>
    <t>Total (Constant 2010$)</t>
  </si>
  <si>
    <t>Discount Rate (copied from &lt;benefits&gt;)</t>
  </si>
  <si>
    <t>Benefit : Cost Ratio</t>
  </si>
  <si>
    <t>Initial (construction/design/land acquisition)</t>
  </si>
  <si>
    <t>Annual (operating and maintenance)</t>
  </si>
  <si>
    <t>Salvage Value</t>
  </si>
  <si>
    <t>Safety</t>
  </si>
  <si>
    <t>ü</t>
  </si>
  <si>
    <t>Auto VMT (operating costs + environmental benefits)</t>
  </si>
  <si>
    <t>Auto VHT (value of time + environmental benefits)</t>
  </si>
  <si>
    <t>Bicycle/Pedestrian Health</t>
  </si>
  <si>
    <t>Transit VHT</t>
  </si>
  <si>
    <t>Transit VMT</t>
  </si>
  <si>
    <t>Benefit-Cost Item</t>
  </si>
  <si>
    <t>Legend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</si>
  <si>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>: currently reflected in BCA</t>
    </r>
  </si>
  <si>
    <t>? : not yet shown in BCA… estimate possible?</t>
  </si>
  <si>
    <t>BL</t>
  </si>
  <si>
    <t>CS</t>
  </si>
  <si>
    <t>Benefits: 2012 - 2031</t>
  </si>
  <si>
    <t>Costs: 2012 - 2031</t>
  </si>
  <si>
    <t>^^^ INCORPORATES RESIDUAL VALUE (IF ANY) BEYOND YEAR 20 ^^^</t>
  </si>
  <si>
    <t>TOTAL</t>
    <phoneticPr fontId="0" type="noConversion"/>
  </si>
  <si>
    <t>sealcoating</t>
    <phoneticPr fontId="0" type="noConversion"/>
  </si>
  <si>
    <t>crack sealing</t>
    <phoneticPr fontId="0" type="noConversion"/>
  </si>
  <si>
    <t>patching/marking</t>
    <phoneticPr fontId="0" type="noConversion"/>
  </si>
  <si>
    <t>proj cost/20 years: complete</t>
    <phoneticPr fontId="0" type="noConversion"/>
  </si>
  <si>
    <t>project miles: complete street</t>
    <phoneticPr fontId="0" type="noConversion"/>
  </si>
  <si>
    <t>project cost/20 years</t>
    <phoneticPr fontId="0" type="noConversion"/>
  </si>
  <si>
    <t>project miles</t>
    <phoneticPr fontId="0" type="noConversion"/>
  </si>
  <si>
    <t>cost/mile/20 years</t>
    <phoneticPr fontId="0" type="noConversion"/>
  </si>
  <si>
    <t>times/20 years</t>
    <phoneticPr fontId="0" type="noConversion"/>
  </si>
  <si>
    <t>cost/mile</t>
    <phoneticPr fontId="0" type="noConversion"/>
  </si>
  <si>
    <t>activity</t>
    <phoneticPr fontId="0" type="noConversion"/>
  </si>
  <si>
    <t>MAINTENANCE TABULATION</t>
    <phoneticPr fontId="0" type="noConversion"/>
  </si>
  <si>
    <t>snow removal</t>
    <phoneticPr fontId="0" type="noConversion"/>
  </si>
  <si>
    <t>street sweeping</t>
    <phoneticPr fontId="0" type="noConversion"/>
  </si>
  <si>
    <t>proj cost/20 years</t>
    <phoneticPr fontId="0" type="noConversion"/>
  </si>
  <si>
    <t>project cost/year</t>
    <phoneticPr fontId="0" type="noConversion"/>
  </si>
  <si>
    <t>cost/year/mile</t>
    <phoneticPr fontId="0" type="noConversion"/>
  </si>
  <si>
    <t>times/year</t>
    <phoneticPr fontId="0" type="noConversion"/>
  </si>
  <si>
    <t>cost/mile</t>
    <phoneticPr fontId="0" type="noConversion"/>
  </si>
  <si>
    <t>activity</t>
    <phoneticPr fontId="0" type="noConversion"/>
  </si>
  <si>
    <t>OPERATIONS TABULATION</t>
    <phoneticPr fontId="0" type="noConversion"/>
  </si>
  <si>
    <t>Checklist of TIGER II Project Components &amp; Benefit-Cost Analysis Categories: Willmar</t>
  </si>
  <si>
    <t>Passengers per Vehicle [Assumed]</t>
  </si>
  <si>
    <t>Auto Variable Operating Costs ($/mi) [Mn/DOT Standard]</t>
  </si>
  <si>
    <t>Auto Environmental Cost ($/mi) [TREDIS, Free Flow]</t>
  </si>
  <si>
    <t>Bicycle / Pedestrian Health Benefit ($/New Cyclist or Pedestrian) [NCHRP]</t>
  </si>
  <si>
    <t>Bicycle Recreation (Non-Commuting) Benefit ($/hr) [BicyclingInfo.org]</t>
  </si>
  <si>
    <t>Annual Travel Time Penalty for Pedestrian Mode Shift (hrs), Quarter of Vehicle Speed [Assumed]</t>
  </si>
  <si>
    <t>Annual Reduction in Auto Per-Mile Costs</t>
  </si>
  <si>
    <t>Annual Increase in Travel Time Costs for Pedestrian Mode Shift</t>
  </si>
  <si>
    <t>Passenger Cost Factor ($/hr), 70% Personal/Rec + 30% Commute [TREDIS]</t>
  </si>
  <si>
    <t>Daily Auto VMT Reduction [Proposal]</t>
  </si>
  <si>
    <t>Daily Auto VHT Reduction [Proposal]</t>
  </si>
  <si>
    <t>Annual Auto VHT Reduction, 15 MPH [Proposal]</t>
  </si>
  <si>
    <t>BL - District Residents, 2% Annual Growth [Assumed]</t>
  </si>
  <si>
    <t>CS - District Residents [Proposal]</t>
  </si>
  <si>
    <t>BL - District Employee Daily Commutes, 2% Annual Growth [Assumed]</t>
  </si>
  <si>
    <t>CS - District Employee Daily Commutes [Proposal]</t>
  </si>
  <si>
    <t>BL - % Likely to Use Transit [Proposal]</t>
  </si>
  <si>
    <t>CS - % Likely to Use Transit [Proposal]</t>
  </si>
  <si>
    <t>BL - % Likely to Use Bicycle [Proposal]</t>
  </si>
  <si>
    <t>CS - % Likely to Use Bicycle [Proposal]</t>
  </si>
  <si>
    <t>BL - % Likely to Be Pedestrian [Proposal]</t>
  </si>
  <si>
    <t>CS - % Likely to Be Pedestrian [Proposal]</t>
  </si>
  <si>
    <t>BL - % Likely to Carpool [Proposal]</t>
  </si>
  <si>
    <t>CS - % Likely to Carpool [Proposal]</t>
  </si>
  <si>
    <t>BL - Commuter Fraction</t>
  </si>
  <si>
    <t>CS - Commuter Fraction</t>
  </si>
  <si>
    <t>Transit Annual Days of Usage, Residents [Assumed]</t>
  </si>
  <si>
    <t>Transit Annual Days of Usage, Commuters [Assumed]</t>
  </si>
  <si>
    <t>Bicycle Annual Days of Usage, Residents [Assumed]</t>
  </si>
  <si>
    <t>Bicycle Annual Days of Usage, Commuters [Mn/DOT Guidance]</t>
  </si>
  <si>
    <t>Pedestrian Annual Days, Residents [Assumed]</t>
  </si>
  <si>
    <t>Pedestrian Annual Days, Commuters [Assumed]</t>
  </si>
  <si>
    <t>Carpool Annual Days of Usage, Commuters [Assumed]</t>
  </si>
  <si>
    <t>Annual Increase in Transit Trips</t>
  </si>
  <si>
    <t>Annual Increase in Bicycle Trips</t>
  </si>
  <si>
    <t>Annual Increase in Pedestrian Trips</t>
  </si>
  <si>
    <t>Annual Increase in Carpool Trips</t>
  </si>
  <si>
    <t>Transit Share of Mode Shift</t>
  </si>
  <si>
    <t>Bicycle Share of Mode Shift</t>
  </si>
  <si>
    <t>Pedestrian Share of Mode Shift</t>
  </si>
  <si>
    <t>Carpool Share of Mode Shift</t>
  </si>
  <si>
    <t>Annual Transit VMT Increase, One New Transit Trip per 20 Shifted Auto Trips [Assumed]</t>
  </si>
  <si>
    <t>Annual Transit VHT Increase, One New Transit Trip per 20 Shifted Auto Trips [Assumed]</t>
  </si>
  <si>
    <t>Annual Carpool VMT Increase, One New Carpool Trip per 2 Shifted Auto Trips [Assumed]</t>
  </si>
  <si>
    <t>Annual Carpool VHT Increase, One New Carpool Trip per 2 Shifted Auto Trips [Assumed]</t>
  </si>
  <si>
    <t>Annual Bicycle Health Benefit</t>
  </si>
  <si>
    <t>Annual Bicycle Recreation Benefit</t>
  </si>
  <si>
    <t>Annual Pedestrian Health Benefit</t>
  </si>
  <si>
    <t>Annual Increase in Carpool Per-Mile Costs</t>
  </si>
  <si>
    <r>
      <t xml:space="preserve">Annual Auto VMT Reduction, </t>
    </r>
    <r>
      <rPr>
        <b/>
        <sz val="11"/>
        <color theme="1"/>
        <rFont val="Calibri"/>
        <family val="2"/>
      </rPr>
      <t>1,500-Foot</t>
    </r>
    <r>
      <rPr>
        <b/>
        <sz val="11"/>
        <color theme="1"/>
        <rFont val="Calibri"/>
        <family val="2"/>
        <scheme val="minor"/>
      </rPr>
      <t xml:space="preserve"> Corridor [Proposal]</t>
    </r>
  </si>
  <si>
    <t>BL - Transit Citywide Access Scaling Factor</t>
  </si>
  <si>
    <t>CS - Transit Citywide Access Scaling Factor</t>
  </si>
  <si>
    <t>Annual Increase in Transit Per-Mile Costs</t>
  </si>
  <si>
    <t>Mode</t>
  </si>
  <si>
    <t>Transit Variable Operating Costs ($/mi) [TREDIS]</t>
  </si>
  <si>
    <t>Transit Environmental Cost ($/mi) [TREDIS, Free Flow]</t>
  </si>
  <si>
    <t>BL - #K</t>
  </si>
  <si>
    <t>BL - #A</t>
  </si>
  <si>
    <t>BL - #B</t>
  </si>
  <si>
    <t>BL - #C</t>
  </si>
  <si>
    <t>BL - #N</t>
  </si>
  <si>
    <t>CS - #K</t>
  </si>
  <si>
    <t>CS - #A</t>
  </si>
  <si>
    <t>CS - #B</t>
  </si>
  <si>
    <t>CS - #C</t>
  </si>
  <si>
    <t>CS - #N</t>
  </si>
  <si>
    <t>$K</t>
  </si>
  <si>
    <t>$A</t>
  </si>
  <si>
    <t>$B</t>
  </si>
  <si>
    <t>$C</t>
  </si>
  <si>
    <t>$N</t>
  </si>
  <si>
    <t>Annual Traffic Growth [Assumed]</t>
  </si>
  <si>
    <t>BL $</t>
  </si>
  <si>
    <t>CS $</t>
  </si>
  <si>
    <t>Sewer System Reliability</t>
  </si>
</sst>
</file>

<file path=xl/styles.xml><?xml version="1.0" encoding="utf-8"?>
<styleSheet xmlns="http://schemas.openxmlformats.org/spreadsheetml/2006/main">
  <numFmts count="7">
    <numFmt numFmtId="6" formatCode="&quot;$&quot;#,##0_);[Red]\(&quot;$&quot;#,##0\)"/>
    <numFmt numFmtId="164" formatCode="&quot;$&quot;#,##0"/>
    <numFmt numFmtId="165" formatCode="&quot;$&quot;#,##0.00"/>
    <numFmt numFmtId="166" formatCode="&quot;$&quot;#,##0.000"/>
    <numFmt numFmtId="167" formatCode="#,##0.0"/>
    <numFmt numFmtId="168" formatCode="0.0"/>
    <numFmt numFmtId="169" formatCode="0.0%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47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65" fontId="0" fillId="0" borderId="0" xfId="0" applyNumberFormat="1"/>
    <xf numFmtId="3" fontId="0" fillId="0" borderId="0" xfId="0" applyNumberFormat="1"/>
    <xf numFmtId="9" fontId="0" fillId="0" borderId="0" xfId="0" applyNumberFormat="1"/>
    <xf numFmtId="166" fontId="0" fillId="0" borderId="0" xfId="0" applyNumberFormat="1" applyAlignment="1">
      <alignment wrapText="1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Border="1"/>
    <xf numFmtId="0" fontId="1" fillId="0" borderId="0" xfId="0" applyFont="1"/>
    <xf numFmtId="0" fontId="4" fillId="0" borderId="0" xfId="0" applyFont="1"/>
    <xf numFmtId="0" fontId="0" fillId="0" borderId="1" xfId="0" applyBorder="1"/>
    <xf numFmtId="0" fontId="0" fillId="0" borderId="2" xfId="0" applyBorder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6" fontId="0" fillId="0" borderId="0" xfId="0" applyNumberFormat="1" applyAlignment="1">
      <alignment horizontal="right"/>
    </xf>
    <xf numFmtId="164" fontId="0" fillId="0" borderId="0" xfId="0" applyNumberFormat="1" applyAlignment="1">
      <alignment wrapText="1"/>
    </xf>
    <xf numFmtId="167" fontId="0" fillId="0" borderId="0" xfId="0" applyNumberFormat="1" applyAlignment="1">
      <alignment horizontal="right"/>
    </xf>
    <xf numFmtId="0" fontId="5" fillId="0" borderId="0" xfId="0" applyFont="1" applyAlignment="1"/>
    <xf numFmtId="0" fontId="0" fillId="0" borderId="0" xfId="0" applyBorder="1" applyAlignment="1">
      <alignment horizontal="center"/>
    </xf>
    <xf numFmtId="0" fontId="3" fillId="0" borderId="4" xfId="0" applyFont="1" applyBorder="1"/>
    <xf numFmtId="0" fontId="0" fillId="0" borderId="5" xfId="0" applyBorder="1"/>
    <xf numFmtId="165" fontId="0" fillId="0" borderId="0" xfId="0" applyNumberFormat="1" applyAlignment="1">
      <alignment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wrapText="1"/>
    </xf>
    <xf numFmtId="0" fontId="8" fillId="0" borderId="0" xfId="0" applyFont="1"/>
    <xf numFmtId="164" fontId="0" fillId="0" borderId="0" xfId="0" applyNumberFormat="1" applyFill="1" applyAlignment="1">
      <alignment horizontal="right"/>
    </xf>
    <xf numFmtId="168" fontId="0" fillId="0" borderId="0" xfId="0" applyNumberFormat="1" applyAlignment="1">
      <alignment wrapText="1"/>
    </xf>
    <xf numFmtId="38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169" fontId="0" fillId="0" borderId="0" xfId="1" applyNumberFormat="1" applyFont="1" applyAlignment="1">
      <alignment horizontal="right"/>
    </xf>
    <xf numFmtId="9" fontId="0" fillId="0" borderId="0" xfId="1" applyFont="1" applyAlignment="1">
      <alignment horizontal="right"/>
    </xf>
    <xf numFmtId="9" fontId="0" fillId="0" borderId="0" xfId="1" applyNumberFormat="1" applyFont="1" applyAlignment="1">
      <alignment horizontal="right"/>
    </xf>
    <xf numFmtId="168" fontId="0" fillId="0" borderId="0" xfId="1" applyNumberFormat="1" applyFont="1" applyAlignment="1">
      <alignment horizontal="right"/>
    </xf>
    <xf numFmtId="6" fontId="0" fillId="0" borderId="0" xfId="0" applyNumberFormat="1"/>
    <xf numFmtId="168" fontId="0" fillId="0" borderId="3" xfId="0" applyNumberFormat="1" applyBorder="1" applyAlignment="1">
      <alignment horizontal="right"/>
    </xf>
    <xf numFmtId="0" fontId="0" fillId="0" borderId="6" xfId="0" applyBorder="1"/>
    <xf numFmtId="6" fontId="0" fillId="0" borderId="0" xfId="0" applyNumberFormat="1" applyFill="1" applyAlignment="1">
      <alignment horizontal="right"/>
    </xf>
    <xf numFmtId="0" fontId="5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0"/>
  <sheetViews>
    <sheetView tabSelected="1" zoomScaleNormal="100" workbookViewId="0">
      <selection activeCell="A2" sqref="A2"/>
    </sheetView>
  </sheetViews>
  <sheetFormatPr defaultRowHeight="15"/>
  <cols>
    <col min="1" max="1" width="49.140625" bestFit="1" customWidth="1"/>
    <col min="2" max="4" width="9.140625" style="12"/>
  </cols>
  <sheetData>
    <row r="1" spans="1:5" ht="18.75">
      <c r="A1" s="17" t="s">
        <v>49</v>
      </c>
    </row>
    <row r="3" spans="1:5">
      <c r="A3" s="14" t="s">
        <v>18</v>
      </c>
      <c r="B3" s="13"/>
      <c r="C3" s="13"/>
      <c r="D3" s="13"/>
      <c r="E3" s="13"/>
    </row>
    <row r="4" spans="1:5">
      <c r="A4" t="s">
        <v>8</v>
      </c>
      <c r="B4" s="11" t="s">
        <v>12</v>
      </c>
      <c r="C4" s="11"/>
      <c r="D4" s="11"/>
      <c r="E4" s="11"/>
    </row>
    <row r="5" spans="1:5">
      <c r="A5" t="s">
        <v>9</v>
      </c>
      <c r="B5" s="11" t="s">
        <v>12</v>
      </c>
      <c r="C5" s="11"/>
      <c r="D5" s="11"/>
      <c r="E5" s="11"/>
    </row>
    <row r="6" spans="1:5">
      <c r="A6" t="s">
        <v>10</v>
      </c>
      <c r="B6" s="11" t="s">
        <v>12</v>
      </c>
      <c r="C6" s="11"/>
      <c r="D6" s="11"/>
      <c r="E6" s="11"/>
    </row>
    <row r="8" spans="1:5">
      <c r="A8" t="s">
        <v>11</v>
      </c>
      <c r="B8" s="11" t="s">
        <v>12</v>
      </c>
      <c r="C8" s="11"/>
      <c r="E8" s="12"/>
    </row>
    <row r="9" spans="1:5">
      <c r="A9" t="s">
        <v>14</v>
      </c>
      <c r="B9" s="11" t="s">
        <v>12</v>
      </c>
      <c r="C9" s="11"/>
      <c r="E9" s="11"/>
    </row>
    <row r="10" spans="1:5">
      <c r="A10" t="s">
        <v>13</v>
      </c>
      <c r="B10" s="11" t="s">
        <v>12</v>
      </c>
      <c r="C10" s="11"/>
      <c r="E10" s="11"/>
    </row>
    <row r="11" spans="1:5">
      <c r="A11" t="s">
        <v>16</v>
      </c>
      <c r="B11" s="11" t="s">
        <v>12</v>
      </c>
      <c r="C11" s="11"/>
      <c r="D11" s="11"/>
      <c r="E11" s="12"/>
    </row>
    <row r="12" spans="1:5">
      <c r="A12" t="s">
        <v>17</v>
      </c>
      <c r="B12" s="11" t="s">
        <v>12</v>
      </c>
      <c r="C12" s="11"/>
      <c r="D12" s="11"/>
      <c r="E12" s="12"/>
    </row>
    <row r="13" spans="1:5">
      <c r="A13" t="s">
        <v>15</v>
      </c>
      <c r="B13" s="11" t="s">
        <v>12</v>
      </c>
      <c r="C13" s="11"/>
      <c r="E13" s="11"/>
    </row>
    <row r="14" spans="1:5">
      <c r="A14" t="s">
        <v>124</v>
      </c>
      <c r="B14" s="12" t="s">
        <v>0</v>
      </c>
      <c r="E14" s="12"/>
    </row>
    <row r="15" spans="1:5">
      <c r="A15" s="15"/>
      <c r="B15" s="27"/>
      <c r="C15" s="27"/>
    </row>
    <row r="16" spans="1:5">
      <c r="A16" s="28" t="s">
        <v>19</v>
      </c>
      <c r="B16" s="15"/>
      <c r="C16" s="15"/>
      <c r="D16" s="15"/>
      <c r="E16" s="15"/>
    </row>
    <row r="17" spans="1:5">
      <c r="A17" s="29" t="s">
        <v>20</v>
      </c>
      <c r="B17" s="15"/>
      <c r="C17" s="15"/>
      <c r="D17" s="15"/>
      <c r="E17" s="15"/>
    </row>
    <row r="18" spans="1:5">
      <c r="A18" s="44" t="s">
        <v>21</v>
      </c>
      <c r="B18" s="15"/>
      <c r="C18" s="15"/>
      <c r="D18" s="15"/>
      <c r="E18" s="15"/>
    </row>
    <row r="19" spans="1:5">
      <c r="A19" s="15"/>
      <c r="B19" s="27"/>
      <c r="C19" s="27"/>
    </row>
    <row r="20" spans="1:5">
      <c r="A20" s="15"/>
      <c r="B20" s="27"/>
      <c r="C20" s="27"/>
    </row>
  </sheetData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4"/>
  <sheetViews>
    <sheetView zoomScaleNormal="100" workbookViewId="0"/>
  </sheetViews>
  <sheetFormatPr defaultRowHeight="15"/>
  <cols>
    <col min="1" max="1" width="100.7109375" customWidth="1"/>
  </cols>
  <sheetData>
    <row r="1" spans="1:1">
      <c r="A1" s="16"/>
    </row>
    <row r="2" spans="1:1">
      <c r="A2" s="4"/>
    </row>
    <row r="3" spans="1:1">
      <c r="A3" s="4"/>
    </row>
    <row r="4" spans="1:1">
      <c r="A4" s="4"/>
    </row>
  </sheetData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3"/>
  <sheetViews>
    <sheetView zoomScaleNormal="100" workbookViewId="0"/>
  </sheetViews>
  <sheetFormatPr defaultRowHeight="15"/>
  <cols>
    <col min="2" max="2" width="20.7109375" style="2" customWidth="1"/>
    <col min="3" max="3" width="12.7109375" style="2" customWidth="1"/>
    <col min="4" max="4" width="20.7109375" style="2" customWidth="1"/>
    <col min="5" max="5" width="11.5703125" bestFit="1" customWidth="1"/>
    <col min="6" max="7" width="12.5703125" bestFit="1" customWidth="1"/>
    <col min="9" max="9" width="14.7109375" customWidth="1"/>
  </cols>
  <sheetData>
    <row r="1" spans="1:10" ht="45">
      <c r="B1" s="22" t="s">
        <v>22</v>
      </c>
      <c r="C1" s="22"/>
      <c r="D1" s="22" t="s">
        <v>23</v>
      </c>
      <c r="E1" s="22"/>
      <c r="F1" s="21" t="s">
        <v>5</v>
      </c>
      <c r="G1" s="21" t="s">
        <v>2</v>
      </c>
      <c r="I1" s="5" t="s">
        <v>6</v>
      </c>
      <c r="J1" s="8">
        <f>'benefits &amp; sum'!$I$1</f>
        <v>0.03</v>
      </c>
    </row>
    <row r="2" spans="1:10">
      <c r="A2">
        <v>2012</v>
      </c>
      <c r="B2" s="3">
        <f>costDetail!$F$5+costDetail!$F$13/19</f>
        <v>1511.4105263157896</v>
      </c>
      <c r="C2" s="23"/>
      <c r="D2" s="23">
        <f>1576750+278250+costDetail!$F$5</f>
        <v>1856016.4</v>
      </c>
      <c r="E2" s="1"/>
      <c r="F2" s="23">
        <f t="shared" ref="F2:F21" si="0">SUM(D2:E2)-SUM(B2:C2)</f>
        <v>1854504.9894736842</v>
      </c>
      <c r="G2" s="23">
        <f t="shared" ref="G2:G21" si="1">F2/((1+$J$1)^(A2-2010))</f>
        <v>1748048.816546031</v>
      </c>
    </row>
    <row r="3" spans="1:10">
      <c r="A3">
        <v>2013</v>
      </c>
      <c r="B3" s="3">
        <f>costDetail!$F$5+costDetail!$F$13/19</f>
        <v>1511.4105263157896</v>
      </c>
      <c r="C3" s="23"/>
      <c r="D3" s="23">
        <f>costDetail!$F$5+costDetail!$H$13/19</f>
        <v>1405.3368421052633</v>
      </c>
      <c r="E3" s="3"/>
      <c r="F3" s="23">
        <f t="shared" si="0"/>
        <v>-106.07368421052638</v>
      </c>
      <c r="G3" s="23">
        <f t="shared" si="1"/>
        <v>-97.072447382124153</v>
      </c>
    </row>
    <row r="4" spans="1:10">
      <c r="A4">
        <v>2014</v>
      </c>
      <c r="B4" s="3">
        <f>costDetail!$F$5+costDetail!$F$13/19</f>
        <v>1511.4105263157896</v>
      </c>
      <c r="C4" s="23"/>
      <c r="D4" s="23">
        <f>costDetail!$F$5+costDetail!$H$13/19</f>
        <v>1405.3368421052633</v>
      </c>
      <c r="E4" s="3"/>
      <c r="F4" s="23">
        <f t="shared" si="0"/>
        <v>-106.07368421052638</v>
      </c>
      <c r="G4" s="23">
        <f t="shared" si="1"/>
        <v>-94.245094545751613</v>
      </c>
    </row>
    <row r="5" spans="1:10">
      <c r="A5">
        <v>2015</v>
      </c>
      <c r="B5" s="34">
        <f>307440+46116+costDetail!$F$5</f>
        <v>354572.4</v>
      </c>
      <c r="C5" s="23"/>
      <c r="D5" s="23">
        <f>costDetail!$F$5+costDetail!$H$13/19</f>
        <v>1405.3368421052633</v>
      </c>
      <c r="E5" s="3"/>
      <c r="F5" s="23">
        <f t="shared" si="0"/>
        <v>-353167.06315789477</v>
      </c>
      <c r="G5" s="23">
        <f t="shared" si="1"/>
        <v>-304645.0110351569</v>
      </c>
    </row>
    <row r="6" spans="1:10">
      <c r="A6">
        <v>2016</v>
      </c>
      <c r="B6" s="3">
        <f>costDetail!$F$5+costDetail!$F$13/19</f>
        <v>1511.4105263157896</v>
      </c>
      <c r="C6" s="23"/>
      <c r="D6" s="23">
        <f>costDetail!$F$5+costDetail!$H$13/19</f>
        <v>1405.3368421052633</v>
      </c>
      <c r="E6" s="3"/>
      <c r="F6" s="23">
        <f t="shared" si="0"/>
        <v>-106.07368421052638</v>
      </c>
      <c r="G6" s="23">
        <f t="shared" si="1"/>
        <v>-88.835040574749371</v>
      </c>
    </row>
    <row r="7" spans="1:10">
      <c r="A7">
        <v>2017</v>
      </c>
      <c r="B7" s="3">
        <f>costDetail!$F$5+costDetail!$F$13/19</f>
        <v>1511.4105263157896</v>
      </c>
      <c r="C7" s="23"/>
      <c r="D7" s="23">
        <f>costDetail!$F$5+costDetail!$H$13/19</f>
        <v>1405.3368421052633</v>
      </c>
      <c r="E7" s="3"/>
      <c r="F7" s="23">
        <f t="shared" si="0"/>
        <v>-106.07368421052638</v>
      </c>
      <c r="G7" s="23">
        <f t="shared" si="1"/>
        <v>-86.24761220849453</v>
      </c>
    </row>
    <row r="8" spans="1:10">
      <c r="A8">
        <v>2018</v>
      </c>
      <c r="B8" s="3">
        <f>costDetail!$F$5+costDetail!$F$13/19</f>
        <v>1511.4105263157896</v>
      </c>
      <c r="C8" s="23"/>
      <c r="D8" s="23">
        <f>costDetail!$F$5+costDetail!$H$13/19</f>
        <v>1405.3368421052633</v>
      </c>
      <c r="E8" s="3"/>
      <c r="F8" s="23">
        <f t="shared" si="0"/>
        <v>-106.07368421052638</v>
      </c>
      <c r="G8" s="23">
        <f t="shared" si="1"/>
        <v>-83.735545833489851</v>
      </c>
    </row>
    <row r="9" spans="1:10">
      <c r="A9">
        <v>2019</v>
      </c>
      <c r="B9" s="3">
        <f>costDetail!$F$5+costDetail!$F$13/19</f>
        <v>1511.4105263157896</v>
      </c>
      <c r="C9" s="23"/>
      <c r="D9" s="23">
        <f>costDetail!$F$5+costDetail!$H$13/19</f>
        <v>1405.3368421052633</v>
      </c>
      <c r="E9" s="3"/>
      <c r="F9" s="23">
        <f t="shared" si="0"/>
        <v>-106.07368421052638</v>
      </c>
      <c r="G9" s="23">
        <f t="shared" si="1"/>
        <v>-81.296646440281407</v>
      </c>
    </row>
    <row r="10" spans="1:10">
      <c r="A10">
        <v>2020</v>
      </c>
      <c r="B10" s="3">
        <f>costDetail!$F$5+costDetail!$F$13/19</f>
        <v>1511.4105263157896</v>
      </c>
      <c r="C10" s="23"/>
      <c r="D10" s="23">
        <f>costDetail!$F$5+costDetail!$H$13/19</f>
        <v>1405.3368421052633</v>
      </c>
      <c r="E10" s="3"/>
      <c r="F10" s="23">
        <f t="shared" si="0"/>
        <v>-106.07368421052638</v>
      </c>
      <c r="G10" s="23">
        <f t="shared" si="1"/>
        <v>-78.928782951729517</v>
      </c>
    </row>
    <row r="11" spans="1:10">
      <c r="A11">
        <v>2021</v>
      </c>
      <c r="B11" s="3">
        <f>costDetail!$F$5+costDetail!$F$13/19</f>
        <v>1511.4105263157896</v>
      </c>
      <c r="C11" s="23"/>
      <c r="D11" s="23">
        <f>costDetail!$F$5+costDetail!$H$13/19</f>
        <v>1405.3368421052633</v>
      </c>
      <c r="E11" s="3"/>
      <c r="F11" s="23">
        <f t="shared" si="0"/>
        <v>-106.07368421052638</v>
      </c>
      <c r="G11" s="23">
        <f t="shared" si="1"/>
        <v>-76.629886360902447</v>
      </c>
    </row>
    <row r="12" spans="1:10">
      <c r="A12">
        <v>2022</v>
      </c>
      <c r="B12" s="3">
        <f>costDetail!$F$5+costDetail!$F$13/19</f>
        <v>1511.4105263157896</v>
      </c>
      <c r="C12" s="23"/>
      <c r="D12" s="23">
        <f>costDetail!$F$5+costDetail!$H$13/19</f>
        <v>1405.3368421052633</v>
      </c>
      <c r="E12" s="3"/>
      <c r="F12" s="23">
        <f t="shared" si="0"/>
        <v>-106.07368421052638</v>
      </c>
      <c r="G12" s="23">
        <f t="shared" si="1"/>
        <v>-74.39794792320626</v>
      </c>
    </row>
    <row r="13" spans="1:10">
      <c r="A13">
        <v>2023</v>
      </c>
      <c r="B13" s="3">
        <f>costDetail!$F$5+costDetail!$F$13/19</f>
        <v>1511.4105263157896</v>
      </c>
      <c r="C13" s="23"/>
      <c r="D13" s="23">
        <f>costDetail!$F$5+costDetail!$H$13/19</f>
        <v>1405.3368421052633</v>
      </c>
      <c r="E13" s="3"/>
      <c r="F13" s="23">
        <f t="shared" si="0"/>
        <v>-106.07368421052638</v>
      </c>
      <c r="G13" s="23">
        <f t="shared" si="1"/>
        <v>-72.23101740117113</v>
      </c>
    </row>
    <row r="14" spans="1:10">
      <c r="A14">
        <v>2024</v>
      </c>
      <c r="B14" s="3">
        <f>costDetail!$F$5+costDetail!$F$13/19</f>
        <v>1511.4105263157896</v>
      </c>
      <c r="C14" s="23"/>
      <c r="D14" s="23">
        <f>costDetail!$F$5+costDetail!$H$13/19</f>
        <v>1405.3368421052633</v>
      </c>
      <c r="E14" s="3"/>
      <c r="F14" s="23">
        <f t="shared" si="0"/>
        <v>-106.07368421052638</v>
      </c>
      <c r="G14" s="23">
        <f t="shared" si="1"/>
        <v>-70.127201360360317</v>
      </c>
    </row>
    <row r="15" spans="1:10">
      <c r="A15">
        <v>2025</v>
      </c>
      <c r="B15" s="3">
        <f>costDetail!$F$5+costDetail!$F$13/19</f>
        <v>1511.4105263157896</v>
      </c>
      <c r="C15" s="23"/>
      <c r="D15" s="23">
        <f>costDetail!$F$5+costDetail!$H$13/19</f>
        <v>1405.3368421052633</v>
      </c>
      <c r="E15" s="3"/>
      <c r="F15" s="23">
        <f t="shared" si="0"/>
        <v>-106.07368421052638</v>
      </c>
      <c r="G15" s="23">
        <f t="shared" si="1"/>
        <v>-68.084661514912924</v>
      </c>
    </row>
    <row r="16" spans="1:10">
      <c r="A16">
        <v>2026</v>
      </c>
      <c r="B16" s="3">
        <f>costDetail!$F$5+costDetail!$F$13/19</f>
        <v>1511.4105263157896</v>
      </c>
      <c r="C16" s="23"/>
      <c r="D16" s="23">
        <f>costDetail!$F$5+costDetail!$H$13/19</f>
        <v>1405.3368421052633</v>
      </c>
      <c r="E16" s="3"/>
      <c r="F16" s="23">
        <f t="shared" si="0"/>
        <v>-106.07368421052638</v>
      </c>
      <c r="G16" s="23">
        <f t="shared" si="1"/>
        <v>-66.101613121274696</v>
      </c>
    </row>
    <row r="17" spans="1:7">
      <c r="A17">
        <v>2027</v>
      </c>
      <c r="B17" s="3">
        <f>costDetail!$F$5+costDetail!$F$13/19</f>
        <v>1511.4105263157896</v>
      </c>
      <c r="C17" s="23"/>
      <c r="D17" s="23">
        <f>costDetail!$F$5+costDetail!$H$13/19</f>
        <v>1405.3368421052633</v>
      </c>
      <c r="E17" s="3"/>
      <c r="F17" s="23">
        <f t="shared" si="0"/>
        <v>-106.07368421052638</v>
      </c>
      <c r="G17" s="23">
        <f t="shared" si="1"/>
        <v>-64.176323418713295</v>
      </c>
    </row>
    <row r="18" spans="1:7">
      <c r="A18">
        <v>2028</v>
      </c>
      <c r="B18" s="3">
        <f>costDetail!$F$5+costDetail!$F$13/19</f>
        <v>1511.4105263157896</v>
      </c>
      <c r="C18" s="23"/>
      <c r="D18" s="23">
        <f>costDetail!$F$5+costDetail!$H$13/19</f>
        <v>1405.3368421052633</v>
      </c>
      <c r="E18" s="3"/>
      <c r="F18" s="23">
        <f t="shared" si="0"/>
        <v>-106.07368421052638</v>
      </c>
      <c r="G18" s="23">
        <f t="shared" si="1"/>
        <v>-62.307110115255632</v>
      </c>
    </row>
    <row r="19" spans="1:7">
      <c r="A19">
        <v>2029</v>
      </c>
      <c r="B19" s="3">
        <f>costDetail!$F$5+costDetail!$F$13/19</f>
        <v>1511.4105263157896</v>
      </c>
      <c r="C19" s="23"/>
      <c r="D19" s="23">
        <f>costDetail!$F$5+costDetail!$H$13/19</f>
        <v>1405.3368421052633</v>
      </c>
      <c r="E19" s="3"/>
      <c r="F19" s="23">
        <f t="shared" si="0"/>
        <v>-106.07368421052638</v>
      </c>
      <c r="G19" s="23">
        <f t="shared" si="1"/>
        <v>-60.492339917723911</v>
      </c>
    </row>
    <row r="20" spans="1:7">
      <c r="A20">
        <v>2030</v>
      </c>
      <c r="B20" s="3">
        <f>costDetail!$F$5+costDetail!$F$13/19</f>
        <v>1511.4105263157896</v>
      </c>
      <c r="C20" s="23"/>
      <c r="D20" s="23">
        <f>costDetail!$F$5+costDetail!$H$13/19</f>
        <v>1405.3368421052633</v>
      </c>
      <c r="E20" s="3"/>
      <c r="F20" s="23">
        <f t="shared" si="0"/>
        <v>-106.07368421052638</v>
      </c>
      <c r="G20" s="23">
        <f t="shared" si="1"/>
        <v>-58.730427104586326</v>
      </c>
    </row>
    <row r="21" spans="1:7">
      <c r="A21">
        <v>2031</v>
      </c>
      <c r="B21" s="34">
        <f>costDetail!$F$5+costDetail!$F$13/19</f>
        <v>1511.4105263157896</v>
      </c>
      <c r="C21" s="45"/>
      <c r="D21" s="45">
        <f>costDetail!$F$5+costDetail!$H$13/19-(1576750+278250)*27%*(40/60)</f>
        <v>-332494.66315789474</v>
      </c>
      <c r="E21" s="23"/>
      <c r="F21" s="23">
        <f t="shared" si="0"/>
        <v>-334006.07368421054</v>
      </c>
      <c r="G21" s="23">
        <f t="shared" si="1"/>
        <v>-179544.72305817658</v>
      </c>
    </row>
    <row r="22" spans="1:7">
      <c r="B22" s="46" t="s">
        <v>26</v>
      </c>
      <c r="C22" s="46"/>
      <c r="D22" s="46"/>
      <c r="E22" s="26"/>
    </row>
    <row r="23" spans="1:7">
      <c r="B23" t="s">
        <v>4</v>
      </c>
      <c r="G23" s="23">
        <f>SUM(G2:G22)</f>
        <v>1262575.4427545229</v>
      </c>
    </row>
  </sheetData>
  <mergeCells count="1">
    <mergeCell ref="B22:D22"/>
  </mergeCells>
  <pageMargins left="0.7" right="0.7" top="0.75" bottom="0.75" header="0.3" footer="0.3"/>
  <pageSetup scale="92" orientation="landscape" r:id="rId1"/>
  <headerFooter>
    <oddFooter>&amp;L&amp;A&amp;CPage &amp;P of &amp;N&amp;R&amp;D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zoomScaleNormal="100" workbookViewId="0">
      <selection activeCell="A6" sqref="A6"/>
    </sheetView>
  </sheetViews>
  <sheetFormatPr defaultColWidth="8.85546875" defaultRowHeight="15"/>
  <cols>
    <col min="1" max="1" width="32" bestFit="1" customWidth="1"/>
    <col min="2" max="8" width="10.7109375" style="2" customWidth="1"/>
  </cols>
  <sheetData>
    <row r="1" spans="1:8">
      <c r="A1" s="33" t="s">
        <v>48</v>
      </c>
    </row>
    <row r="2" spans="1:8" s="4" customFormat="1" ht="45">
      <c r="A2" s="32" t="s">
        <v>47</v>
      </c>
      <c r="B2" s="31" t="s">
        <v>46</v>
      </c>
      <c r="C2" s="31" t="s">
        <v>45</v>
      </c>
      <c r="D2" s="31" t="s">
        <v>44</v>
      </c>
      <c r="E2" s="31" t="s">
        <v>34</v>
      </c>
      <c r="F2" s="31" t="s">
        <v>43</v>
      </c>
      <c r="G2" s="31" t="s">
        <v>42</v>
      </c>
      <c r="H2" s="5"/>
    </row>
    <row r="3" spans="1:8">
      <c r="A3" t="s">
        <v>41</v>
      </c>
      <c r="B3" s="2">
        <v>175</v>
      </c>
      <c r="C3" s="2">
        <v>6</v>
      </c>
      <c r="D3" s="2">
        <f>B3*C3</f>
        <v>1050</v>
      </c>
      <c r="E3" s="2">
        <v>0.28000000000000003</v>
      </c>
      <c r="F3" s="2">
        <f>E3*D3</f>
        <v>294</v>
      </c>
      <c r="G3" s="2">
        <f>F3*20</f>
        <v>5880</v>
      </c>
    </row>
    <row r="4" spans="1:8">
      <c r="A4" t="s">
        <v>40</v>
      </c>
      <c r="B4" s="2">
        <v>215</v>
      </c>
      <c r="C4" s="2">
        <v>12</v>
      </c>
      <c r="D4" s="2">
        <f>B4*C4</f>
        <v>2580</v>
      </c>
      <c r="E4" s="2">
        <v>0.28000000000000003</v>
      </c>
      <c r="F4" s="2">
        <f>E4*D4</f>
        <v>722.40000000000009</v>
      </c>
      <c r="G4" s="2">
        <f>F4*20</f>
        <v>14448.000000000002</v>
      </c>
    </row>
    <row r="5" spans="1:8">
      <c r="A5" t="s">
        <v>27</v>
      </c>
      <c r="F5" s="2">
        <f>SUM(F3:F4)</f>
        <v>1016.4000000000001</v>
      </c>
      <c r="G5" s="2">
        <f>SUM(G3:G4)</f>
        <v>20328</v>
      </c>
    </row>
    <row r="8" spans="1:8">
      <c r="A8" s="33" t="s">
        <v>39</v>
      </c>
    </row>
    <row r="9" spans="1:8" s="4" customFormat="1" ht="60">
      <c r="A9" s="32" t="s">
        <v>38</v>
      </c>
      <c r="B9" s="31" t="s">
        <v>37</v>
      </c>
      <c r="C9" s="31" t="s">
        <v>36</v>
      </c>
      <c r="D9" s="31" t="s">
        <v>35</v>
      </c>
      <c r="E9" s="31" t="s">
        <v>34</v>
      </c>
      <c r="F9" s="31" t="s">
        <v>33</v>
      </c>
      <c r="G9" s="31" t="s">
        <v>32</v>
      </c>
      <c r="H9" s="31" t="s">
        <v>31</v>
      </c>
    </row>
    <row r="10" spans="1:8">
      <c r="A10" t="s">
        <v>30</v>
      </c>
      <c r="B10" s="2">
        <v>192</v>
      </c>
      <c r="C10" s="2">
        <v>20</v>
      </c>
      <c r="D10" s="2">
        <f>C10*B10</f>
        <v>3840</v>
      </c>
      <c r="E10" s="2">
        <v>0.28000000000000003</v>
      </c>
      <c r="F10" s="2">
        <f>E10*D10</f>
        <v>1075.2</v>
      </c>
      <c r="G10" s="2">
        <v>0.22</v>
      </c>
      <c r="H10" s="2">
        <f>G10*D10</f>
        <v>844.8</v>
      </c>
    </row>
    <row r="11" spans="1:8">
      <c r="A11" t="s">
        <v>29</v>
      </c>
      <c r="B11" s="2">
        <v>8000</v>
      </c>
      <c r="C11" s="2">
        <v>1</v>
      </c>
      <c r="D11" s="2">
        <f>C11*B11</f>
        <v>8000</v>
      </c>
      <c r="E11" s="2">
        <v>0.28000000000000003</v>
      </c>
      <c r="F11" s="2">
        <f>E11*D11</f>
        <v>2240</v>
      </c>
      <c r="G11" s="2">
        <v>0.22</v>
      </c>
      <c r="H11" s="2">
        <f>G11*D11</f>
        <v>1760</v>
      </c>
    </row>
    <row r="12" spans="1:8">
      <c r="A12" t="s">
        <v>28</v>
      </c>
      <c r="B12" s="2">
        <v>21750</v>
      </c>
      <c r="C12" s="2">
        <v>1</v>
      </c>
      <c r="D12" s="2">
        <f>C12*B12</f>
        <v>21750</v>
      </c>
      <c r="E12" s="2">
        <v>0.28000000000000003</v>
      </c>
      <c r="F12" s="2">
        <f>E12*D12</f>
        <v>6090.0000000000009</v>
      </c>
      <c r="G12" s="2">
        <v>0.22</v>
      </c>
      <c r="H12" s="2">
        <f>G12*D12</f>
        <v>4785</v>
      </c>
    </row>
    <row r="13" spans="1:8">
      <c r="A13" t="s">
        <v>27</v>
      </c>
      <c r="F13" s="2">
        <f>SUM(F10:F12)</f>
        <v>9405.2000000000007</v>
      </c>
      <c r="H13" s="2">
        <f>SUM(H10:H12)</f>
        <v>7389.8</v>
      </c>
    </row>
  </sheetData>
  <pageMargins left="0.7" right="0.7" top="0.75" bottom="0.75" header="0.3" footer="0.3"/>
  <pageSetup orientation="landscape" r:id="rId1"/>
  <headerFooter>
    <oddFooter>&amp;CPage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zoomScaleNormal="100" workbookViewId="0"/>
  </sheetViews>
  <sheetFormatPr defaultRowHeight="15"/>
  <cols>
    <col min="2" max="3" width="10.7109375" style="2" customWidth="1"/>
    <col min="5" max="5" width="10.7109375" customWidth="1"/>
    <col min="6" max="6" width="12.5703125" bestFit="1" customWidth="1"/>
  </cols>
  <sheetData>
    <row r="1" spans="1:9" ht="45">
      <c r="B1" s="22" t="s">
        <v>103</v>
      </c>
      <c r="C1" s="22" t="s">
        <v>11</v>
      </c>
      <c r="D1" s="16"/>
      <c r="E1" s="21" t="s">
        <v>5</v>
      </c>
      <c r="F1" s="21" t="s">
        <v>2</v>
      </c>
      <c r="H1" s="5" t="s">
        <v>3</v>
      </c>
      <c r="I1" s="8">
        <v>0.03</v>
      </c>
    </row>
    <row r="2" spans="1:9">
      <c r="A2">
        <v>2012</v>
      </c>
      <c r="B2" s="42">
        <f>modeDetail!BP2</f>
        <v>25032.654613636361</v>
      </c>
      <c r="C2" s="42">
        <f>safetyDetail!T2</f>
        <v>14877.720000000001</v>
      </c>
      <c r="D2" s="42"/>
      <c r="E2" s="42">
        <f t="shared" ref="E2:E21" si="0">SUM(B2:D2)</f>
        <v>39910.374613636362</v>
      </c>
      <c r="F2" s="42">
        <f t="shared" ref="F2:F21" si="1">E2/((1+$I$1)^(A2-2010))</f>
        <v>37619.35584280928</v>
      </c>
    </row>
    <row r="3" spans="1:9">
      <c r="A3">
        <v>2013</v>
      </c>
      <c r="B3" s="42">
        <f>modeDetail!BP3</f>
        <v>34840.160455909092</v>
      </c>
      <c r="C3" s="42">
        <f>safetyDetail!T3</f>
        <v>15175.274399999995</v>
      </c>
      <c r="D3" s="42"/>
      <c r="E3" s="42">
        <f t="shared" si="0"/>
        <v>50015.434855909087</v>
      </c>
      <c r="F3" s="42">
        <f t="shared" si="1"/>
        <v>45771.2080473065</v>
      </c>
    </row>
    <row r="4" spans="1:9">
      <c r="A4">
        <v>2014</v>
      </c>
      <c r="B4" s="42">
        <f>modeDetail!BP4</f>
        <v>38346.472412754541</v>
      </c>
      <c r="C4" s="42">
        <f>safetyDetail!T4</f>
        <v>15478.77988799999</v>
      </c>
      <c r="D4" s="42"/>
      <c r="E4" s="42">
        <f t="shared" si="0"/>
        <v>53825.252300754531</v>
      </c>
      <c r="F4" s="42">
        <f t="shared" si="1"/>
        <v>47823.039520014543</v>
      </c>
    </row>
    <row r="5" spans="1:9">
      <c r="A5">
        <v>2015</v>
      </c>
      <c r="B5" s="42">
        <f>modeDetail!BP5</f>
        <v>41851.566606464185</v>
      </c>
      <c r="C5" s="42">
        <f>safetyDetail!T5</f>
        <v>15788.35548576001</v>
      </c>
      <c r="D5" s="42"/>
      <c r="E5" s="42">
        <f t="shared" si="0"/>
        <v>57639.922092224195</v>
      </c>
      <c r="F5" s="42">
        <f t="shared" si="1"/>
        <v>49720.703127971436</v>
      </c>
    </row>
    <row r="6" spans="1:9">
      <c r="A6">
        <v>2016</v>
      </c>
      <c r="B6" s="42">
        <f>modeDetail!BP6</f>
        <v>45355.418681775285</v>
      </c>
      <c r="C6" s="42">
        <f>safetyDetail!T6</f>
        <v>16104.122595475201</v>
      </c>
      <c r="D6" s="42"/>
      <c r="E6" s="42">
        <f t="shared" si="0"/>
        <v>61459.541277250486</v>
      </c>
      <c r="F6" s="42">
        <f t="shared" si="1"/>
        <v>51471.398242696501</v>
      </c>
    </row>
    <row r="7" spans="1:9">
      <c r="A7">
        <v>2017</v>
      </c>
      <c r="B7" s="42">
        <f>modeDetail!BP7</f>
        <v>48858.003796319877</v>
      </c>
      <c r="C7" s="42">
        <f>safetyDetail!T7</f>
        <v>16426.20504738469</v>
      </c>
      <c r="D7" s="42"/>
      <c r="E7" s="42">
        <f t="shared" si="0"/>
        <v>65284.208843704568</v>
      </c>
      <c r="F7" s="42">
        <f t="shared" si="1"/>
        <v>53082.036035582889</v>
      </c>
    </row>
    <row r="8" spans="1:9">
      <c r="A8">
        <v>2018</v>
      </c>
      <c r="B8" s="42">
        <f>modeDetail!BP8</f>
        <v>52359.296610882651</v>
      </c>
      <c r="C8" s="42">
        <f>safetyDetail!T8</f>
        <v>16754.729148332393</v>
      </c>
      <c r="D8" s="42"/>
      <c r="E8" s="42">
        <f t="shared" si="0"/>
        <v>69114.025759215045</v>
      </c>
      <c r="F8" s="42">
        <f t="shared" si="1"/>
        <v>54559.25015493558</v>
      </c>
    </row>
    <row r="9" spans="1:9">
      <c r="A9">
        <v>2019</v>
      </c>
      <c r="B9" s="42">
        <f>modeDetail!BP9</f>
        <v>55859.271279463923</v>
      </c>
      <c r="C9" s="42">
        <f>safetyDetail!T9</f>
        <v>17089.823731299053</v>
      </c>
      <c r="D9" s="42"/>
      <c r="E9" s="42">
        <f t="shared" si="0"/>
        <v>72949.095010762976</v>
      </c>
      <c r="F9" s="42">
        <f t="shared" si="1"/>
        <v>55909.407025573739</v>
      </c>
    </row>
    <row r="10" spans="1:9">
      <c r="A10">
        <v>2020</v>
      </c>
      <c r="B10" s="42">
        <f>modeDetail!BP10</f>
        <v>59357.901439144109</v>
      </c>
      <c r="C10" s="42">
        <f>safetyDetail!T10</f>
        <v>17431.620205925021</v>
      </c>
      <c r="D10" s="42"/>
      <c r="E10" s="42">
        <f t="shared" si="0"/>
        <v>76789.521645069122</v>
      </c>
      <c r="F10" s="42">
        <f t="shared" si="1"/>
        <v>57138.615783926303</v>
      </c>
    </row>
    <row r="11" spans="1:9">
      <c r="A11">
        <v>2021</v>
      </c>
      <c r="B11" s="42">
        <f>modeDetail!BP11</f>
        <v>62855.160199745173</v>
      </c>
      <c r="C11" s="42">
        <f>safetyDetail!T11</f>
        <v>17780.252610043521</v>
      </c>
      <c r="D11" s="42"/>
      <c r="E11" s="42">
        <f t="shared" si="0"/>
        <v>80635.412809788686</v>
      </c>
      <c r="F11" s="42">
        <f t="shared" si="1"/>
        <v>58252.737861115733</v>
      </c>
    </row>
    <row r="12" spans="1:9">
      <c r="A12">
        <v>2022</v>
      </c>
      <c r="B12" s="42">
        <f>modeDetail!BP12</f>
        <v>66351.020133285536</v>
      </c>
      <c r="C12" s="42">
        <f>safetyDetail!T12</f>
        <v>18135.857662244394</v>
      </c>
      <c r="D12" s="42"/>
      <c r="E12" s="42">
        <f t="shared" si="0"/>
        <v>84486.87779552993</v>
      </c>
      <c r="F12" s="42">
        <f t="shared" si="1"/>
        <v>59257.39622610715</v>
      </c>
    </row>
    <row r="13" spans="1:9">
      <c r="A13">
        <v>2023</v>
      </c>
      <c r="B13" s="42">
        <f>modeDetail!BP13</f>
        <v>69845.453263223972</v>
      </c>
      <c r="C13" s="42">
        <f>safetyDetail!T13</f>
        <v>18498.574815489279</v>
      </c>
      <c r="D13" s="42"/>
      <c r="E13" s="42">
        <f t="shared" si="0"/>
        <v>88344.028078713251</v>
      </c>
      <c r="F13" s="42">
        <f t="shared" si="1"/>
        <v>60157.984300594719</v>
      </c>
    </row>
    <row r="14" spans="1:9">
      <c r="A14">
        <v>2024</v>
      </c>
      <c r="B14" s="42">
        <f>modeDetail!BP14</f>
        <v>73338.431053488457</v>
      </c>
      <c r="C14" s="42">
        <f>safetyDetail!T14</f>
        <v>18868.546311799073</v>
      </c>
      <c r="D14" s="42"/>
      <c r="E14" s="42">
        <f t="shared" si="0"/>
        <v>92206.97736528753</v>
      </c>
      <c r="F14" s="42">
        <f t="shared" si="1"/>
        <v>60959.674556905979</v>
      </c>
    </row>
    <row r="15" spans="1:9">
      <c r="A15">
        <v>2025</v>
      </c>
      <c r="B15" s="42">
        <f>modeDetail!BP15</f>
        <v>76829.924397285489</v>
      </c>
      <c r="C15" s="42">
        <f>safetyDetail!T15</f>
        <v>19245.91723803505</v>
      </c>
      <c r="D15" s="42"/>
      <c r="E15" s="42">
        <f t="shared" si="0"/>
        <v>96075.841635320539</v>
      </c>
      <c r="F15" s="42">
        <f t="shared" si="1"/>
        <v>61667.426809825491</v>
      </c>
    </row>
    <row r="16" spans="1:9">
      <c r="A16">
        <v>2026</v>
      </c>
      <c r="B16" s="42">
        <f>modeDetail!BP16</f>
        <v>80319.903605685759</v>
      </c>
      <c r="C16" s="42">
        <f>safetyDetail!T16</f>
        <v>19630.835582795742</v>
      </c>
      <c r="D16" s="42"/>
      <c r="E16" s="42">
        <f t="shared" si="0"/>
        <v>99950.739188481501</v>
      </c>
      <c r="F16" s="42">
        <f t="shared" si="1"/>
        <v>62285.996212873957</v>
      </c>
    </row>
    <row r="17" spans="1:6">
      <c r="A17">
        <v>2027</v>
      </c>
      <c r="B17" s="42">
        <f>modeDetail!BP17</f>
        <v>83808.338395981278</v>
      </c>
      <c r="C17" s="42">
        <f>safetyDetail!T17</f>
        <v>20023.452294451679</v>
      </c>
      <c r="D17" s="42"/>
      <c r="E17" s="42">
        <f t="shared" si="0"/>
        <v>103831.79069043296</v>
      </c>
      <c r="F17" s="42">
        <f t="shared" si="1"/>
        <v>62819.94096922395</v>
      </c>
    </row>
    <row r="18" spans="1:6">
      <c r="A18">
        <v>2028</v>
      </c>
      <c r="B18" s="42">
        <f>modeDetail!BP18</f>
        <v>87295.197879810003</v>
      </c>
      <c r="C18" s="42">
        <f>safetyDetail!T18</f>
        <v>20423.92134034069</v>
      </c>
      <c r="D18" s="42"/>
      <c r="E18" s="42">
        <f t="shared" si="0"/>
        <v>107719.11922015069</v>
      </c>
      <c r="F18" s="42">
        <f t="shared" si="1"/>
        <v>63273.629767091996</v>
      </c>
    </row>
    <row r="19" spans="1:6">
      <c r="A19">
        <v>2029</v>
      </c>
      <c r="B19" s="42">
        <f>modeDetail!BP19</f>
        <v>90780.450551042566</v>
      </c>
      <c r="C19" s="42">
        <f>safetyDetail!T19</f>
        <v>20832.399767147494</v>
      </c>
      <c r="D19" s="42"/>
      <c r="E19" s="42">
        <f t="shared" si="0"/>
        <v>111612.85031819006</v>
      </c>
      <c r="F19" s="42">
        <f t="shared" si="1"/>
        <v>63651.248949114706</v>
      </c>
    </row>
    <row r="20" spans="1:6">
      <c r="A20">
        <v>2030</v>
      </c>
      <c r="B20" s="42">
        <f>modeDetail!BP20</f>
        <v>94264.064273427037</v>
      </c>
      <c r="C20" s="42">
        <f>safetyDetail!T20</f>
        <v>21249.04776249046</v>
      </c>
      <c r="D20" s="42"/>
      <c r="E20" s="42">
        <f t="shared" si="0"/>
        <v>115513.1120359175</v>
      </c>
      <c r="F20" s="42">
        <f t="shared" si="1"/>
        <v>63956.809424897227</v>
      </c>
    </row>
    <row r="21" spans="1:6">
      <c r="A21">
        <v>2031</v>
      </c>
      <c r="B21" s="42">
        <f>modeDetail!BP21</f>
        <v>97746.006267986493</v>
      </c>
      <c r="C21" s="42">
        <f>safetyDetail!T21</f>
        <v>21674.028717740264</v>
      </c>
      <c r="D21" s="42"/>
      <c r="E21" s="42">
        <f t="shared" si="0"/>
        <v>119420.03498572676</v>
      </c>
      <c r="F21" s="42">
        <f t="shared" si="1"/>
        <v>64194.153335612405</v>
      </c>
    </row>
    <row r="23" spans="1:6">
      <c r="B23" t="s">
        <v>24</v>
      </c>
      <c r="C23"/>
      <c r="F23" s="1">
        <f>SUM(F2:F22)</f>
        <v>1133572.0121941802</v>
      </c>
    </row>
    <row r="24" spans="1:6" ht="15.75" thickBot="1">
      <c r="B24" t="s">
        <v>25</v>
      </c>
      <c r="C24"/>
      <c r="F24" s="1">
        <f>costs!G23</f>
        <v>1262575.4427545229</v>
      </c>
    </row>
    <row r="25" spans="1:6" ht="15.75" thickBot="1">
      <c r="B25" s="18" t="s">
        <v>7</v>
      </c>
      <c r="C25" s="19"/>
      <c r="D25" s="19"/>
      <c r="E25" s="19"/>
      <c r="F25" s="43">
        <f>F23/F24</f>
        <v>0.89782517052691935</v>
      </c>
    </row>
  </sheetData>
  <dataValidations count="1">
    <dataValidation type="list" allowBlank="1" showInputMessage="1" showErrorMessage="1" sqref="I1">
      <formula1>"3%,7%"</formula1>
    </dataValidation>
  </dataValidations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Q21"/>
  <sheetViews>
    <sheetView zoomScaleNormal="100" workbookViewId="0"/>
  </sheetViews>
  <sheetFormatPr defaultRowHeight="15"/>
  <cols>
    <col min="2" max="2" width="14.7109375" customWidth="1"/>
    <col min="3" max="4" width="10.7109375" style="4" customWidth="1"/>
    <col min="5" max="8" width="14.7109375" style="4" customWidth="1"/>
    <col min="9" max="9" width="17.7109375" style="4" customWidth="1"/>
    <col min="10" max="10" width="2.7109375" style="4" customWidth="1"/>
    <col min="11" max="14" width="10.7109375" style="2" customWidth="1"/>
    <col min="15" max="15" width="2.7109375" style="2" customWidth="1"/>
    <col min="16" max="17" width="10.7109375" style="2" customWidth="1"/>
    <col min="18" max="18" width="12.7109375" style="2" customWidth="1"/>
    <col min="19" max="19" width="10.7109375" style="2" customWidth="1"/>
    <col min="20" max="20" width="2.7109375" style="2" customWidth="1"/>
    <col min="21" max="25" width="10.7109375" style="2" customWidth="1"/>
    <col min="26" max="26" width="11.7109375" style="2" customWidth="1"/>
    <col min="27" max="28" width="10.7109375" style="2" customWidth="1"/>
    <col min="29" max="29" width="2.7109375" style="2" customWidth="1"/>
    <col min="30" max="31" width="10.7109375" style="2" customWidth="1"/>
    <col min="32" max="33" width="11.7109375" style="2" customWidth="1"/>
    <col min="34" max="34" width="2.7109375" style="2" customWidth="1"/>
    <col min="35" max="41" width="11.7109375" style="2" customWidth="1"/>
    <col min="42" max="42" width="2.7109375" style="2" customWidth="1"/>
    <col min="43" max="46" width="10.7109375" style="2" customWidth="1"/>
    <col min="47" max="47" width="2.7109375" style="2" customWidth="1"/>
    <col min="48" max="51" width="10.7109375" style="2" customWidth="1"/>
    <col min="52" max="52" width="2.7109375" style="2" customWidth="1"/>
    <col min="53" max="53" width="10.7109375" style="2" customWidth="1"/>
    <col min="54" max="54" width="2.7109375" style="2" customWidth="1"/>
    <col min="55" max="55" width="10.7109375" style="2" customWidth="1"/>
    <col min="56" max="56" width="10.42578125" style="2" customWidth="1"/>
    <col min="57" max="58" width="10.7109375" style="2" customWidth="1"/>
    <col min="59" max="59" width="2.7109375" style="2" customWidth="1"/>
    <col min="60" max="60" width="10.7109375" style="2" customWidth="1"/>
    <col min="61" max="63" width="14.7109375" style="2" customWidth="1"/>
    <col min="64" max="66" width="10.7109375" style="2" customWidth="1"/>
    <col min="67" max="67" width="2.7109375" style="2" customWidth="1"/>
    <col min="68" max="68" width="12.7109375" bestFit="1" customWidth="1"/>
  </cols>
  <sheetData>
    <row r="1" spans="1:69" s="20" customFormat="1" ht="165">
      <c r="B1" s="21" t="s">
        <v>58</v>
      </c>
      <c r="C1" s="21" t="s">
        <v>50</v>
      </c>
      <c r="D1" s="21" t="s">
        <v>51</v>
      </c>
      <c r="E1" s="21" t="s">
        <v>52</v>
      </c>
      <c r="F1" s="21" t="s">
        <v>104</v>
      </c>
      <c r="G1" s="21" t="s">
        <v>105</v>
      </c>
      <c r="H1" s="21" t="s">
        <v>53</v>
      </c>
      <c r="I1" s="21" t="s">
        <v>54</v>
      </c>
      <c r="J1" s="21"/>
      <c r="K1" s="21" t="s">
        <v>59</v>
      </c>
      <c r="L1" s="21" t="s">
        <v>60</v>
      </c>
      <c r="M1" s="21" t="s">
        <v>99</v>
      </c>
      <c r="N1" s="21" t="s">
        <v>61</v>
      </c>
      <c r="O1" s="21"/>
      <c r="P1" s="21" t="s">
        <v>62</v>
      </c>
      <c r="Q1" s="21" t="s">
        <v>63</v>
      </c>
      <c r="R1" s="21" t="s">
        <v>64</v>
      </c>
      <c r="S1" s="21" t="s">
        <v>65</v>
      </c>
      <c r="T1" s="21"/>
      <c r="U1" s="21" t="s">
        <v>66</v>
      </c>
      <c r="V1" s="21" t="s">
        <v>67</v>
      </c>
      <c r="W1" s="21" t="s">
        <v>68</v>
      </c>
      <c r="X1" s="21" t="s">
        <v>69</v>
      </c>
      <c r="Y1" s="21" t="s">
        <v>70</v>
      </c>
      <c r="Z1" s="21" t="s">
        <v>71</v>
      </c>
      <c r="AA1" s="21" t="s">
        <v>72</v>
      </c>
      <c r="AB1" s="21" t="s">
        <v>73</v>
      </c>
      <c r="AC1" s="21"/>
      <c r="AD1" s="21" t="s">
        <v>74</v>
      </c>
      <c r="AE1" s="21" t="s">
        <v>75</v>
      </c>
      <c r="AF1" s="21" t="s">
        <v>100</v>
      </c>
      <c r="AG1" s="21" t="s">
        <v>101</v>
      </c>
      <c r="AH1" s="21"/>
      <c r="AI1" s="21" t="s">
        <v>76</v>
      </c>
      <c r="AJ1" s="21" t="s">
        <v>77</v>
      </c>
      <c r="AK1" s="21" t="s">
        <v>78</v>
      </c>
      <c r="AL1" s="21" t="s">
        <v>79</v>
      </c>
      <c r="AM1" s="21" t="s">
        <v>80</v>
      </c>
      <c r="AN1" s="21" t="s">
        <v>81</v>
      </c>
      <c r="AO1" s="21" t="s">
        <v>82</v>
      </c>
      <c r="AP1" s="21"/>
      <c r="AQ1" s="21" t="s">
        <v>83</v>
      </c>
      <c r="AR1" s="21" t="s">
        <v>84</v>
      </c>
      <c r="AS1" s="21" t="s">
        <v>85</v>
      </c>
      <c r="AT1" s="21" t="s">
        <v>86</v>
      </c>
      <c r="AU1" s="21"/>
      <c r="AV1" s="21" t="s">
        <v>87</v>
      </c>
      <c r="AW1" s="21" t="s">
        <v>88</v>
      </c>
      <c r="AX1" s="21" t="s">
        <v>89</v>
      </c>
      <c r="AY1" s="21" t="s">
        <v>90</v>
      </c>
      <c r="AZ1" s="21"/>
      <c r="BA1" s="21" t="s">
        <v>55</v>
      </c>
      <c r="BB1" s="21"/>
      <c r="BC1" s="21" t="s">
        <v>91</v>
      </c>
      <c r="BD1" s="21" t="s">
        <v>92</v>
      </c>
      <c r="BE1" s="21" t="s">
        <v>93</v>
      </c>
      <c r="BF1" s="21" t="s">
        <v>94</v>
      </c>
      <c r="BG1" s="21"/>
      <c r="BH1" s="21" t="s">
        <v>56</v>
      </c>
      <c r="BI1" s="21" t="s">
        <v>95</v>
      </c>
      <c r="BJ1" s="21" t="s">
        <v>96</v>
      </c>
      <c r="BK1" s="21" t="s">
        <v>97</v>
      </c>
      <c r="BL1" s="21" t="s">
        <v>57</v>
      </c>
      <c r="BM1" s="21" t="s">
        <v>102</v>
      </c>
      <c r="BN1" s="21" t="s">
        <v>98</v>
      </c>
      <c r="BO1" s="21"/>
      <c r="BP1" s="21" t="s">
        <v>1</v>
      </c>
    </row>
    <row r="2" spans="1:69">
      <c r="A2">
        <v>2012</v>
      </c>
      <c r="B2" s="6">
        <f>70%*10.6+30%*21.2</f>
        <v>13.779999999999998</v>
      </c>
      <c r="C2" s="35">
        <v>1.2</v>
      </c>
      <c r="D2" s="6">
        <v>0.28000000000000003</v>
      </c>
      <c r="E2" s="9">
        <v>2.8000000000000001E-2</v>
      </c>
      <c r="F2" s="30">
        <v>1.45</v>
      </c>
      <c r="G2" s="9">
        <v>7.0000000000000007E-2</v>
      </c>
      <c r="H2" s="24">
        <v>128</v>
      </c>
      <c r="I2" s="24">
        <v>10</v>
      </c>
      <c r="J2" s="9"/>
      <c r="K2" s="10">
        <f>M2/365</f>
        <v>22.018267434620171</v>
      </c>
      <c r="L2" s="25">
        <f>N2/365</f>
        <v>1.4678844956413448</v>
      </c>
      <c r="M2" s="10">
        <f>1500/5280*(AQ2+AR2+AS2)</f>
        <v>8036.6676136363621</v>
      </c>
      <c r="N2" s="10">
        <f>M2/15</f>
        <v>535.77784090909086</v>
      </c>
      <c r="O2" s="10"/>
      <c r="P2" s="10">
        <f>1800*0.7</f>
        <v>1260</v>
      </c>
      <c r="Q2" s="10">
        <f>P2</f>
        <v>1260</v>
      </c>
      <c r="R2" s="10">
        <f>1800*0.3</f>
        <v>540</v>
      </c>
      <c r="S2" s="10">
        <f>R2</f>
        <v>540</v>
      </c>
      <c r="T2" s="37"/>
      <c r="U2" s="38">
        <v>0.03</v>
      </c>
      <c r="V2" s="38">
        <v>0.04</v>
      </c>
      <c r="W2" s="38">
        <v>5.0000000000000001E-3</v>
      </c>
      <c r="X2" s="38">
        <v>0.02</v>
      </c>
      <c r="Y2" s="38">
        <v>0.04</v>
      </c>
      <c r="Z2" s="38">
        <v>0.05</v>
      </c>
      <c r="AA2" s="40">
        <v>0</v>
      </c>
      <c r="AB2" s="40">
        <v>0</v>
      </c>
      <c r="AC2" s="10"/>
      <c r="AD2" s="39">
        <f>R2/(P2+R2)</f>
        <v>0.3</v>
      </c>
      <c r="AE2" s="39">
        <f>S2/(Q2+S2)</f>
        <v>0.3</v>
      </c>
      <c r="AF2" s="41">
        <f>17774/1800</f>
        <v>9.8744444444444444</v>
      </c>
      <c r="AG2" s="41">
        <f>17774*1.02^($A2-2012)/($Q2+$S2)</f>
        <v>9.8744444444444444</v>
      </c>
      <c r="AH2" s="10"/>
      <c r="AI2" s="10">
        <v>75</v>
      </c>
      <c r="AJ2" s="10">
        <v>260</v>
      </c>
      <c r="AK2" s="10">
        <v>100</v>
      </c>
      <c r="AL2" s="10">
        <v>240</v>
      </c>
      <c r="AM2" s="10">
        <v>100</v>
      </c>
      <c r="AN2" s="10">
        <v>0</v>
      </c>
      <c r="AO2" s="10">
        <v>260</v>
      </c>
      <c r="AP2" s="10"/>
      <c r="AQ2" s="10">
        <f>(Q2*$V$2*$AI$2+S2*$V$2*$AJ$2)*$AG2-(P2*$U$2*$AI$2+R2*$U$2*$AJ$2)*$AF2</f>
        <v>23195.069999999992</v>
      </c>
      <c r="AR2" s="10">
        <f>(Q2*$X$2*$AK$2+S2*$X$2*$AL$2)-(P2*$W$2*$AK$2+R2*$W$2*$AL$2)</f>
        <v>3834</v>
      </c>
      <c r="AS2" s="10">
        <f>(Q2*$Z$2*$AM$2+S2*$Z$2*$AN$2)-(P2*$Y$2*$AM$2+R2*$Y$2*$AN$2)</f>
        <v>1260</v>
      </c>
      <c r="AT2" s="10">
        <f>(S2+Q2)*AE2*$AB$2*$AO$2-(R2+P2)*AD2*$AA$2*$AO$2</f>
        <v>0</v>
      </c>
      <c r="AU2" s="10"/>
      <c r="AV2" s="39">
        <f>AQ2/SUM($AQ2:$AT2)</f>
        <v>0.81993045370526496</v>
      </c>
      <c r="AW2" s="39">
        <f t="shared" ref="AW2:AY17" si="0">AR2/SUM($AQ2:$AT2)</f>
        <v>0.13552937583313984</v>
      </c>
      <c r="AX2" s="39">
        <f t="shared" si="0"/>
        <v>4.4540170461595252E-2</v>
      </c>
      <c r="AY2" s="39">
        <f t="shared" si="0"/>
        <v>0</v>
      </c>
      <c r="AZ2" s="10"/>
      <c r="BA2" s="36">
        <f>-AX2*N2*$C$2*(4-1)</f>
        <v>-85.909090909090935</v>
      </c>
      <c r="BB2" s="10"/>
      <c r="BC2" s="36">
        <f>-M2*AV2/20</f>
        <v>-329.47542613636358</v>
      </c>
      <c r="BD2" s="36">
        <f>-N2*AV2/20</f>
        <v>-21.965028409090905</v>
      </c>
      <c r="BE2" s="36">
        <f>-M2*AY2/2</f>
        <v>0</v>
      </c>
      <c r="BF2" s="36">
        <f>-N2*AY2/2</f>
        <v>0</v>
      </c>
      <c r="BG2" s="10"/>
      <c r="BH2" s="1">
        <f t="shared" ref="BH2:BH21" si="1">($D$2+$E$2)*M2</f>
        <v>2475.2936249999998</v>
      </c>
      <c r="BI2" s="3">
        <f t="shared" ref="BI2:BI21" si="2">((S2+Q2)*$X$2-(R2+P2)*$W$2)*$H$2</f>
        <v>3456</v>
      </c>
      <c r="BJ2" s="3">
        <f>(Q2*$X$2-P2*W2)*$AK$2*$I$2</f>
        <v>18899.999999999996</v>
      </c>
      <c r="BK2" s="3">
        <f>(Q2*$Z$2-P2*$Y$2)*$H$2</f>
        <v>1612.8000000000002</v>
      </c>
      <c r="BL2" s="23">
        <f>BA2*10.6</f>
        <v>-910.63636363636385</v>
      </c>
      <c r="BM2" s="23">
        <f>BC2*($F$2+$G$2)</f>
        <v>-500.80264772727264</v>
      </c>
      <c r="BN2" s="23">
        <f t="shared" ref="BN2:BN21" si="3">($D$2+$E$2)*BE2</f>
        <v>0</v>
      </c>
      <c r="BO2" s="10"/>
      <c r="BP2" s="23">
        <f>SUM(BH2:BO2)</f>
        <v>25032.654613636361</v>
      </c>
    </row>
    <row r="3" spans="1:69">
      <c r="A3">
        <v>2013</v>
      </c>
      <c r="K3" s="10">
        <f t="shared" ref="K3:L21" si="4">M3/365</f>
        <v>23.204279863341451</v>
      </c>
      <c r="L3" s="25">
        <f t="shared" si="4"/>
        <v>1.5469519908894298</v>
      </c>
      <c r="M3" s="10">
        <f t="shared" ref="M3:M21" si="5">1500/5280*(AQ3+AR3+AS3)</f>
        <v>8469.5621501196292</v>
      </c>
      <c r="N3" s="10">
        <f t="shared" ref="N3:N21" si="6">M3/15</f>
        <v>564.6374766746419</v>
      </c>
      <c r="O3" s="10"/>
      <c r="P3" s="10">
        <f>P2*1.02</f>
        <v>1285.2</v>
      </c>
      <c r="Q3" s="10">
        <f>(Q$21-Q$2)/(20-1)*($A3-$A$2)+Q$2</f>
        <v>1390.9736842105262</v>
      </c>
      <c r="R3" s="10">
        <f>R2*1.02</f>
        <v>550.79999999999995</v>
      </c>
      <c r="S3" s="10">
        <f>(S$21-S$2)/(20-1)*($A3-$A$2)+S$2</f>
        <v>596.13157894736844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39">
        <f t="shared" ref="AD3:AE21" si="7">R3/(P3+R3)</f>
        <v>0.3</v>
      </c>
      <c r="AE3" s="39">
        <f t="shared" si="7"/>
        <v>0.30000000000000004</v>
      </c>
      <c r="AF3" s="41">
        <f t="shared" ref="AF3:AF21" si="8">17774/1800</f>
        <v>9.8744444444444444</v>
      </c>
      <c r="AG3" s="41">
        <f t="shared" ref="AG3:AG21" si="9">17774*1.02^($A3-2012)/($Q3+$S3)</f>
        <v>9.1235629717918165</v>
      </c>
      <c r="AH3" s="10"/>
      <c r="AI3" s="10"/>
      <c r="AJ3" s="10"/>
      <c r="AK3" s="10"/>
      <c r="AL3" s="10"/>
      <c r="AM3" s="10"/>
      <c r="AN3" s="10"/>
      <c r="AO3" s="10"/>
      <c r="AP3" s="10"/>
      <c r="AQ3" s="10">
        <f t="shared" ref="AQ3:AQ21" si="10">(Q3*$V$2*$AI$2+S3*$V$2*$AJ$2)*$AG3-(P3*$U$2*$AI$2+R3*$U$2*$AJ$2)*$AF3</f>
        <v>23658.971400000039</v>
      </c>
      <c r="AR3" s="10">
        <f t="shared" ref="AR3:AR21" si="11">(Q3*$X$2*$AK$2+S3*$X$2*$AL$2)-(P3*$W$2*$AK$2+R3*$W$2*$AL$2)</f>
        <v>4339.8189473684215</v>
      </c>
      <c r="AS3" s="10">
        <f t="shared" ref="AS3:AS21" si="12">(Q3*$Z$2*$AM$2+S3*$Z$2*$AN$2)-(P3*$Y$2*$AM$2+R3*$Y$2*$AN$2)</f>
        <v>1814.0684210526315</v>
      </c>
      <c r="AT3" s="10">
        <f t="shared" ref="AT3:AT21" si="13">(S3+Q3)*AE3*$AB$2*$AO$2-(R3+P3)*AD3*$AA$2*$AO$2</f>
        <v>0</v>
      </c>
      <c r="AU3" s="10"/>
      <c r="AV3" s="39">
        <f t="shared" ref="AV3:AY21" si="14">AQ3/SUM($AQ3:$AT3)</f>
        <v>0.79358278197260701</v>
      </c>
      <c r="AW3" s="39">
        <f t="shared" si="0"/>
        <v>0.14556869507480183</v>
      </c>
      <c r="AX3" s="39">
        <f t="shared" si="0"/>
        <v>6.084852295259123E-2</v>
      </c>
      <c r="AY3" s="39">
        <f t="shared" si="0"/>
        <v>0</v>
      </c>
      <c r="AZ3" s="10"/>
      <c r="BA3" s="36">
        <f t="shared" ref="BA3:BA21" si="15">-AX3*N3*$C$2*(4-1)</f>
        <v>-123.68648325358851</v>
      </c>
      <c r="BB3" s="10"/>
      <c r="BC3" s="36">
        <f t="shared" ref="BC3:BC21" si="16">-M3*AV3/20</f>
        <v>-336.06493465909153</v>
      </c>
      <c r="BD3" s="36">
        <f t="shared" ref="BD3:BD21" si="17">-N3*AV3/20</f>
        <v>-22.404328977272765</v>
      </c>
      <c r="BE3" s="36">
        <f t="shared" ref="BE3:BE21" si="18">-M3*AY3/2</f>
        <v>0</v>
      </c>
      <c r="BF3" s="36">
        <f t="shared" ref="BF3:BF21" si="19">-N3*AY3/2</f>
        <v>0</v>
      </c>
      <c r="BG3" s="10"/>
      <c r="BH3" s="1">
        <f t="shared" si="1"/>
        <v>2608.6251422368464</v>
      </c>
      <c r="BI3" s="3">
        <f t="shared" si="2"/>
        <v>3911.9494736842098</v>
      </c>
      <c r="BJ3" s="3">
        <f t="shared" ref="BJ3:BJ21" si="20">(Q3*$X$2-P3*W3)*$AK$2*$I$2</f>
        <v>27819.473684210527</v>
      </c>
      <c r="BK3" s="3">
        <f t="shared" ref="BK3:BK21" si="21">(Q3*$Z$2-P3*$Y$2)*$H$2</f>
        <v>2322.0075789473685</v>
      </c>
      <c r="BL3" s="23">
        <f t="shared" ref="BL3:BL21" si="22">BA3*10.6</f>
        <v>-1311.0767224880381</v>
      </c>
      <c r="BM3" s="23">
        <f t="shared" ref="BM3:BM21" si="23">BC3*($F$2+$G$2)</f>
        <v>-510.81870068181917</v>
      </c>
      <c r="BN3" s="23">
        <f t="shared" si="3"/>
        <v>0</v>
      </c>
      <c r="BO3" s="10"/>
      <c r="BP3" s="23">
        <f t="shared" ref="BP3:BP21" si="24">SUM(BH3:BO3)</f>
        <v>34840.160455909092</v>
      </c>
      <c r="BQ3" s="7"/>
    </row>
    <row r="4" spans="1:69">
      <c r="A4">
        <v>2014</v>
      </c>
      <c r="K4" s="10">
        <f t="shared" si="4"/>
        <v>24.395546672510999</v>
      </c>
      <c r="L4" s="25">
        <f t="shared" si="4"/>
        <v>1.6263697781674</v>
      </c>
      <c r="M4" s="10">
        <f t="shared" si="5"/>
        <v>8904.3745354665152</v>
      </c>
      <c r="N4" s="10">
        <f t="shared" si="6"/>
        <v>593.62496903110105</v>
      </c>
      <c r="O4" s="10"/>
      <c r="P4" s="10">
        <f t="shared" ref="P4:P21" si="25">P3*1.02</f>
        <v>1310.904</v>
      </c>
      <c r="Q4" s="10">
        <f t="shared" ref="Q4:S20" si="26">(Q$21-Q$2)/(20-1)*($A4-$A$2)+Q$2</f>
        <v>1521.9473684210525</v>
      </c>
      <c r="R4" s="10">
        <f t="shared" ref="R4:R21" si="27">R3*1.02</f>
        <v>561.81599999999992</v>
      </c>
      <c r="S4" s="10">
        <f t="shared" si="26"/>
        <v>652.26315789473688</v>
      </c>
      <c r="T4" s="10"/>
      <c r="U4" s="10"/>
      <c r="V4" s="10"/>
      <c r="W4" s="10"/>
      <c r="X4" s="10"/>
      <c r="Y4" s="10"/>
      <c r="Z4" s="10"/>
      <c r="AA4" s="10"/>
      <c r="AB4" s="10"/>
      <c r="AC4" s="10"/>
      <c r="AD4" s="39">
        <f t="shared" si="7"/>
        <v>0.3</v>
      </c>
      <c r="AE4" s="39">
        <f t="shared" si="7"/>
        <v>0.30000000000000004</v>
      </c>
      <c r="AF4" s="41">
        <f t="shared" si="8"/>
        <v>9.8744444444444444</v>
      </c>
      <c r="AG4" s="41">
        <f t="shared" si="9"/>
        <v>8.5051881481481484</v>
      </c>
      <c r="AH4" s="10"/>
      <c r="AI4" s="10"/>
      <c r="AJ4" s="10"/>
      <c r="AK4" s="10"/>
      <c r="AL4" s="10"/>
      <c r="AM4" s="10"/>
      <c r="AN4" s="10"/>
      <c r="AO4" s="10"/>
      <c r="AP4" s="10"/>
      <c r="AQ4" s="10">
        <f t="shared" si="10"/>
        <v>24132.150828000027</v>
      </c>
      <c r="AR4" s="10">
        <f t="shared" si="11"/>
        <v>4845.1266947368422</v>
      </c>
      <c r="AS4" s="10">
        <f t="shared" si="12"/>
        <v>2366.1208421052625</v>
      </c>
      <c r="AT4" s="10">
        <f t="shared" si="13"/>
        <v>0</v>
      </c>
      <c r="AU4" s="10"/>
      <c r="AV4" s="39">
        <f t="shared" si="14"/>
        <v>0.76992770685226797</v>
      </c>
      <c r="AW4" s="39">
        <f t="shared" si="0"/>
        <v>0.15458204749653495</v>
      </c>
      <c r="AX4" s="39">
        <f t="shared" si="0"/>
        <v>7.5490245651197121E-2</v>
      </c>
      <c r="AY4" s="39">
        <f t="shared" si="0"/>
        <v>0</v>
      </c>
      <c r="AZ4" s="10"/>
      <c r="BA4" s="36">
        <f t="shared" si="15"/>
        <v>-161.32642105263159</v>
      </c>
      <c r="BB4" s="10"/>
      <c r="BC4" s="36">
        <f t="shared" si="16"/>
        <v>-342.78623335227314</v>
      </c>
      <c r="BD4" s="36">
        <f t="shared" si="17"/>
        <v>-22.852415556818208</v>
      </c>
      <c r="BE4" s="36">
        <f t="shared" si="18"/>
        <v>0</v>
      </c>
      <c r="BF4" s="36">
        <f t="shared" si="19"/>
        <v>0</v>
      </c>
      <c r="BG4" s="10"/>
      <c r="BH4" s="1">
        <f t="shared" si="1"/>
        <v>2742.5473569236869</v>
      </c>
      <c r="BI4" s="3">
        <f t="shared" si="2"/>
        <v>4367.4381473684207</v>
      </c>
      <c r="BJ4" s="3">
        <f t="shared" si="20"/>
        <v>30438.94736842105</v>
      </c>
      <c r="BK4" s="3">
        <f t="shared" si="21"/>
        <v>3028.6346778947354</v>
      </c>
      <c r="BL4" s="23">
        <f t="shared" si="22"/>
        <v>-1710.0600631578948</v>
      </c>
      <c r="BM4" s="23">
        <f t="shared" si="23"/>
        <v>-521.03507469545514</v>
      </c>
      <c r="BN4" s="23">
        <f t="shared" si="3"/>
        <v>0</v>
      </c>
      <c r="BO4" s="10"/>
      <c r="BP4" s="23">
        <f t="shared" si="24"/>
        <v>38346.472412754541</v>
      </c>
      <c r="BQ4" s="7"/>
    </row>
    <row r="5" spans="1:69">
      <c r="A5">
        <v>2015</v>
      </c>
      <c r="K5" s="10">
        <f t="shared" si="4"/>
        <v>25.592172949737815</v>
      </c>
      <c r="L5" s="25">
        <f t="shared" si="4"/>
        <v>1.7061448633158542</v>
      </c>
      <c r="M5" s="10">
        <f t="shared" si="5"/>
        <v>9341.1431266543023</v>
      </c>
      <c r="N5" s="10">
        <f t="shared" si="6"/>
        <v>622.74287511028683</v>
      </c>
      <c r="O5" s="10"/>
      <c r="P5" s="10">
        <f t="shared" si="25"/>
        <v>1337.1220800000001</v>
      </c>
      <c r="Q5" s="10">
        <f t="shared" si="26"/>
        <v>1652.921052631579</v>
      </c>
      <c r="R5" s="10">
        <f t="shared" si="27"/>
        <v>573.0523199999999</v>
      </c>
      <c r="S5" s="10">
        <f t="shared" si="26"/>
        <v>708.3947368421052</v>
      </c>
      <c r="T5" s="10"/>
      <c r="U5" s="10"/>
      <c r="V5" s="10"/>
      <c r="W5" s="10"/>
      <c r="X5" s="10"/>
      <c r="Y5" s="10"/>
      <c r="Z5" s="10"/>
      <c r="AA5" s="10"/>
      <c r="AB5" s="10"/>
      <c r="AC5" s="10"/>
      <c r="AD5" s="39">
        <f t="shared" si="7"/>
        <v>0.3</v>
      </c>
      <c r="AE5" s="39">
        <f t="shared" si="7"/>
        <v>0.3</v>
      </c>
      <c r="AF5" s="41">
        <f t="shared" si="8"/>
        <v>9.8744444444444444</v>
      </c>
      <c r="AG5" s="41">
        <f t="shared" si="9"/>
        <v>7.987881619257772</v>
      </c>
      <c r="AH5" s="10"/>
      <c r="AI5" s="10"/>
      <c r="AJ5" s="10"/>
      <c r="AK5" s="10"/>
      <c r="AL5" s="10"/>
      <c r="AM5" s="10"/>
      <c r="AN5" s="10"/>
      <c r="AO5" s="10"/>
      <c r="AP5" s="10"/>
      <c r="AQ5" s="10">
        <f t="shared" si="10"/>
        <v>24614.793844559987</v>
      </c>
      <c r="AR5" s="10">
        <f t="shared" si="11"/>
        <v>5349.9130181052624</v>
      </c>
      <c r="AS5" s="10">
        <f t="shared" si="12"/>
        <v>2916.1169431578946</v>
      </c>
      <c r="AT5" s="10">
        <f t="shared" si="13"/>
        <v>0</v>
      </c>
      <c r="AU5" s="10"/>
      <c r="AV5" s="39">
        <f t="shared" si="14"/>
        <v>0.74860636065331021</v>
      </c>
      <c r="AW5" s="39">
        <f t="shared" si="0"/>
        <v>0.16270617335195237</v>
      </c>
      <c r="AX5" s="39">
        <f t="shared" si="0"/>
        <v>8.868746599473748E-2</v>
      </c>
      <c r="AY5" s="39">
        <f t="shared" si="0"/>
        <v>0</v>
      </c>
      <c r="AZ5" s="10"/>
      <c r="BA5" s="36">
        <f t="shared" si="15"/>
        <v>-198.82615521531099</v>
      </c>
      <c r="BB5" s="10"/>
      <c r="BC5" s="36">
        <f t="shared" si="16"/>
        <v>-349.641958019318</v>
      </c>
      <c r="BD5" s="36">
        <f t="shared" si="17"/>
        <v>-23.309463867954534</v>
      </c>
      <c r="BE5" s="36">
        <f t="shared" si="18"/>
        <v>0</v>
      </c>
      <c r="BF5" s="36">
        <f t="shared" si="19"/>
        <v>0</v>
      </c>
      <c r="BG5" s="10"/>
      <c r="BH5" s="1">
        <f t="shared" si="1"/>
        <v>2877.0720830095256</v>
      </c>
      <c r="BI5" s="3">
        <f t="shared" si="2"/>
        <v>4822.4568050526314</v>
      </c>
      <c r="BJ5" s="3">
        <f t="shared" si="20"/>
        <v>33058.42105263158</v>
      </c>
      <c r="BK5" s="3">
        <f t="shared" si="21"/>
        <v>3732.6296872421053</v>
      </c>
      <c r="BL5" s="23">
        <f t="shared" si="22"/>
        <v>-2107.5572452822962</v>
      </c>
      <c r="BM5" s="23">
        <f t="shared" si="23"/>
        <v>-531.45577618936341</v>
      </c>
      <c r="BN5" s="23">
        <f t="shared" si="3"/>
        <v>0</v>
      </c>
      <c r="BO5" s="10"/>
      <c r="BP5" s="23">
        <f t="shared" si="24"/>
        <v>41851.566606464185</v>
      </c>
      <c r="BQ5" s="7"/>
    </row>
    <row r="6" spans="1:69">
      <c r="A6">
        <v>2016</v>
      </c>
      <c r="K6" s="10">
        <f t="shared" si="4"/>
        <v>26.794265884383112</v>
      </c>
      <c r="L6" s="25">
        <f t="shared" si="4"/>
        <v>1.7862843922922074</v>
      </c>
      <c r="M6" s="10">
        <f t="shared" si="5"/>
        <v>9779.9070477998357</v>
      </c>
      <c r="N6" s="10">
        <f t="shared" si="6"/>
        <v>651.99380318665567</v>
      </c>
      <c r="O6" s="10"/>
      <c r="P6" s="10">
        <f t="shared" si="25"/>
        <v>1363.8645216000002</v>
      </c>
      <c r="Q6" s="10">
        <f t="shared" si="26"/>
        <v>1783.8947368421052</v>
      </c>
      <c r="R6" s="10">
        <f t="shared" si="27"/>
        <v>584.51336639999988</v>
      </c>
      <c r="S6" s="10">
        <f t="shared" si="26"/>
        <v>764.52631578947364</v>
      </c>
      <c r="T6" s="10"/>
      <c r="U6" s="10"/>
      <c r="V6" s="10"/>
      <c r="W6" s="10"/>
      <c r="X6" s="10"/>
      <c r="Y6" s="10"/>
      <c r="Z6" s="10"/>
      <c r="AA6" s="10"/>
      <c r="AB6" s="10"/>
      <c r="AC6" s="10"/>
      <c r="AD6" s="39">
        <f t="shared" si="7"/>
        <v>0.29999999999999993</v>
      </c>
      <c r="AE6" s="39">
        <f t="shared" si="7"/>
        <v>0.3</v>
      </c>
      <c r="AF6" s="41">
        <f t="shared" si="8"/>
        <v>9.8744444444444444</v>
      </c>
      <c r="AG6" s="41">
        <f t="shared" si="9"/>
        <v>7.5494389720148698</v>
      </c>
      <c r="AH6" s="10"/>
      <c r="AI6" s="10"/>
      <c r="AJ6" s="10"/>
      <c r="AK6" s="10"/>
      <c r="AL6" s="10"/>
      <c r="AM6" s="10"/>
      <c r="AN6" s="10"/>
      <c r="AO6" s="10"/>
      <c r="AP6" s="10"/>
      <c r="AQ6" s="10">
        <f t="shared" si="10"/>
        <v>25107.089721451208</v>
      </c>
      <c r="AR6" s="10">
        <f t="shared" si="11"/>
        <v>5854.1674889936839</v>
      </c>
      <c r="AS6" s="10">
        <f t="shared" si="12"/>
        <v>3464.0155978105258</v>
      </c>
      <c r="AT6" s="10">
        <f t="shared" si="13"/>
        <v>0</v>
      </c>
      <c r="AU6" s="10"/>
      <c r="AV6" s="39">
        <f t="shared" si="14"/>
        <v>0.72932144536064081</v>
      </c>
      <c r="AW6" s="39">
        <f t="shared" si="0"/>
        <v>0.1700543528471273</v>
      </c>
      <c r="AX6" s="39">
        <f t="shared" si="0"/>
        <v>0.10062420179223187</v>
      </c>
      <c r="AY6" s="39">
        <f t="shared" si="0"/>
        <v>0</v>
      </c>
      <c r="AZ6" s="10"/>
      <c r="BA6" s="36">
        <f t="shared" si="15"/>
        <v>-236.18288166889951</v>
      </c>
      <c r="BB6" s="10"/>
      <c r="BC6" s="36">
        <f t="shared" si="16"/>
        <v>-356.63479717970466</v>
      </c>
      <c r="BD6" s="36">
        <f t="shared" si="17"/>
        <v>-23.775653145313644</v>
      </c>
      <c r="BE6" s="36">
        <f t="shared" si="18"/>
        <v>0</v>
      </c>
      <c r="BF6" s="36">
        <f t="shared" si="19"/>
        <v>0</v>
      </c>
      <c r="BG6" s="10"/>
      <c r="BH6" s="1">
        <f t="shared" si="1"/>
        <v>3012.2113707223498</v>
      </c>
      <c r="BI6" s="3">
        <f t="shared" si="2"/>
        <v>5276.9960464168416</v>
      </c>
      <c r="BJ6" s="3">
        <f t="shared" si="20"/>
        <v>35677.894736842107</v>
      </c>
      <c r="BK6" s="3">
        <f t="shared" si="21"/>
        <v>4433.9399651974736</v>
      </c>
      <c r="BL6" s="23">
        <f t="shared" si="22"/>
        <v>-2503.5385456903346</v>
      </c>
      <c r="BM6" s="23">
        <f t="shared" si="23"/>
        <v>-542.08489171315114</v>
      </c>
      <c r="BN6" s="23">
        <f t="shared" si="3"/>
        <v>0</v>
      </c>
      <c r="BO6" s="10"/>
      <c r="BP6" s="23">
        <f t="shared" si="24"/>
        <v>45355.418681775285</v>
      </c>
      <c r="BQ6" s="7"/>
    </row>
    <row r="7" spans="1:69">
      <c r="A7">
        <v>2017</v>
      </c>
      <c r="K7" s="10">
        <f t="shared" si="4"/>
        <v>28.001934809595191</v>
      </c>
      <c r="L7" s="25">
        <f t="shared" si="4"/>
        <v>1.8667956539730128</v>
      </c>
      <c r="M7" s="10">
        <f t="shared" si="5"/>
        <v>10220.706205502245</v>
      </c>
      <c r="N7" s="10">
        <f t="shared" si="6"/>
        <v>681.38041370014969</v>
      </c>
      <c r="O7" s="10"/>
      <c r="P7" s="10">
        <f t="shared" si="25"/>
        <v>1391.1418120320002</v>
      </c>
      <c r="Q7" s="10">
        <f t="shared" si="26"/>
        <v>1914.8684210526314</v>
      </c>
      <c r="R7" s="10">
        <f t="shared" si="27"/>
        <v>596.20363372799989</v>
      </c>
      <c r="S7" s="10">
        <f t="shared" si="26"/>
        <v>820.65789473684208</v>
      </c>
      <c r="T7" s="10"/>
      <c r="U7" s="10"/>
      <c r="V7" s="10"/>
      <c r="W7" s="10"/>
      <c r="X7" s="10"/>
      <c r="Y7" s="10"/>
      <c r="Z7" s="10"/>
      <c r="AA7" s="10"/>
      <c r="AB7" s="10"/>
      <c r="AC7" s="10"/>
      <c r="AD7" s="39">
        <f t="shared" si="7"/>
        <v>0.29999999999999993</v>
      </c>
      <c r="AE7" s="39">
        <f t="shared" si="7"/>
        <v>0.30000000000000004</v>
      </c>
      <c r="AF7" s="41">
        <f t="shared" si="8"/>
        <v>9.8744444444444444</v>
      </c>
      <c r="AG7" s="41">
        <f t="shared" si="9"/>
        <v>7.1737318273296635</v>
      </c>
      <c r="AH7" s="10"/>
      <c r="AI7" s="10"/>
      <c r="AJ7" s="10"/>
      <c r="AK7" s="10"/>
      <c r="AL7" s="10"/>
      <c r="AM7" s="10"/>
      <c r="AN7" s="10"/>
      <c r="AO7" s="10"/>
      <c r="AP7" s="10"/>
      <c r="AQ7" s="10">
        <f t="shared" si="10"/>
        <v>25609.231515880238</v>
      </c>
      <c r="AR7" s="10">
        <f t="shared" si="11"/>
        <v>6357.8794703525055</v>
      </c>
      <c r="AS7" s="10">
        <f t="shared" si="12"/>
        <v>4009.7748571351576</v>
      </c>
      <c r="AT7" s="10">
        <f t="shared" si="13"/>
        <v>0</v>
      </c>
      <c r="AU7" s="10"/>
      <c r="AV7" s="39">
        <f t="shared" si="14"/>
        <v>0.71182457612854033</v>
      </c>
      <c r="AW7" s="39">
        <f t="shared" si="0"/>
        <v>0.17672122868090148</v>
      </c>
      <c r="AX7" s="39">
        <f t="shared" si="0"/>
        <v>0.11145419519055826</v>
      </c>
      <c r="AY7" s="39">
        <f t="shared" si="0"/>
        <v>0</v>
      </c>
      <c r="AZ7" s="10"/>
      <c r="BA7" s="36">
        <f t="shared" si="15"/>
        <v>-273.39374025921535</v>
      </c>
      <c r="BB7" s="10"/>
      <c r="BC7" s="36">
        <f t="shared" si="16"/>
        <v>-363.76749312329889</v>
      </c>
      <c r="BD7" s="36">
        <f t="shared" si="17"/>
        <v>-24.251166208219924</v>
      </c>
      <c r="BE7" s="36">
        <f t="shared" si="18"/>
        <v>0</v>
      </c>
      <c r="BF7" s="36">
        <f t="shared" si="19"/>
        <v>0</v>
      </c>
      <c r="BG7" s="10"/>
      <c r="BH7" s="1">
        <f t="shared" si="1"/>
        <v>3147.9775112946922</v>
      </c>
      <c r="BI7" s="3">
        <f t="shared" si="2"/>
        <v>5731.0462831346513</v>
      </c>
      <c r="BJ7" s="3">
        <f t="shared" si="20"/>
        <v>38297.368421052633</v>
      </c>
      <c r="BK7" s="3">
        <f t="shared" si="21"/>
        <v>5132.5118171330005</v>
      </c>
      <c r="BL7" s="23">
        <f t="shared" si="22"/>
        <v>-2897.9736467476828</v>
      </c>
      <c r="BM7" s="23">
        <f t="shared" si="23"/>
        <v>-552.92658954741432</v>
      </c>
      <c r="BN7" s="23">
        <f t="shared" si="3"/>
        <v>0</v>
      </c>
      <c r="BO7" s="10"/>
      <c r="BP7" s="23">
        <f t="shared" si="24"/>
        <v>48858.003796319877</v>
      </c>
      <c r="BQ7" s="7"/>
    </row>
    <row r="8" spans="1:69">
      <c r="A8">
        <v>2018</v>
      </c>
      <c r="K8" s="10">
        <f t="shared" si="4"/>
        <v>29.215291245185416</v>
      </c>
      <c r="L8" s="25">
        <f t="shared" si="4"/>
        <v>1.947686083012361</v>
      </c>
      <c r="M8" s="10">
        <f t="shared" si="5"/>
        <v>10663.581304492676</v>
      </c>
      <c r="N8" s="10">
        <f t="shared" si="6"/>
        <v>710.90542029951177</v>
      </c>
      <c r="O8" s="10"/>
      <c r="P8" s="10">
        <f t="shared" si="25"/>
        <v>1418.9646482726403</v>
      </c>
      <c r="Q8" s="10">
        <f t="shared" si="26"/>
        <v>2045.8421052631579</v>
      </c>
      <c r="R8" s="10">
        <f t="shared" si="27"/>
        <v>608.12770640255985</v>
      </c>
      <c r="S8" s="10">
        <f t="shared" si="26"/>
        <v>876.78947368421052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39">
        <f t="shared" si="7"/>
        <v>0.29999999999999993</v>
      </c>
      <c r="AE8" s="39">
        <f t="shared" si="7"/>
        <v>0.3</v>
      </c>
      <c r="AF8" s="41">
        <f t="shared" si="8"/>
        <v>9.8744444444444444</v>
      </c>
      <c r="AG8" s="41">
        <f t="shared" si="9"/>
        <v>6.848762938231018</v>
      </c>
      <c r="AH8" s="10"/>
      <c r="AI8" s="10"/>
      <c r="AJ8" s="10"/>
      <c r="AK8" s="10"/>
      <c r="AL8" s="10"/>
      <c r="AM8" s="10"/>
      <c r="AN8" s="10"/>
      <c r="AO8" s="10"/>
      <c r="AP8" s="10"/>
      <c r="AQ8" s="10">
        <f t="shared" si="10"/>
        <v>26121.416146197851</v>
      </c>
      <c r="AR8" s="10">
        <f t="shared" si="11"/>
        <v>6861.0381123911338</v>
      </c>
      <c r="AS8" s="10">
        <f t="shared" si="12"/>
        <v>4553.351933225229</v>
      </c>
      <c r="AT8" s="10">
        <f t="shared" si="13"/>
        <v>0</v>
      </c>
      <c r="AU8" s="10"/>
      <c r="AV8" s="39">
        <f t="shared" si="14"/>
        <v>0.69590662347074861</v>
      </c>
      <c r="AW8" s="39">
        <f t="shared" si="0"/>
        <v>0.18278648598434483</v>
      </c>
      <c r="AX8" s="39">
        <f t="shared" si="0"/>
        <v>0.12130689054490644</v>
      </c>
      <c r="AY8" s="39">
        <f t="shared" si="0"/>
        <v>0</v>
      </c>
      <c r="AZ8" s="10"/>
      <c r="BA8" s="36">
        <f t="shared" si="15"/>
        <v>-310.45581362899293</v>
      </c>
      <c r="BB8" s="10"/>
      <c r="BC8" s="36">
        <f t="shared" si="16"/>
        <v>-371.04284298576493</v>
      </c>
      <c r="BD8" s="36">
        <f t="shared" si="17"/>
        <v>-24.73618953238433</v>
      </c>
      <c r="BE8" s="36">
        <f t="shared" si="18"/>
        <v>0</v>
      </c>
      <c r="BF8" s="36">
        <f t="shared" si="19"/>
        <v>0</v>
      </c>
      <c r="BG8" s="10"/>
      <c r="BH8" s="1">
        <f t="shared" si="1"/>
        <v>3284.3830417837448</v>
      </c>
      <c r="BI8" s="3">
        <f t="shared" si="2"/>
        <v>6184.5977351131351</v>
      </c>
      <c r="BJ8" s="3">
        <f t="shared" si="20"/>
        <v>40916.84210526316</v>
      </c>
      <c r="BK8" s="3">
        <f t="shared" si="21"/>
        <v>5828.290474528294</v>
      </c>
      <c r="BL8" s="23">
        <f t="shared" si="22"/>
        <v>-3290.8316244673251</v>
      </c>
      <c r="BM8" s="23">
        <f t="shared" si="23"/>
        <v>-563.98512133836266</v>
      </c>
      <c r="BN8" s="23">
        <f t="shared" si="3"/>
        <v>0</v>
      </c>
      <c r="BO8" s="10"/>
      <c r="BP8" s="23">
        <f t="shared" si="24"/>
        <v>52359.296610882651</v>
      </c>
      <c r="BQ8" s="7"/>
    </row>
    <row r="9" spans="1:69">
      <c r="A9">
        <v>2019</v>
      </c>
      <c r="K9" s="10">
        <f t="shared" si="4"/>
        <v>30.434448941361296</v>
      </c>
      <c r="L9" s="25">
        <f t="shared" si="4"/>
        <v>2.0289632627574199</v>
      </c>
      <c r="M9" s="10">
        <f t="shared" si="5"/>
        <v>11108.573863596874</v>
      </c>
      <c r="N9" s="10">
        <f t="shared" si="6"/>
        <v>740.57159090645825</v>
      </c>
      <c r="O9" s="10"/>
      <c r="P9" s="10">
        <f t="shared" si="25"/>
        <v>1447.3439412380931</v>
      </c>
      <c r="Q9" s="10">
        <f t="shared" si="26"/>
        <v>2176.8157894736842</v>
      </c>
      <c r="R9" s="10">
        <f t="shared" si="27"/>
        <v>620.29026053061102</v>
      </c>
      <c r="S9" s="10">
        <f t="shared" si="26"/>
        <v>932.92105263157896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39">
        <f t="shared" si="7"/>
        <v>0.29999999999999993</v>
      </c>
      <c r="AE9" s="39">
        <f t="shared" si="7"/>
        <v>0.3</v>
      </c>
      <c r="AF9" s="41">
        <f t="shared" si="8"/>
        <v>9.8744444444444444</v>
      </c>
      <c r="AG9" s="41">
        <f t="shared" si="9"/>
        <v>6.5654234082959748</v>
      </c>
      <c r="AH9" s="10"/>
      <c r="AI9" s="10"/>
      <c r="AJ9" s="10"/>
      <c r="AK9" s="10"/>
      <c r="AL9" s="10"/>
      <c r="AM9" s="10"/>
      <c r="AN9" s="10"/>
      <c r="AO9" s="10"/>
      <c r="AP9" s="10"/>
      <c r="AQ9" s="10">
        <f t="shared" si="10"/>
        <v>26643.844469121774</v>
      </c>
      <c r="AR9" s="10">
        <f t="shared" si="11"/>
        <v>7363.6323483231672</v>
      </c>
      <c r="AS9" s="10">
        <f t="shared" si="12"/>
        <v>5094.7031824160495</v>
      </c>
      <c r="AT9" s="10">
        <f t="shared" si="13"/>
        <v>0</v>
      </c>
      <c r="AU9" s="10"/>
      <c r="AV9" s="39">
        <f t="shared" si="14"/>
        <v>0.68139025673802567</v>
      </c>
      <c r="AW9" s="39">
        <f t="shared" si="0"/>
        <v>0.18831769349814625</v>
      </c>
      <c r="AX9" s="39">
        <f t="shared" si="0"/>
        <v>0.13029204976382802</v>
      </c>
      <c r="AY9" s="39">
        <f t="shared" si="0"/>
        <v>0</v>
      </c>
      <c r="AZ9" s="10"/>
      <c r="BA9" s="36">
        <f t="shared" si="15"/>
        <v>-347.36612607382153</v>
      </c>
      <c r="BB9" s="10"/>
      <c r="BC9" s="36">
        <f t="shared" si="16"/>
        <v>-378.46369984547977</v>
      </c>
      <c r="BD9" s="36">
        <f t="shared" si="17"/>
        <v>-25.230913323031984</v>
      </c>
      <c r="BE9" s="36">
        <f t="shared" si="18"/>
        <v>0</v>
      </c>
      <c r="BF9" s="36">
        <f t="shared" si="19"/>
        <v>0</v>
      </c>
      <c r="BG9" s="10"/>
      <c r="BH9" s="1">
        <f t="shared" si="1"/>
        <v>3421.4407499878375</v>
      </c>
      <c r="BI9" s="3">
        <f t="shared" si="2"/>
        <v>6637.6404266575046</v>
      </c>
      <c r="BJ9" s="3">
        <f t="shared" si="20"/>
        <v>43536.31578947368</v>
      </c>
      <c r="BK9" s="3">
        <f t="shared" si="21"/>
        <v>6521.2200734925427</v>
      </c>
      <c r="BL9" s="23">
        <f t="shared" si="22"/>
        <v>-3682.0809363825083</v>
      </c>
      <c r="BM9" s="23">
        <f t="shared" si="23"/>
        <v>-575.26482376512922</v>
      </c>
      <c r="BN9" s="23">
        <f t="shared" si="3"/>
        <v>0</v>
      </c>
      <c r="BO9" s="10"/>
      <c r="BP9" s="23">
        <f t="shared" si="24"/>
        <v>55859.271279463923</v>
      </c>
      <c r="BQ9" s="7"/>
    </row>
    <row r="10" spans="1:69">
      <c r="A10">
        <v>2020</v>
      </c>
      <c r="K10" s="10">
        <f t="shared" si="4"/>
        <v>31.65952392333465</v>
      </c>
      <c r="L10" s="25">
        <f t="shared" si="4"/>
        <v>2.1106349282223098</v>
      </c>
      <c r="M10" s="10">
        <f t="shared" si="5"/>
        <v>11555.726232017147</v>
      </c>
      <c r="N10" s="10">
        <f t="shared" si="6"/>
        <v>770.38174880114309</v>
      </c>
      <c r="O10" s="10"/>
      <c r="P10" s="10">
        <f t="shared" si="25"/>
        <v>1476.2908200628549</v>
      </c>
      <c r="Q10" s="10">
        <f t="shared" si="26"/>
        <v>2307.7894736842104</v>
      </c>
      <c r="R10" s="10">
        <f t="shared" si="27"/>
        <v>632.69606574122326</v>
      </c>
      <c r="S10" s="10">
        <f t="shared" si="26"/>
        <v>989.05263157894728</v>
      </c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39">
        <f t="shared" si="7"/>
        <v>0.29999999999999993</v>
      </c>
      <c r="AE10" s="39">
        <f t="shared" si="7"/>
        <v>0.3</v>
      </c>
      <c r="AF10" s="41">
        <f t="shared" si="8"/>
        <v>9.8744444444444444</v>
      </c>
      <c r="AG10" s="41">
        <f t="shared" si="9"/>
        <v>6.3166730989902797</v>
      </c>
      <c r="AH10" s="10"/>
      <c r="AI10" s="10"/>
      <c r="AJ10" s="10"/>
      <c r="AK10" s="10"/>
      <c r="AL10" s="10"/>
      <c r="AM10" s="10"/>
      <c r="AN10" s="10"/>
      <c r="AO10" s="10"/>
      <c r="AP10" s="10"/>
      <c r="AQ10" s="10">
        <f t="shared" si="10"/>
        <v>27176.721358504248</v>
      </c>
      <c r="AR10" s="10">
        <f t="shared" si="11"/>
        <v>7865.6508900264726</v>
      </c>
      <c r="AS10" s="10">
        <f t="shared" si="12"/>
        <v>5633.7840881696338</v>
      </c>
      <c r="AT10" s="10">
        <f t="shared" si="13"/>
        <v>0</v>
      </c>
      <c r="AU10" s="10"/>
      <c r="AV10" s="39">
        <f t="shared" si="14"/>
        <v>0.66812412494304074</v>
      </c>
      <c r="AW10" s="39">
        <f t="shared" si="0"/>
        <v>0.19337252086745552</v>
      </c>
      <c r="AX10" s="39">
        <f t="shared" si="0"/>
        <v>0.13850335418950369</v>
      </c>
      <c r="AY10" s="39">
        <f t="shared" si="0"/>
        <v>0</v>
      </c>
      <c r="AZ10" s="10"/>
      <c r="BA10" s="36">
        <f t="shared" si="15"/>
        <v>-384.12164237520233</v>
      </c>
      <c r="BB10" s="10"/>
      <c r="BC10" s="36">
        <f t="shared" si="16"/>
        <v>-386.03297384238988</v>
      </c>
      <c r="BD10" s="36">
        <f t="shared" si="17"/>
        <v>-25.735531589492659</v>
      </c>
      <c r="BE10" s="36">
        <f t="shared" si="18"/>
        <v>0</v>
      </c>
      <c r="BF10" s="36">
        <f t="shared" si="19"/>
        <v>0</v>
      </c>
      <c r="BG10" s="10"/>
      <c r="BH10" s="1">
        <f t="shared" si="1"/>
        <v>3559.1636794612818</v>
      </c>
      <c r="BI10" s="3">
        <f t="shared" si="2"/>
        <v>7090.1641825590741</v>
      </c>
      <c r="BJ10" s="3">
        <f t="shared" si="20"/>
        <v>46155.789473684206</v>
      </c>
      <c r="BK10" s="3">
        <f t="shared" si="21"/>
        <v>7211.2436328571303</v>
      </c>
      <c r="BL10" s="23">
        <f t="shared" si="22"/>
        <v>-4071.6894091771446</v>
      </c>
      <c r="BM10" s="23">
        <f t="shared" si="23"/>
        <v>-586.77012024043268</v>
      </c>
      <c r="BN10" s="23">
        <f t="shared" si="3"/>
        <v>0</v>
      </c>
      <c r="BO10" s="10"/>
      <c r="BP10" s="23">
        <f t="shared" si="24"/>
        <v>59357.901439144109</v>
      </c>
      <c r="BQ10" s="7"/>
    </row>
    <row r="11" spans="1:69">
      <c r="A11">
        <v>2021</v>
      </c>
      <c r="K11" s="10">
        <f t="shared" si="4"/>
        <v>32.890634536821324</v>
      </c>
      <c r="L11" s="25">
        <f t="shared" si="4"/>
        <v>2.1927089691214219</v>
      </c>
      <c r="M11" s="10">
        <f t="shared" si="5"/>
        <v>12005.081605939784</v>
      </c>
      <c r="N11" s="10">
        <f t="shared" si="6"/>
        <v>800.33877372931897</v>
      </c>
      <c r="O11" s="10"/>
      <c r="P11" s="10">
        <f t="shared" si="25"/>
        <v>1505.816636464112</v>
      </c>
      <c r="Q11" s="10">
        <f t="shared" si="26"/>
        <v>2438.7631578947367</v>
      </c>
      <c r="R11" s="10">
        <f t="shared" si="27"/>
        <v>645.34998705604778</v>
      </c>
      <c r="S11" s="10">
        <f t="shared" si="26"/>
        <v>1045.1842105263158</v>
      </c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39">
        <f t="shared" si="7"/>
        <v>0.29999999999999993</v>
      </c>
      <c r="AE11" s="39">
        <f t="shared" si="7"/>
        <v>0.30000000000000004</v>
      </c>
      <c r="AF11" s="41">
        <f t="shared" si="8"/>
        <v>9.8744444444444444</v>
      </c>
      <c r="AG11" s="41">
        <f t="shared" si="9"/>
        <v>6.0969851345141794</v>
      </c>
      <c r="AH11" s="10"/>
      <c r="AI11" s="10"/>
      <c r="AJ11" s="10"/>
      <c r="AK11" s="10"/>
      <c r="AL11" s="10"/>
      <c r="AM11" s="10"/>
      <c r="AN11" s="10"/>
      <c r="AO11" s="10"/>
      <c r="AP11" s="10"/>
      <c r="AQ11" s="10">
        <f t="shared" si="10"/>
        <v>27720.255785674322</v>
      </c>
      <c r="AR11" s="10">
        <f t="shared" si="11"/>
        <v>8367.0822236164768</v>
      </c>
      <c r="AS11" s="10">
        <f t="shared" si="12"/>
        <v>6170.5492436172353</v>
      </c>
      <c r="AT11" s="10">
        <f t="shared" si="13"/>
        <v>0</v>
      </c>
      <c r="AU11" s="10"/>
      <c r="AV11" s="39">
        <f t="shared" si="14"/>
        <v>0.65597827027584577</v>
      </c>
      <c r="AW11" s="39">
        <f t="shared" si="0"/>
        <v>0.19800048624155209</v>
      </c>
      <c r="AX11" s="39">
        <f t="shared" si="0"/>
        <v>0.1460212434826022</v>
      </c>
      <c r="AY11" s="39">
        <f t="shared" si="0"/>
        <v>0</v>
      </c>
      <c r="AZ11" s="10"/>
      <c r="BA11" s="36">
        <f t="shared" si="15"/>
        <v>-420.71926661026612</v>
      </c>
      <c r="BB11" s="10"/>
      <c r="BC11" s="36">
        <f t="shared" si="16"/>
        <v>-393.75363331923757</v>
      </c>
      <c r="BD11" s="36">
        <f t="shared" si="17"/>
        <v>-26.250242221282509</v>
      </c>
      <c r="BE11" s="36">
        <f t="shared" si="18"/>
        <v>0</v>
      </c>
      <c r="BF11" s="36">
        <f t="shared" si="19"/>
        <v>0</v>
      </c>
      <c r="BG11" s="10"/>
      <c r="BH11" s="1">
        <f t="shared" si="1"/>
        <v>3697.565134629454</v>
      </c>
      <c r="BI11" s="3">
        <f t="shared" si="2"/>
        <v>7542.1586241049918</v>
      </c>
      <c r="BJ11" s="3">
        <f t="shared" si="20"/>
        <v>48775.263157894733</v>
      </c>
      <c r="BK11" s="3">
        <f t="shared" si="21"/>
        <v>7898.3030318300607</v>
      </c>
      <c r="BL11" s="23">
        <f t="shared" si="22"/>
        <v>-4459.6242260688205</v>
      </c>
      <c r="BM11" s="23">
        <f t="shared" si="23"/>
        <v>-598.50552264524106</v>
      </c>
      <c r="BN11" s="23">
        <f t="shared" si="3"/>
        <v>0</v>
      </c>
      <c r="BO11" s="10"/>
      <c r="BP11" s="23">
        <f t="shared" si="24"/>
        <v>62855.160199745173</v>
      </c>
      <c r="BQ11" s="7"/>
    </row>
    <row r="12" spans="1:69">
      <c r="A12">
        <v>2022</v>
      </c>
      <c r="K12" s="10">
        <f t="shared" si="4"/>
        <v>34.127901494451635</v>
      </c>
      <c r="L12" s="25">
        <f t="shared" si="4"/>
        <v>2.2751934329634422</v>
      </c>
      <c r="M12" s="10">
        <f t="shared" si="5"/>
        <v>12456.684045474847</v>
      </c>
      <c r="N12" s="10">
        <f t="shared" si="6"/>
        <v>830.44560303165645</v>
      </c>
      <c r="O12" s="10"/>
      <c r="P12" s="10">
        <f t="shared" si="25"/>
        <v>1535.9329691933942</v>
      </c>
      <c r="Q12" s="10">
        <f t="shared" si="26"/>
        <v>2569.7368421052629</v>
      </c>
      <c r="R12" s="10">
        <f t="shared" si="27"/>
        <v>658.25698679716879</v>
      </c>
      <c r="S12" s="10">
        <f t="shared" si="26"/>
        <v>1101.3157894736842</v>
      </c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39">
        <f t="shared" si="7"/>
        <v>0.29999999999999993</v>
      </c>
      <c r="AE12" s="39">
        <f t="shared" si="7"/>
        <v>0.3</v>
      </c>
      <c r="AF12" s="41">
        <f t="shared" si="8"/>
        <v>9.8744444444444444</v>
      </c>
      <c r="AG12" s="41">
        <f t="shared" si="9"/>
        <v>5.9019602809856559</v>
      </c>
      <c r="AH12" s="10"/>
      <c r="AI12" s="10"/>
      <c r="AJ12" s="10"/>
      <c r="AK12" s="10"/>
      <c r="AL12" s="10"/>
      <c r="AM12" s="10"/>
      <c r="AN12" s="10"/>
      <c r="AO12" s="10"/>
      <c r="AP12" s="10"/>
      <c r="AQ12" s="10">
        <f t="shared" si="10"/>
        <v>28274.660901387819</v>
      </c>
      <c r="AR12" s="10">
        <f t="shared" si="11"/>
        <v>8867.9146049309093</v>
      </c>
      <c r="AS12" s="10">
        <f t="shared" si="12"/>
        <v>6704.952333752738</v>
      </c>
      <c r="AT12" s="10">
        <f t="shared" si="13"/>
        <v>0</v>
      </c>
      <c r="AU12" s="10"/>
      <c r="AV12" s="39">
        <f t="shared" si="14"/>
        <v>0.64484048004978101</v>
      </c>
      <c r="AW12" s="39">
        <f t="shared" si="0"/>
        <v>0.20224434630101729</v>
      </c>
      <c r="AX12" s="39">
        <f t="shared" si="0"/>
        <v>0.15291517364920182</v>
      </c>
      <c r="AY12" s="39">
        <f t="shared" si="0"/>
        <v>0</v>
      </c>
      <c r="AZ12" s="10"/>
      <c r="BA12" s="36">
        <f t="shared" si="15"/>
        <v>-457.15584093768666</v>
      </c>
      <c r="BB12" s="10"/>
      <c r="BC12" s="36">
        <f t="shared" si="16"/>
        <v>-401.62870598562245</v>
      </c>
      <c r="BD12" s="36">
        <f t="shared" si="17"/>
        <v>-26.775247065708164</v>
      </c>
      <c r="BE12" s="36">
        <f t="shared" si="18"/>
        <v>0</v>
      </c>
      <c r="BF12" s="36">
        <f t="shared" si="19"/>
        <v>0</v>
      </c>
      <c r="BG12" s="10"/>
      <c r="BH12" s="1">
        <f t="shared" si="1"/>
        <v>3836.6586860062534</v>
      </c>
      <c r="BI12" s="3">
        <f t="shared" si="2"/>
        <v>7993.6131650081443</v>
      </c>
      <c r="BJ12" s="3">
        <f t="shared" si="20"/>
        <v>51394.73684210526</v>
      </c>
      <c r="BK12" s="3">
        <f t="shared" si="21"/>
        <v>8582.3389872035041</v>
      </c>
      <c r="BL12" s="23">
        <f t="shared" si="22"/>
        <v>-4845.8519139394784</v>
      </c>
      <c r="BM12" s="23">
        <f t="shared" si="23"/>
        <v>-610.47563309814609</v>
      </c>
      <c r="BN12" s="23">
        <f t="shared" si="3"/>
        <v>0</v>
      </c>
      <c r="BO12" s="10"/>
      <c r="BP12" s="23">
        <f t="shared" si="24"/>
        <v>66351.020133285536</v>
      </c>
      <c r="BQ12" s="7"/>
    </row>
    <row r="13" spans="1:69">
      <c r="A13">
        <v>2023</v>
      </c>
      <c r="K13" s="10">
        <f t="shared" si="4"/>
        <v>35.371447923108413</v>
      </c>
      <c r="L13" s="25">
        <f t="shared" si="4"/>
        <v>2.358096528207227</v>
      </c>
      <c r="M13" s="10">
        <f t="shared" si="5"/>
        <v>12910.57849193457</v>
      </c>
      <c r="N13" s="10">
        <f t="shared" si="6"/>
        <v>860.70523279563793</v>
      </c>
      <c r="O13" s="10"/>
      <c r="P13" s="10">
        <f t="shared" si="25"/>
        <v>1566.651628577262</v>
      </c>
      <c r="Q13" s="10">
        <f t="shared" si="26"/>
        <v>2700.7105263157891</v>
      </c>
      <c r="R13" s="10">
        <f t="shared" si="27"/>
        <v>671.42212653311219</v>
      </c>
      <c r="S13" s="10">
        <f t="shared" si="26"/>
        <v>1157.4473684210525</v>
      </c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39">
        <f t="shared" si="7"/>
        <v>0.29999999999999993</v>
      </c>
      <c r="AE13" s="39">
        <f t="shared" si="7"/>
        <v>0.3</v>
      </c>
      <c r="AF13" s="41">
        <f t="shared" si="8"/>
        <v>9.8744444444444444</v>
      </c>
      <c r="AG13" s="41">
        <f t="shared" si="9"/>
        <v>5.7280535323746591</v>
      </c>
      <c r="AH13" s="10"/>
      <c r="AI13" s="10"/>
      <c r="AJ13" s="10"/>
      <c r="AK13" s="10"/>
      <c r="AL13" s="10"/>
      <c r="AM13" s="10"/>
      <c r="AN13" s="10"/>
      <c r="AO13" s="10"/>
      <c r="AP13" s="10"/>
      <c r="AQ13" s="10">
        <f t="shared" si="10"/>
        <v>28840.154119415514</v>
      </c>
      <c r="AR13" s="10">
        <f t="shared" si="11"/>
        <v>9368.1360549242654</v>
      </c>
      <c r="AS13" s="10">
        <f t="shared" si="12"/>
        <v>7236.9461172698984</v>
      </c>
      <c r="AT13" s="10">
        <f t="shared" si="13"/>
        <v>0</v>
      </c>
      <c r="AU13" s="10"/>
      <c r="AV13" s="39">
        <f t="shared" si="14"/>
        <v>0.63461336044896133</v>
      </c>
      <c r="AW13" s="39">
        <f t="shared" si="0"/>
        <v>0.20614121125504756</v>
      </c>
      <c r="AX13" s="39">
        <f t="shared" si="0"/>
        <v>0.159245428295991</v>
      </c>
      <c r="AY13" s="39">
        <f t="shared" si="0"/>
        <v>0</v>
      </c>
      <c r="AZ13" s="10"/>
      <c r="BA13" s="36">
        <f t="shared" si="15"/>
        <v>-493.4281443593112</v>
      </c>
      <c r="BB13" s="10"/>
      <c r="BC13" s="36">
        <f t="shared" si="16"/>
        <v>-409.66128010533401</v>
      </c>
      <c r="BD13" s="36">
        <f t="shared" si="17"/>
        <v>-27.310752007022266</v>
      </c>
      <c r="BE13" s="36">
        <f t="shared" si="18"/>
        <v>0</v>
      </c>
      <c r="BF13" s="36">
        <f t="shared" si="19"/>
        <v>0</v>
      </c>
      <c r="BG13" s="10"/>
      <c r="BH13" s="1">
        <f t="shared" si="1"/>
        <v>3976.4581755158483</v>
      </c>
      <c r="BI13" s="3">
        <f t="shared" si="2"/>
        <v>8444.5170072556757</v>
      </c>
      <c r="BJ13" s="3">
        <f t="shared" si="20"/>
        <v>54014.210526315786</v>
      </c>
      <c r="BK13" s="3">
        <f t="shared" si="21"/>
        <v>9263.291030105469</v>
      </c>
      <c r="BL13" s="23">
        <f t="shared" si="22"/>
        <v>-5230.3383302086986</v>
      </c>
      <c r="BM13" s="23">
        <f t="shared" si="23"/>
        <v>-622.68514576010773</v>
      </c>
      <c r="BN13" s="23">
        <f t="shared" si="3"/>
        <v>0</v>
      </c>
      <c r="BO13" s="10"/>
      <c r="BP13" s="23">
        <f t="shared" si="24"/>
        <v>69845.453263223972</v>
      </c>
      <c r="BQ13" s="7"/>
    </row>
    <row r="14" spans="1:69">
      <c r="A14">
        <v>2024</v>
      </c>
      <c r="K14" s="10">
        <f t="shared" si="4"/>
        <v>36.621399412212284</v>
      </c>
      <c r="L14" s="25">
        <f t="shared" si="4"/>
        <v>2.4414266274808192</v>
      </c>
      <c r="M14" s="10">
        <f t="shared" si="5"/>
        <v>13366.810785457485</v>
      </c>
      <c r="N14" s="10">
        <f t="shared" si="6"/>
        <v>891.120719030499</v>
      </c>
      <c r="O14" s="10"/>
      <c r="P14" s="10">
        <f t="shared" si="25"/>
        <v>1597.9846611488074</v>
      </c>
      <c r="Q14" s="10">
        <f t="shared" si="26"/>
        <v>2831.6842105263158</v>
      </c>
      <c r="R14" s="10">
        <f t="shared" si="27"/>
        <v>684.8505690637744</v>
      </c>
      <c r="S14" s="10">
        <f t="shared" si="26"/>
        <v>1213.578947368421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39">
        <f t="shared" si="7"/>
        <v>0.29999999999999993</v>
      </c>
      <c r="AE14" s="39">
        <f t="shared" si="7"/>
        <v>0.3</v>
      </c>
      <c r="AF14" s="41">
        <f t="shared" si="8"/>
        <v>9.8744444444444444</v>
      </c>
      <c r="AG14" s="41">
        <f t="shared" si="9"/>
        <v>5.5723765739596525</v>
      </c>
      <c r="AH14" s="10"/>
      <c r="AI14" s="10"/>
      <c r="AJ14" s="10"/>
      <c r="AK14" s="10"/>
      <c r="AL14" s="10"/>
      <c r="AM14" s="10"/>
      <c r="AN14" s="10"/>
      <c r="AO14" s="10"/>
      <c r="AP14" s="10"/>
      <c r="AQ14" s="10">
        <f t="shared" si="10"/>
        <v>29416.957201803874</v>
      </c>
      <c r="AR14" s="10">
        <f t="shared" si="11"/>
        <v>9867.7343549701181</v>
      </c>
      <c r="AS14" s="10">
        <f t="shared" si="12"/>
        <v>7766.4824080363487</v>
      </c>
      <c r="AT14" s="10">
        <f t="shared" si="13"/>
        <v>0</v>
      </c>
      <c r="AU14" s="10"/>
      <c r="AV14" s="39">
        <f t="shared" si="14"/>
        <v>0.62521197077473289</v>
      </c>
      <c r="AW14" s="39">
        <f t="shared" si="0"/>
        <v>0.20972344627044195</v>
      </c>
      <c r="AX14" s="39">
        <f t="shared" si="0"/>
        <v>0.16506458295482521</v>
      </c>
      <c r="AY14" s="39">
        <f t="shared" si="0"/>
        <v>0</v>
      </c>
      <c r="AZ14" s="10"/>
      <c r="BA14" s="36">
        <f t="shared" si="15"/>
        <v>-529.53289145702388</v>
      </c>
      <c r="BB14" s="10"/>
      <c r="BC14" s="36">
        <f t="shared" si="16"/>
        <v>-417.85450570744143</v>
      </c>
      <c r="BD14" s="36">
        <f t="shared" si="17"/>
        <v>-27.856967047162765</v>
      </c>
      <c r="BE14" s="36">
        <f t="shared" si="18"/>
        <v>0</v>
      </c>
      <c r="BF14" s="36">
        <f t="shared" si="19"/>
        <v>0</v>
      </c>
      <c r="BG14" s="10"/>
      <c r="BH14" s="1">
        <f t="shared" si="1"/>
        <v>4116.9777219209063</v>
      </c>
      <c r="BI14" s="3">
        <f t="shared" si="2"/>
        <v>8894.8591368744746</v>
      </c>
      <c r="BJ14" s="3">
        <f t="shared" si="20"/>
        <v>56633.68421052632</v>
      </c>
      <c r="BK14" s="3">
        <f t="shared" si="21"/>
        <v>9941.0974822865264</v>
      </c>
      <c r="BL14" s="23">
        <f t="shared" si="22"/>
        <v>-5613.0486494444531</v>
      </c>
      <c r="BM14" s="23">
        <f t="shared" si="23"/>
        <v>-635.13884867531101</v>
      </c>
      <c r="BN14" s="23">
        <f t="shared" si="3"/>
        <v>0</v>
      </c>
      <c r="BO14" s="10"/>
      <c r="BP14" s="23">
        <f t="shared" si="24"/>
        <v>73338.431053488457</v>
      </c>
      <c r="BQ14" s="7"/>
    </row>
    <row r="15" spans="1:69">
      <c r="A15">
        <v>2025</v>
      </c>
      <c r="K15" s="10">
        <f t="shared" si="4"/>
        <v>37.877884062972072</v>
      </c>
      <c r="L15" s="25">
        <f t="shared" si="4"/>
        <v>2.5251922708648045</v>
      </c>
      <c r="M15" s="10">
        <f t="shared" si="5"/>
        <v>13825.427682984806</v>
      </c>
      <c r="N15" s="10">
        <f t="shared" si="6"/>
        <v>921.6951788656537</v>
      </c>
      <c r="O15" s="10"/>
      <c r="P15" s="10">
        <f t="shared" si="25"/>
        <v>1629.9443543717837</v>
      </c>
      <c r="Q15" s="10">
        <f t="shared" si="26"/>
        <v>2962.6578947368416</v>
      </c>
      <c r="R15" s="10">
        <f t="shared" si="27"/>
        <v>698.5475804450499</v>
      </c>
      <c r="S15" s="10">
        <f t="shared" si="26"/>
        <v>1269.7105263157896</v>
      </c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39">
        <f t="shared" si="7"/>
        <v>0.29999999999999993</v>
      </c>
      <c r="AE15" s="39">
        <f t="shared" si="7"/>
        <v>0.30000000000000004</v>
      </c>
      <c r="AF15" s="41">
        <f t="shared" si="8"/>
        <v>9.8744444444444444</v>
      </c>
      <c r="AG15" s="41">
        <f t="shared" si="9"/>
        <v>5.4325526424675701</v>
      </c>
      <c r="AH15" s="10"/>
      <c r="AI15" s="10"/>
      <c r="AJ15" s="10"/>
      <c r="AK15" s="10"/>
      <c r="AL15" s="10"/>
      <c r="AM15" s="10"/>
      <c r="AN15" s="10"/>
      <c r="AO15" s="10"/>
      <c r="AP15" s="10"/>
      <c r="AQ15" s="10">
        <f t="shared" si="10"/>
        <v>30005.296345839917</v>
      </c>
      <c r="AR15" s="10">
        <f t="shared" si="11"/>
        <v>10366.697042069522</v>
      </c>
      <c r="AS15" s="10">
        <f t="shared" si="12"/>
        <v>8293.5120561970743</v>
      </c>
      <c r="AT15" s="10">
        <f t="shared" si="13"/>
        <v>0</v>
      </c>
      <c r="AU15" s="10"/>
      <c r="AV15" s="39">
        <f t="shared" si="14"/>
        <v>0.61656189681008677</v>
      </c>
      <c r="AW15" s="39">
        <f t="shared" si="0"/>
        <v>0.21301940558237742</v>
      </c>
      <c r="AX15" s="39">
        <f t="shared" si="0"/>
        <v>0.17041869760753578</v>
      </c>
      <c r="AY15" s="39">
        <f t="shared" si="0"/>
        <v>0</v>
      </c>
      <c r="AZ15" s="10"/>
      <c r="BA15" s="36">
        <f t="shared" si="15"/>
        <v>-565.46673110434597</v>
      </c>
      <c r="BB15" s="10"/>
      <c r="BC15" s="36">
        <f t="shared" si="16"/>
        <v>-426.2115958215897</v>
      </c>
      <c r="BD15" s="36">
        <f t="shared" si="17"/>
        <v>-28.414106388105985</v>
      </c>
      <c r="BE15" s="36">
        <f t="shared" si="18"/>
        <v>0</v>
      </c>
      <c r="BF15" s="36">
        <f t="shared" si="19"/>
        <v>0</v>
      </c>
      <c r="BG15" s="10"/>
      <c r="BH15" s="1">
        <f t="shared" si="1"/>
        <v>4258.2317263593213</v>
      </c>
      <c r="BI15" s="3">
        <f t="shared" si="2"/>
        <v>9344.6283196119639</v>
      </c>
      <c r="BJ15" s="3">
        <f t="shared" si="20"/>
        <v>59253.157894736833</v>
      </c>
      <c r="BK15" s="3">
        <f t="shared" si="21"/>
        <v>10615.695431932254</v>
      </c>
      <c r="BL15" s="23">
        <f t="shared" si="22"/>
        <v>-5993.9473497060671</v>
      </c>
      <c r="BM15" s="23">
        <f t="shared" si="23"/>
        <v>-647.84162564881638</v>
      </c>
      <c r="BN15" s="23">
        <f t="shared" si="3"/>
        <v>0</v>
      </c>
      <c r="BO15" s="10"/>
      <c r="BP15" s="23">
        <f t="shared" si="24"/>
        <v>76829.924397285489</v>
      </c>
      <c r="BQ15" s="7"/>
    </row>
    <row r="16" spans="1:69">
      <c r="A16">
        <v>2026</v>
      </c>
      <c r="K16" s="10">
        <f t="shared" si="4"/>
        <v>39.141032538620969</v>
      </c>
      <c r="L16" s="25">
        <f t="shared" si="4"/>
        <v>2.6094021692413976</v>
      </c>
      <c r="M16" s="10">
        <f t="shared" si="5"/>
        <v>14286.476876596653</v>
      </c>
      <c r="N16" s="10">
        <f t="shared" si="6"/>
        <v>952.43179177311015</v>
      </c>
      <c r="O16" s="10"/>
      <c r="P16" s="10">
        <f t="shared" si="25"/>
        <v>1662.5432414592194</v>
      </c>
      <c r="Q16" s="10">
        <f t="shared" si="26"/>
        <v>3093.6315789473683</v>
      </c>
      <c r="R16" s="10">
        <f t="shared" si="27"/>
        <v>712.51853205395093</v>
      </c>
      <c r="S16" s="10">
        <f t="shared" si="26"/>
        <v>1325.8421052631579</v>
      </c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39">
        <f t="shared" si="7"/>
        <v>0.29999999999999993</v>
      </c>
      <c r="AE16" s="39">
        <f t="shared" si="7"/>
        <v>0.3</v>
      </c>
      <c r="AF16" s="41">
        <f t="shared" si="8"/>
        <v>9.8744444444444444</v>
      </c>
      <c r="AG16" s="41">
        <f t="shared" si="9"/>
        <v>5.3066082548399462</v>
      </c>
      <c r="AH16" s="10"/>
      <c r="AI16" s="10"/>
      <c r="AJ16" s="10"/>
      <c r="AK16" s="10"/>
      <c r="AL16" s="10"/>
      <c r="AM16" s="10"/>
      <c r="AN16" s="10"/>
      <c r="AO16" s="10"/>
      <c r="AP16" s="10"/>
      <c r="AQ16" s="10">
        <f t="shared" si="10"/>
        <v>30605.402272756706</v>
      </c>
      <c r="AR16" s="10">
        <f t="shared" si="11"/>
        <v>10865.011403963543</v>
      </c>
      <c r="AS16" s="10">
        <f t="shared" si="12"/>
        <v>8817.9849288999649</v>
      </c>
      <c r="AT16" s="10">
        <f t="shared" si="13"/>
        <v>0</v>
      </c>
      <c r="AU16" s="10"/>
      <c r="AV16" s="39">
        <f t="shared" si="14"/>
        <v>0.60859767106078133</v>
      </c>
      <c r="AW16" s="39">
        <f t="shared" si="0"/>
        <v>0.2160540344338838</v>
      </c>
      <c r="AX16" s="39">
        <f t="shared" si="0"/>
        <v>0.17534829450533487</v>
      </c>
      <c r="AY16" s="39">
        <f t="shared" si="0"/>
        <v>0</v>
      </c>
      <c r="AZ16" s="10"/>
      <c r="BA16" s="36">
        <f t="shared" si="15"/>
        <v>-601.22624515227028</v>
      </c>
      <c r="BB16" s="10"/>
      <c r="BC16" s="36">
        <f t="shared" si="16"/>
        <v>-434.73582773802144</v>
      </c>
      <c r="BD16" s="36">
        <f t="shared" si="17"/>
        <v>-28.982388515868092</v>
      </c>
      <c r="BE16" s="36">
        <f t="shared" si="18"/>
        <v>0</v>
      </c>
      <c r="BF16" s="36">
        <f t="shared" si="19"/>
        <v>0</v>
      </c>
      <c r="BG16" s="10"/>
      <c r="BH16" s="1">
        <f t="shared" si="1"/>
        <v>4400.2348779917702</v>
      </c>
      <c r="BI16" s="3">
        <f t="shared" si="2"/>
        <v>9793.813096530519</v>
      </c>
      <c r="BJ16" s="3">
        <f t="shared" si="20"/>
        <v>61872.631578947367</v>
      </c>
      <c r="BK16" s="3">
        <f t="shared" si="21"/>
        <v>11287.020708991955</v>
      </c>
      <c r="BL16" s="23">
        <f t="shared" si="22"/>
        <v>-6372.9981986140647</v>
      </c>
      <c r="BM16" s="23">
        <f t="shared" si="23"/>
        <v>-660.79845816179261</v>
      </c>
      <c r="BN16" s="23">
        <f t="shared" si="3"/>
        <v>0</v>
      </c>
      <c r="BO16" s="10"/>
      <c r="BP16" s="23">
        <f t="shared" si="24"/>
        <v>80319.903605685759</v>
      </c>
      <c r="BQ16" s="7"/>
    </row>
    <row r="17" spans="1:69">
      <c r="A17">
        <v>2027</v>
      </c>
      <c r="K17" s="10">
        <f t="shared" si="4"/>
        <v>40.410978115656746</v>
      </c>
      <c r="L17" s="25">
        <f t="shared" si="4"/>
        <v>2.6940652077104499</v>
      </c>
      <c r="M17" s="10">
        <f t="shared" si="5"/>
        <v>14750.007012214712</v>
      </c>
      <c r="N17" s="10">
        <f t="shared" si="6"/>
        <v>983.33380081431415</v>
      </c>
      <c r="O17" s="10"/>
      <c r="P17" s="10">
        <f t="shared" si="25"/>
        <v>1695.7941062884038</v>
      </c>
      <c r="Q17" s="10">
        <f t="shared" si="26"/>
        <v>3224.6052631578946</v>
      </c>
      <c r="R17" s="10">
        <f t="shared" si="27"/>
        <v>726.76890269502996</v>
      </c>
      <c r="S17" s="10">
        <f t="shared" si="26"/>
        <v>1381.9736842105262</v>
      </c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39">
        <f t="shared" si="7"/>
        <v>0.29999999999999993</v>
      </c>
      <c r="AE17" s="39">
        <f t="shared" si="7"/>
        <v>0.3</v>
      </c>
      <c r="AF17" s="41">
        <f t="shared" si="8"/>
        <v>9.8744444444444444</v>
      </c>
      <c r="AG17" s="41">
        <f t="shared" si="9"/>
        <v>5.1928913231886709</v>
      </c>
      <c r="AH17" s="10"/>
      <c r="AI17" s="10"/>
      <c r="AJ17" s="10"/>
      <c r="AK17" s="10"/>
      <c r="AL17" s="10"/>
      <c r="AM17" s="10"/>
      <c r="AN17" s="10"/>
      <c r="AO17" s="10"/>
      <c r="AP17" s="10"/>
      <c r="AQ17" s="10">
        <f t="shared" si="10"/>
        <v>31217.510318211847</v>
      </c>
      <c r="AR17" s="10">
        <f t="shared" si="11"/>
        <v>11362.664474148078</v>
      </c>
      <c r="AS17" s="10">
        <f t="shared" si="12"/>
        <v>9339.8498906358582</v>
      </c>
      <c r="AT17" s="10">
        <f t="shared" si="13"/>
        <v>0</v>
      </c>
      <c r="AU17" s="10"/>
      <c r="AV17" s="39">
        <f t="shared" si="14"/>
        <v>0.60126146913092338</v>
      </c>
      <c r="AW17" s="39">
        <f t="shared" si="0"/>
        <v>0.21884936579911604</v>
      </c>
      <c r="AX17" s="39">
        <f t="shared" si="0"/>
        <v>0.17988916506996061</v>
      </c>
      <c r="AY17" s="39">
        <f t="shared" si="0"/>
        <v>0</v>
      </c>
      <c r="AZ17" s="10"/>
      <c r="BA17" s="36">
        <f t="shared" si="15"/>
        <v>-636.80794708880853</v>
      </c>
      <c r="BB17" s="10"/>
      <c r="BC17" s="36">
        <f t="shared" si="16"/>
        <v>-443.43054429278197</v>
      </c>
      <c r="BD17" s="36">
        <f t="shared" si="17"/>
        <v>-29.562036286185464</v>
      </c>
      <c r="BE17" s="36">
        <f t="shared" si="18"/>
        <v>0</v>
      </c>
      <c r="BF17" s="36">
        <f t="shared" si="19"/>
        <v>0</v>
      </c>
      <c r="BG17" s="10"/>
      <c r="BH17" s="1">
        <f t="shared" si="1"/>
        <v>4543.0021597621317</v>
      </c>
      <c r="BI17" s="3">
        <f t="shared" si="2"/>
        <v>10242.401779513761</v>
      </c>
      <c r="BJ17" s="3">
        <f t="shared" si="20"/>
        <v>64492.1052631579</v>
      </c>
      <c r="BK17" s="3">
        <f t="shared" si="21"/>
        <v>11955.007860013899</v>
      </c>
      <c r="BL17" s="23">
        <f t="shared" si="22"/>
        <v>-6750.1642391413707</v>
      </c>
      <c r="BM17" s="23">
        <f t="shared" si="23"/>
        <v>-674.01442732502858</v>
      </c>
      <c r="BN17" s="23">
        <f t="shared" si="3"/>
        <v>0</v>
      </c>
      <c r="BO17" s="10"/>
      <c r="BP17" s="23">
        <f t="shared" si="24"/>
        <v>83808.338395981278</v>
      </c>
      <c r="BQ17" s="7"/>
    </row>
    <row r="18" spans="1:69">
      <c r="A18">
        <v>2028</v>
      </c>
      <c r="K18" s="10">
        <f t="shared" si="4"/>
        <v>41.687856736107143</v>
      </c>
      <c r="L18" s="25">
        <f t="shared" si="4"/>
        <v>2.7791904490738095</v>
      </c>
      <c r="M18" s="10">
        <f t="shared" si="5"/>
        <v>15216.067708679107</v>
      </c>
      <c r="N18" s="10">
        <f t="shared" si="6"/>
        <v>1014.4045139119405</v>
      </c>
      <c r="O18" s="10"/>
      <c r="P18" s="10">
        <f t="shared" si="25"/>
        <v>1729.7099884141719</v>
      </c>
      <c r="Q18" s="10">
        <f t="shared" si="26"/>
        <v>3355.5789473684208</v>
      </c>
      <c r="R18" s="10">
        <f t="shared" si="27"/>
        <v>741.30428074893052</v>
      </c>
      <c r="S18" s="10">
        <f t="shared" si="26"/>
        <v>1438.1052631578946</v>
      </c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39">
        <f t="shared" si="7"/>
        <v>0.29999999999999988</v>
      </c>
      <c r="AE18" s="39">
        <f t="shared" si="7"/>
        <v>0.30000000000000004</v>
      </c>
      <c r="AF18" s="41">
        <f t="shared" si="8"/>
        <v>9.8744444444444444</v>
      </c>
      <c r="AG18" s="41">
        <f t="shared" si="9"/>
        <v>5.0900084466768805</v>
      </c>
      <c r="AH18" s="10"/>
      <c r="AI18" s="10"/>
      <c r="AJ18" s="10"/>
      <c r="AK18" s="10"/>
      <c r="AL18" s="10"/>
      <c r="AM18" s="10"/>
      <c r="AN18" s="10"/>
      <c r="AO18" s="10"/>
      <c r="AP18" s="10"/>
      <c r="AQ18" s="10">
        <f t="shared" si="10"/>
        <v>31841.860524576099</v>
      </c>
      <c r="AR18" s="10">
        <f t="shared" si="11"/>
        <v>11859.643026788934</v>
      </c>
      <c r="AS18" s="10">
        <f t="shared" si="12"/>
        <v>9859.0547831854201</v>
      </c>
      <c r="AT18" s="10">
        <f t="shared" si="13"/>
        <v>0</v>
      </c>
      <c r="AU18" s="10"/>
      <c r="AV18" s="39">
        <f t="shared" si="14"/>
        <v>0.59450202751220727</v>
      </c>
      <c r="AW18" s="39">
        <f t="shared" si="14"/>
        <v>0.22142493274082622</v>
      </c>
      <c r="AX18" s="39">
        <f t="shared" si="14"/>
        <v>0.18407303974696643</v>
      </c>
      <c r="AY18" s="39">
        <f t="shared" si="14"/>
        <v>0</v>
      </c>
      <c r="AZ18" s="10"/>
      <c r="BA18" s="36">
        <f t="shared" si="15"/>
        <v>-672.20828067173318</v>
      </c>
      <c r="BB18" s="10"/>
      <c r="BC18" s="36">
        <f t="shared" si="16"/>
        <v>-452.29915517863776</v>
      </c>
      <c r="BD18" s="36">
        <f t="shared" si="17"/>
        <v>-30.153277011909182</v>
      </c>
      <c r="BE18" s="36">
        <f t="shared" si="18"/>
        <v>0</v>
      </c>
      <c r="BF18" s="36">
        <f t="shared" si="19"/>
        <v>0</v>
      </c>
      <c r="BG18" s="10"/>
      <c r="BH18" s="1">
        <f t="shared" si="1"/>
        <v>4686.5488542731655</v>
      </c>
      <c r="BI18" s="3">
        <f t="shared" si="2"/>
        <v>10690.382446682981</v>
      </c>
      <c r="BJ18" s="3">
        <f t="shared" si="20"/>
        <v>67111.578947368413</v>
      </c>
      <c r="BK18" s="3">
        <f t="shared" si="21"/>
        <v>12619.590122477335</v>
      </c>
      <c r="BL18" s="23">
        <f t="shared" si="22"/>
        <v>-7125.4077751203713</v>
      </c>
      <c r="BM18" s="23">
        <f t="shared" si="23"/>
        <v>-687.49471587152937</v>
      </c>
      <c r="BN18" s="23">
        <f t="shared" si="3"/>
        <v>0</v>
      </c>
      <c r="BO18" s="10"/>
      <c r="BP18" s="23">
        <f t="shared" si="24"/>
        <v>87295.197879810003</v>
      </c>
      <c r="BQ18" s="7"/>
    </row>
    <row r="19" spans="1:69">
      <c r="A19">
        <v>2029</v>
      </c>
      <c r="K19" s="10">
        <f t="shared" si="4"/>
        <v>42.971807060840447</v>
      </c>
      <c r="L19" s="25">
        <f t="shared" si="4"/>
        <v>2.8647871373893632</v>
      </c>
      <c r="M19" s="10">
        <f t="shared" si="5"/>
        <v>15684.709577206762</v>
      </c>
      <c r="N19" s="10">
        <f t="shared" si="6"/>
        <v>1045.6473051471175</v>
      </c>
      <c r="O19" s="10"/>
      <c r="P19" s="10">
        <f t="shared" si="25"/>
        <v>1764.3041881824554</v>
      </c>
      <c r="Q19" s="10">
        <f t="shared" si="26"/>
        <v>3486.5526315789471</v>
      </c>
      <c r="R19" s="10">
        <f t="shared" si="27"/>
        <v>756.13036636390916</v>
      </c>
      <c r="S19" s="10">
        <f t="shared" si="26"/>
        <v>1494.2368421052631</v>
      </c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39">
        <f t="shared" si="7"/>
        <v>0.29999999999999988</v>
      </c>
      <c r="AE19" s="39">
        <f t="shared" si="7"/>
        <v>0.30000000000000004</v>
      </c>
      <c r="AF19" s="41">
        <f t="shared" si="8"/>
        <v>9.8744444444444444</v>
      </c>
      <c r="AG19" s="41">
        <f t="shared" si="9"/>
        <v>4.9967763376107888</v>
      </c>
      <c r="AH19" s="10"/>
      <c r="AI19" s="10"/>
      <c r="AJ19" s="10"/>
      <c r="AK19" s="10"/>
      <c r="AL19" s="10"/>
      <c r="AM19" s="10"/>
      <c r="AN19" s="10"/>
      <c r="AO19" s="10"/>
      <c r="AP19" s="10"/>
      <c r="AQ19" s="10">
        <f t="shared" si="10"/>
        <v>32478.697735067646</v>
      </c>
      <c r="AR19" s="10">
        <f t="shared" si="11"/>
        <v>12355.933571535239</v>
      </c>
      <c r="AS19" s="10">
        <f t="shared" si="12"/>
        <v>10375.546405164914</v>
      </c>
      <c r="AT19" s="10">
        <f t="shared" si="13"/>
        <v>0</v>
      </c>
      <c r="AU19" s="10"/>
      <c r="AV19" s="39">
        <f t="shared" si="14"/>
        <v>0.58827374011775657</v>
      </c>
      <c r="AW19" s="39">
        <f t="shared" si="14"/>
        <v>0.22379811266033342</v>
      </c>
      <c r="AX19" s="39">
        <f t="shared" si="14"/>
        <v>0.18792814722191001</v>
      </c>
      <c r="AY19" s="39">
        <f t="shared" si="14"/>
        <v>0</v>
      </c>
      <c r="AZ19" s="10"/>
      <c r="BA19" s="36">
        <f t="shared" si="15"/>
        <v>-707.42361853397153</v>
      </c>
      <c r="BB19" s="10"/>
      <c r="BC19" s="36">
        <f t="shared" si="16"/>
        <v>-461.34513828221088</v>
      </c>
      <c r="BD19" s="36">
        <f t="shared" si="17"/>
        <v>-30.756342552147395</v>
      </c>
      <c r="BE19" s="36">
        <f t="shared" si="18"/>
        <v>0</v>
      </c>
      <c r="BF19" s="36">
        <f t="shared" si="19"/>
        <v>0</v>
      </c>
      <c r="BG19" s="10"/>
      <c r="BH19" s="1">
        <f t="shared" si="1"/>
        <v>4830.8905497796832</v>
      </c>
      <c r="BI19" s="3">
        <f t="shared" si="2"/>
        <v>11137.742937721905</v>
      </c>
      <c r="BJ19" s="3">
        <f t="shared" si="20"/>
        <v>69731.052631578947</v>
      </c>
      <c r="BK19" s="3">
        <f t="shared" si="21"/>
        <v>13280.699398611092</v>
      </c>
      <c r="BL19" s="23">
        <f t="shared" si="22"/>
        <v>-7498.690356460098</v>
      </c>
      <c r="BM19" s="23">
        <f t="shared" si="23"/>
        <v>-701.24461018896056</v>
      </c>
      <c r="BN19" s="23">
        <f t="shared" si="3"/>
        <v>0</v>
      </c>
      <c r="BO19" s="10"/>
      <c r="BP19" s="23">
        <f t="shared" si="24"/>
        <v>90780.450551042566</v>
      </c>
      <c r="BQ19" s="7"/>
    </row>
    <row r="20" spans="1:69">
      <c r="A20">
        <v>2030</v>
      </c>
      <c r="K20" s="10">
        <f t="shared" si="4"/>
        <v>44.262970523942251</v>
      </c>
      <c r="L20" s="25">
        <f t="shared" si="4"/>
        <v>2.9508647015961507</v>
      </c>
      <c r="M20" s="10">
        <f t="shared" si="5"/>
        <v>16155.984241238923</v>
      </c>
      <c r="N20" s="10">
        <f t="shared" si="6"/>
        <v>1077.0656160825949</v>
      </c>
      <c r="O20" s="10"/>
      <c r="P20" s="10">
        <f t="shared" si="25"/>
        <v>1799.5902719461046</v>
      </c>
      <c r="Q20" s="10">
        <f t="shared" si="26"/>
        <v>3617.5263157894733</v>
      </c>
      <c r="R20" s="10">
        <f t="shared" si="27"/>
        <v>771.25297369118732</v>
      </c>
      <c r="S20" s="10">
        <f t="shared" si="26"/>
        <v>1550.3684210526317</v>
      </c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39">
        <f t="shared" si="7"/>
        <v>0.29999999999999988</v>
      </c>
      <c r="AE20" s="39">
        <f t="shared" si="7"/>
        <v>0.30000000000000004</v>
      </c>
      <c r="AF20" s="41">
        <f t="shared" si="8"/>
        <v>9.8744444444444444</v>
      </c>
      <c r="AG20" s="41">
        <f t="shared" si="9"/>
        <v>4.9121837996129214</v>
      </c>
      <c r="AH20" s="10"/>
      <c r="AI20" s="10"/>
      <c r="AJ20" s="10"/>
      <c r="AK20" s="10"/>
      <c r="AL20" s="10"/>
      <c r="AM20" s="10"/>
      <c r="AN20" s="10"/>
      <c r="AO20" s="10"/>
      <c r="AP20" s="10"/>
      <c r="AQ20" s="10">
        <f t="shared" si="10"/>
        <v>33128.271689768953</v>
      </c>
      <c r="AR20" s="10">
        <f t="shared" si="11"/>
        <v>12851.5223482291</v>
      </c>
      <c r="AS20" s="10">
        <f t="shared" si="12"/>
        <v>10889.270491162948</v>
      </c>
      <c r="AT20" s="10">
        <f t="shared" si="13"/>
        <v>0</v>
      </c>
      <c r="AU20" s="10"/>
      <c r="AV20" s="39">
        <f t="shared" si="14"/>
        <v>0.58253590003720956</v>
      </c>
      <c r="AW20" s="39">
        <f t="shared" si="14"/>
        <v>0.22598441621347873</v>
      </c>
      <c r="AX20" s="39">
        <f t="shared" si="14"/>
        <v>0.19147968374931168</v>
      </c>
      <c r="AY20" s="39">
        <f t="shared" si="14"/>
        <v>0</v>
      </c>
      <c r="AZ20" s="10"/>
      <c r="BA20" s="36">
        <f t="shared" si="15"/>
        <v>-742.45026076111026</v>
      </c>
      <c r="BB20" s="10"/>
      <c r="BC20" s="36">
        <f t="shared" si="16"/>
        <v>-470.5720410478545</v>
      </c>
      <c r="BD20" s="36">
        <f t="shared" si="17"/>
        <v>-31.371469403190304</v>
      </c>
      <c r="BE20" s="36">
        <f t="shared" si="18"/>
        <v>0</v>
      </c>
      <c r="BF20" s="36">
        <f t="shared" si="19"/>
        <v>0</v>
      </c>
      <c r="BG20" s="10"/>
      <c r="BH20" s="1">
        <f t="shared" si="1"/>
        <v>4976.0431463015893</v>
      </c>
      <c r="BI20" s="3">
        <f t="shared" si="2"/>
        <v>11584.470849107922</v>
      </c>
      <c r="BJ20" s="3">
        <f t="shared" si="20"/>
        <v>72350.526315789466</v>
      </c>
      <c r="BK20" s="3">
        <f t="shared" si="21"/>
        <v>13938.266228688573</v>
      </c>
      <c r="BL20" s="23">
        <f t="shared" si="22"/>
        <v>-7869.9727640677684</v>
      </c>
      <c r="BM20" s="23">
        <f t="shared" si="23"/>
        <v>-715.2695023927389</v>
      </c>
      <c r="BN20" s="23">
        <f t="shared" si="3"/>
        <v>0</v>
      </c>
      <c r="BO20" s="10"/>
      <c r="BP20" s="23">
        <f t="shared" si="24"/>
        <v>94264.064273427037</v>
      </c>
      <c r="BQ20" s="7"/>
    </row>
    <row r="21" spans="1:69">
      <c r="A21">
        <v>2031</v>
      </c>
      <c r="K21" s="10">
        <f t="shared" si="4"/>
        <v>45.561491388180031</v>
      </c>
      <c r="L21" s="25">
        <f t="shared" si="4"/>
        <v>3.0374327592120021</v>
      </c>
      <c r="M21" s="10">
        <f t="shared" si="5"/>
        <v>16629.944356685712</v>
      </c>
      <c r="N21" s="10">
        <f t="shared" si="6"/>
        <v>1108.6629571123808</v>
      </c>
      <c r="O21" s="10"/>
      <c r="P21" s="10">
        <f t="shared" si="25"/>
        <v>1835.5820773850267</v>
      </c>
      <c r="Q21" s="10">
        <f>5355*0.7</f>
        <v>3748.4999999999995</v>
      </c>
      <c r="R21" s="10">
        <f t="shared" si="27"/>
        <v>786.67803316501113</v>
      </c>
      <c r="S21" s="10">
        <f>5355*0.3</f>
        <v>1606.5</v>
      </c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39">
        <f t="shared" si="7"/>
        <v>0.29999999999999988</v>
      </c>
      <c r="AE21" s="39">
        <f t="shared" si="7"/>
        <v>0.3</v>
      </c>
      <c r="AF21" s="41">
        <f t="shared" si="8"/>
        <v>9.8744444444444444</v>
      </c>
      <c r="AG21" s="41">
        <f t="shared" si="9"/>
        <v>4.835361677032509</v>
      </c>
      <c r="AH21" s="10"/>
      <c r="AI21" s="10"/>
      <c r="AJ21" s="10"/>
      <c r="AK21" s="10"/>
      <c r="AL21" s="10"/>
      <c r="AM21" s="10"/>
      <c r="AN21" s="10"/>
      <c r="AO21" s="10"/>
      <c r="AP21" s="10"/>
      <c r="AQ21" s="10">
        <f t="shared" si="10"/>
        <v>33790.837123564328</v>
      </c>
      <c r="AR21" s="10">
        <f t="shared" si="11"/>
        <v>13346.395321509473</v>
      </c>
      <c r="AS21" s="10">
        <f t="shared" si="12"/>
        <v>11400.171690459894</v>
      </c>
      <c r="AT21" s="10">
        <f t="shared" si="13"/>
        <v>0</v>
      </c>
      <c r="AU21" s="10"/>
      <c r="AV21" s="39">
        <f t="shared" si="14"/>
        <v>0.57725205998761442</v>
      </c>
      <c r="AW21" s="39">
        <f t="shared" si="14"/>
        <v>0.22799773099962031</v>
      </c>
      <c r="AX21" s="39">
        <f t="shared" si="14"/>
        <v>0.19475020901276521</v>
      </c>
      <c r="AY21" s="39">
        <f t="shared" si="14"/>
        <v>0</v>
      </c>
      <c r="AZ21" s="10"/>
      <c r="BA21" s="36">
        <f t="shared" si="15"/>
        <v>-777.2844334404474</v>
      </c>
      <c r="BB21" s="10"/>
      <c r="BC21" s="36">
        <f t="shared" si="16"/>
        <v>-479.98348186881151</v>
      </c>
      <c r="BD21" s="36">
        <f t="shared" si="17"/>
        <v>-31.998898791254099</v>
      </c>
      <c r="BE21" s="36">
        <f t="shared" si="18"/>
        <v>0</v>
      </c>
      <c r="BF21" s="36">
        <f t="shared" si="19"/>
        <v>0</v>
      </c>
      <c r="BG21" s="10"/>
      <c r="BH21" s="1">
        <f t="shared" si="1"/>
        <v>5122.0228618592</v>
      </c>
      <c r="BI21" s="3">
        <f t="shared" si="2"/>
        <v>12030.553529247976</v>
      </c>
      <c r="BJ21" s="3">
        <f t="shared" si="20"/>
        <v>74970</v>
      </c>
      <c r="BK21" s="3">
        <f t="shared" si="21"/>
        <v>14592.219763788662</v>
      </c>
      <c r="BL21" s="23">
        <f t="shared" si="22"/>
        <v>-8239.2149944687426</v>
      </c>
      <c r="BM21" s="23">
        <f t="shared" si="23"/>
        <v>-729.57489244059354</v>
      </c>
      <c r="BN21" s="23">
        <f t="shared" si="3"/>
        <v>0</v>
      </c>
      <c r="BO21" s="10"/>
      <c r="BP21" s="23">
        <f t="shared" si="24"/>
        <v>97746.006267986493</v>
      </c>
      <c r="BQ21" s="7"/>
    </row>
  </sheetData>
  <pageMargins left="0.7" right="0.7" top="0.75" bottom="0.75" header="0.3" footer="0.3"/>
  <pageSetup scale="33" fitToWidth="2" orientation="landscape" r:id="rId1"/>
  <headerFooter>
    <oddFooter>&amp;L&amp;A&amp;CPage &amp;P of &amp;N&amp;R&amp;D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1"/>
  <sheetViews>
    <sheetView zoomScaleNormal="100" workbookViewId="0"/>
  </sheetViews>
  <sheetFormatPr defaultRowHeight="15"/>
  <cols>
    <col min="2" max="2" width="6.7109375" style="2" bestFit="1" customWidth="1"/>
    <col min="3" max="3" width="6.85546875" style="2" bestFit="1" customWidth="1"/>
    <col min="4" max="5" width="6.7109375" style="2" bestFit="1" customWidth="1"/>
    <col min="6" max="6" width="7" style="2" bestFit="1" customWidth="1"/>
    <col min="7" max="7" width="6.85546875" style="2" bestFit="1" customWidth="1"/>
    <col min="8" max="8" width="7" style="2" bestFit="1" customWidth="1"/>
    <col min="9" max="10" width="6.85546875" style="2" bestFit="1" customWidth="1"/>
    <col min="11" max="11" width="7.140625" style="2" bestFit="1" customWidth="1"/>
    <col min="12" max="12" width="10.140625" style="2" bestFit="1" customWidth="1"/>
    <col min="13" max="14" width="8.5703125" style="2" bestFit="1" customWidth="1"/>
    <col min="15" max="16" width="7.5703125" style="2" bestFit="1" customWidth="1"/>
    <col min="17" max="17" width="10.7109375" style="2" customWidth="1"/>
    <col min="18" max="18" width="10.140625" bestFit="1" customWidth="1"/>
    <col min="20" max="20" width="10.7109375" customWidth="1"/>
  </cols>
  <sheetData>
    <row r="1" spans="1:20" s="16" customFormat="1" ht="60">
      <c r="B1" s="22" t="s">
        <v>106</v>
      </c>
      <c r="C1" s="22" t="s">
        <v>107</v>
      </c>
      <c r="D1" s="22" t="s">
        <v>108</v>
      </c>
      <c r="E1" s="22" t="s">
        <v>109</v>
      </c>
      <c r="F1" s="22" t="s">
        <v>110</v>
      </c>
      <c r="G1" s="22" t="s">
        <v>111</v>
      </c>
      <c r="H1" s="22" t="s">
        <v>112</v>
      </c>
      <c r="I1" s="22" t="s">
        <v>113</v>
      </c>
      <c r="J1" s="22" t="s">
        <v>114</v>
      </c>
      <c r="K1" s="22" t="s">
        <v>115</v>
      </c>
      <c r="L1" s="22" t="s">
        <v>116</v>
      </c>
      <c r="M1" s="22" t="s">
        <v>117</v>
      </c>
      <c r="N1" s="22" t="s">
        <v>118</v>
      </c>
      <c r="O1" s="22" t="s">
        <v>119</v>
      </c>
      <c r="P1" s="22" t="s">
        <v>120</v>
      </c>
      <c r="Q1" s="21" t="s">
        <v>121</v>
      </c>
      <c r="R1" s="22" t="s">
        <v>122</v>
      </c>
      <c r="S1" s="22" t="s">
        <v>123</v>
      </c>
      <c r="T1" s="21" t="s">
        <v>1</v>
      </c>
    </row>
    <row r="2" spans="1:20">
      <c r="A2">
        <v>2012</v>
      </c>
      <c r="B2" s="2">
        <v>0</v>
      </c>
      <c r="C2" s="2">
        <v>0.2</v>
      </c>
      <c r="D2" s="2">
        <v>0</v>
      </c>
      <c r="E2" s="2">
        <v>0</v>
      </c>
      <c r="F2" s="2">
        <v>2</v>
      </c>
      <c r="G2" s="2">
        <v>0</v>
      </c>
      <c r="H2" s="2">
        <v>0.18</v>
      </c>
      <c r="I2" s="2">
        <v>0</v>
      </c>
      <c r="J2" s="2">
        <v>0</v>
      </c>
      <c r="K2" s="2">
        <v>1.5</v>
      </c>
      <c r="L2" s="3">
        <v>7100000</v>
      </c>
      <c r="M2" s="3">
        <v>415000</v>
      </c>
      <c r="N2" s="3">
        <v>137000</v>
      </c>
      <c r="O2" s="3">
        <v>91000</v>
      </c>
      <c r="P2" s="3">
        <v>12000</v>
      </c>
      <c r="Q2" s="39">
        <v>0.02</v>
      </c>
      <c r="R2" s="1">
        <f>SUMPRODUCT($B$2:$F$2,$L$2:$P$2)*(1+$Q$2)^($A2-2010)</f>
        <v>111322.8</v>
      </c>
      <c r="S2" s="1">
        <f>SUMPRODUCT($G$2:$K$2,$L$2:$P$2)*(1+$Q$2)^($A2-2010)</f>
        <v>96445.08</v>
      </c>
      <c r="T2" s="1">
        <f>R2-S2</f>
        <v>14877.720000000001</v>
      </c>
    </row>
    <row r="3" spans="1:20">
      <c r="A3">
        <v>2013</v>
      </c>
      <c r="R3" s="1">
        <f t="shared" ref="R3:R21" si="0">SUMPRODUCT($B$2:$F$2,$L$2:$P$2)*(1+$Q$2)^($A3-2010)</f>
        <v>113549.25599999999</v>
      </c>
      <c r="S3" s="1">
        <f t="shared" ref="S3:S21" si="1">SUMPRODUCT($G$2:$K$2,$L$2:$P$2)*(1+$Q$2)^($A3-2010)</f>
        <v>98373.981599999999</v>
      </c>
      <c r="T3" s="1">
        <f t="shared" ref="T3:T21" si="2">R3-S3</f>
        <v>15175.274399999995</v>
      </c>
    </row>
    <row r="4" spans="1:20">
      <c r="A4">
        <v>2014</v>
      </c>
      <c r="R4" s="1">
        <f t="shared" si="0"/>
        <v>115820.24111999999</v>
      </c>
      <c r="S4" s="1">
        <f t="shared" si="1"/>
        <v>100341.461232</v>
      </c>
      <c r="T4" s="1">
        <f t="shared" si="2"/>
        <v>15478.77988799999</v>
      </c>
    </row>
    <row r="5" spans="1:20">
      <c r="A5">
        <v>2015</v>
      </c>
      <c r="R5" s="1">
        <f t="shared" si="0"/>
        <v>118136.64594240001</v>
      </c>
      <c r="S5" s="1">
        <f t="shared" si="1"/>
        <v>102348.29045664</v>
      </c>
      <c r="T5" s="1">
        <f t="shared" si="2"/>
        <v>15788.35548576001</v>
      </c>
    </row>
    <row r="6" spans="1:20">
      <c r="A6">
        <v>2016</v>
      </c>
      <c r="R6" s="1">
        <f t="shared" si="0"/>
        <v>120499.37886124801</v>
      </c>
      <c r="S6" s="1">
        <f t="shared" si="1"/>
        <v>104395.25626577281</v>
      </c>
      <c r="T6" s="1">
        <f t="shared" si="2"/>
        <v>16104.122595475201</v>
      </c>
    </row>
    <row r="7" spans="1:20">
      <c r="A7">
        <v>2017</v>
      </c>
      <c r="R7" s="1">
        <f t="shared" si="0"/>
        <v>122909.36643847293</v>
      </c>
      <c r="S7" s="1">
        <f t="shared" si="1"/>
        <v>106483.16139108824</v>
      </c>
      <c r="T7" s="1">
        <f t="shared" si="2"/>
        <v>16426.20504738469</v>
      </c>
    </row>
    <row r="8" spans="1:20">
      <c r="A8">
        <v>2018</v>
      </c>
      <c r="R8" s="1">
        <f t="shared" si="0"/>
        <v>125367.55376724241</v>
      </c>
      <c r="S8" s="1">
        <f t="shared" si="1"/>
        <v>108612.82461891002</v>
      </c>
      <c r="T8" s="1">
        <f t="shared" si="2"/>
        <v>16754.729148332393</v>
      </c>
    </row>
    <row r="9" spans="1:20">
      <c r="A9">
        <v>2019</v>
      </c>
      <c r="R9" s="1">
        <f t="shared" si="0"/>
        <v>127874.90484258726</v>
      </c>
      <c r="S9" s="1">
        <f t="shared" si="1"/>
        <v>110785.08111128821</v>
      </c>
      <c r="T9" s="1">
        <f t="shared" si="2"/>
        <v>17089.823731299053</v>
      </c>
    </row>
    <row r="10" spans="1:20">
      <c r="A10">
        <v>2020</v>
      </c>
      <c r="R10" s="1">
        <f t="shared" si="0"/>
        <v>130432.40293943901</v>
      </c>
      <c r="S10" s="1">
        <f t="shared" si="1"/>
        <v>113000.78273351399</v>
      </c>
      <c r="T10" s="1">
        <f t="shared" si="2"/>
        <v>17431.620205925021</v>
      </c>
    </row>
    <row r="11" spans="1:20">
      <c r="A11">
        <v>2021</v>
      </c>
      <c r="R11" s="1">
        <f t="shared" si="0"/>
        <v>133041.05099822776</v>
      </c>
      <c r="S11" s="1">
        <f t="shared" si="1"/>
        <v>115260.79838818424</v>
      </c>
      <c r="T11" s="1">
        <f t="shared" si="2"/>
        <v>17780.252610043521</v>
      </c>
    </row>
    <row r="12" spans="1:20">
      <c r="A12">
        <v>2022</v>
      </c>
      <c r="R12" s="1">
        <f t="shared" si="0"/>
        <v>135701.87201819234</v>
      </c>
      <c r="S12" s="1">
        <f t="shared" si="1"/>
        <v>117566.01435594795</v>
      </c>
      <c r="T12" s="1">
        <f t="shared" si="2"/>
        <v>18135.857662244394</v>
      </c>
    </row>
    <row r="13" spans="1:20">
      <c r="A13">
        <v>2023</v>
      </c>
      <c r="R13" s="1">
        <f t="shared" si="0"/>
        <v>138415.90945855618</v>
      </c>
      <c r="S13" s="1">
        <f t="shared" si="1"/>
        <v>119917.3346430669</v>
      </c>
      <c r="T13" s="1">
        <f t="shared" si="2"/>
        <v>18498.574815489279</v>
      </c>
    </row>
    <row r="14" spans="1:20">
      <c r="A14">
        <v>2024</v>
      </c>
      <c r="R14" s="1">
        <f t="shared" si="0"/>
        <v>141184.22764772733</v>
      </c>
      <c r="S14" s="1">
        <f t="shared" si="1"/>
        <v>122315.68133592825</v>
      </c>
      <c r="T14" s="1">
        <f t="shared" si="2"/>
        <v>18868.546311799073</v>
      </c>
    </row>
    <row r="15" spans="1:20">
      <c r="A15">
        <v>2025</v>
      </c>
      <c r="R15" s="1">
        <f t="shared" si="0"/>
        <v>144007.91220068184</v>
      </c>
      <c r="S15" s="1">
        <f t="shared" si="1"/>
        <v>124761.99496264679</v>
      </c>
      <c r="T15" s="1">
        <f t="shared" si="2"/>
        <v>19245.91723803505</v>
      </c>
    </row>
    <row r="16" spans="1:20">
      <c r="A16">
        <v>2026</v>
      </c>
      <c r="R16" s="1">
        <f t="shared" si="0"/>
        <v>146888.07044469548</v>
      </c>
      <c r="S16" s="1">
        <f t="shared" si="1"/>
        <v>127257.23486189973</v>
      </c>
      <c r="T16" s="1">
        <f t="shared" si="2"/>
        <v>19630.835582795742</v>
      </c>
    </row>
    <row r="17" spans="1:20">
      <c r="A17">
        <v>2027</v>
      </c>
      <c r="R17" s="1">
        <f t="shared" si="0"/>
        <v>149825.83185358942</v>
      </c>
      <c r="S17" s="1">
        <f t="shared" si="1"/>
        <v>129802.37955913774</v>
      </c>
      <c r="T17" s="1">
        <f t="shared" si="2"/>
        <v>20023.452294451679</v>
      </c>
    </row>
    <row r="18" spans="1:20">
      <c r="A18">
        <v>2028</v>
      </c>
      <c r="R18" s="1">
        <f t="shared" si="0"/>
        <v>152822.34849066118</v>
      </c>
      <c r="S18" s="1">
        <f t="shared" si="1"/>
        <v>132398.42715032049</v>
      </c>
      <c r="T18" s="1">
        <f t="shared" si="2"/>
        <v>20423.92134034069</v>
      </c>
    </row>
    <row r="19" spans="1:20">
      <c r="A19">
        <v>2029</v>
      </c>
      <c r="R19" s="1">
        <f t="shared" si="0"/>
        <v>155878.79546047439</v>
      </c>
      <c r="S19" s="1">
        <f t="shared" si="1"/>
        <v>135046.39569332689</v>
      </c>
      <c r="T19" s="1">
        <f t="shared" si="2"/>
        <v>20832.399767147494</v>
      </c>
    </row>
    <row r="20" spans="1:20">
      <c r="A20">
        <v>2030</v>
      </c>
      <c r="R20" s="1">
        <f t="shared" si="0"/>
        <v>158996.37136968391</v>
      </c>
      <c r="S20" s="1">
        <f t="shared" si="1"/>
        <v>137747.32360719345</v>
      </c>
      <c r="T20" s="1">
        <f t="shared" si="2"/>
        <v>21249.04776249046</v>
      </c>
    </row>
    <row r="21" spans="1:20">
      <c r="A21">
        <v>2031</v>
      </c>
      <c r="R21" s="1">
        <f t="shared" si="0"/>
        <v>162176.29879707756</v>
      </c>
      <c r="S21" s="1">
        <f t="shared" si="1"/>
        <v>140502.27007933729</v>
      </c>
      <c r="T21" s="1">
        <f t="shared" si="2"/>
        <v>21674.028717740264</v>
      </c>
    </row>
  </sheetData>
  <pageMargins left="0.7" right="0.7" top="0.75" bottom="0.75" header="0.3" footer="0.3"/>
  <pageSetup scale="76" orientation="landscape" r:id="rId1"/>
  <headerFooter>
    <oddFooter>&amp;L&amp;A&amp;CPage 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check</vt:lpstr>
      <vt:lpstr>notes</vt:lpstr>
      <vt:lpstr>costs</vt:lpstr>
      <vt:lpstr>costDetail</vt:lpstr>
      <vt:lpstr>benefits &amp; sum</vt:lpstr>
      <vt:lpstr>modeDetail</vt:lpstr>
      <vt:lpstr>safetyDetail</vt:lpstr>
    </vt:vector>
  </TitlesOfParts>
  <Company>MNDOT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wils1joh</dc:creator>
  <cp:lastModifiedBy>wils1joh</cp:lastModifiedBy>
  <cp:lastPrinted>2010-07-30T20:01:25Z</cp:lastPrinted>
  <dcterms:created xsi:type="dcterms:W3CDTF">2010-07-26T16:29:06Z</dcterms:created>
  <dcterms:modified xsi:type="dcterms:W3CDTF">2010-08-17T20:09:33Z</dcterms:modified>
</cp:coreProperties>
</file>