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6525" windowWidth="15420" windowHeight="1710" activeTab="6"/>
  </bookViews>
  <sheets>
    <sheet name="check" sheetId="6" r:id="rId1"/>
    <sheet name="notes" sheetId="7" r:id="rId2"/>
    <sheet name="costs" sheetId="1" r:id="rId3"/>
    <sheet name="benefits &amp; sum" sheetId="2" r:id="rId4"/>
    <sheet name="ma" sheetId="12" r:id="rId5"/>
    <sheet name="r22" sheetId="13" r:id="rId6"/>
    <sheet name="tf" sheetId="14" r:id="rId7"/>
  </sheets>
  <calcPr calcId="125725"/>
</workbook>
</file>

<file path=xl/calcChain.xml><?xml version="1.0" encoding="utf-8"?>
<calcChain xmlns="http://schemas.openxmlformats.org/spreadsheetml/2006/main">
  <c r="AE2" i="13"/>
  <c r="C3" i="2"/>
  <c r="C4"/>
  <c r="C5"/>
  <c r="C6"/>
  <c r="C7"/>
  <c r="C8"/>
  <c r="C9"/>
  <c r="C10"/>
  <c r="C11"/>
  <c r="C12"/>
  <c r="C13"/>
  <c r="C14"/>
  <c r="C15"/>
  <c r="C16"/>
  <c r="C17"/>
  <c r="C18"/>
  <c r="C19"/>
  <c r="C20"/>
  <c r="C21"/>
  <c r="C2"/>
  <c r="AE3" i="13"/>
  <c r="AE4"/>
  <c r="AE5"/>
  <c r="AE6"/>
  <c r="AE7"/>
  <c r="AE8"/>
  <c r="AE9"/>
  <c r="AE10"/>
  <c r="AE11"/>
  <c r="AE12"/>
  <c r="AE13"/>
  <c r="AE14"/>
  <c r="AE15"/>
  <c r="AE16"/>
  <c r="AE17"/>
  <c r="AE18"/>
  <c r="AE19"/>
  <c r="AE20"/>
  <c r="AE21"/>
  <c r="AA3"/>
  <c r="AB3"/>
  <c r="AA4"/>
  <c r="AB4"/>
  <c r="AA5"/>
  <c r="AB5"/>
  <c r="AA6"/>
  <c r="AB6"/>
  <c r="AA7"/>
  <c r="AB7"/>
  <c r="AA8"/>
  <c r="AB8"/>
  <c r="AA9"/>
  <c r="AB9"/>
  <c r="AA10"/>
  <c r="AB10"/>
  <c r="AA11"/>
  <c r="AB11"/>
  <c r="AA12"/>
  <c r="AB12"/>
  <c r="AA13"/>
  <c r="AB13"/>
  <c r="AA14"/>
  <c r="AB14"/>
  <c r="AA15"/>
  <c r="AB15"/>
  <c r="AA16"/>
  <c r="AB16"/>
  <c r="AA17"/>
  <c r="AB17"/>
  <c r="AA18"/>
  <c r="AB18"/>
  <c r="AA19"/>
  <c r="AB19"/>
  <c r="AA20"/>
  <c r="AB20"/>
  <c r="AA21"/>
  <c r="AB21"/>
  <c r="AB2"/>
  <c r="AA2"/>
  <c r="AC20"/>
  <c r="AC19"/>
  <c r="AC18"/>
  <c r="AC17"/>
  <c r="AC16"/>
  <c r="AC15"/>
  <c r="AC14"/>
  <c r="AC13"/>
  <c r="AC12"/>
  <c r="AC11"/>
  <c r="AC10"/>
  <c r="AC9"/>
  <c r="AC8"/>
  <c r="AC7"/>
  <c r="AC6"/>
  <c r="AC5"/>
  <c r="AC4"/>
  <c r="AC3"/>
  <c r="AC2" l="1"/>
  <c r="AC21"/>
  <c r="K3" i="14"/>
  <c r="D3" i="2" s="1"/>
  <c r="K4" i="14"/>
  <c r="D4" i="2" s="1"/>
  <c r="K5" i="14"/>
  <c r="D5" i="2" s="1"/>
  <c r="K6" i="14"/>
  <c r="D6" i="2" s="1"/>
  <c r="K7" i="14"/>
  <c r="D7" i="2" s="1"/>
  <c r="K8" i="14"/>
  <c r="D8" i="2" s="1"/>
  <c r="K9" i="14"/>
  <c r="D9" i="2" s="1"/>
  <c r="K10" i="14"/>
  <c r="D10" i="2" s="1"/>
  <c r="K11" i="14"/>
  <c r="D11" i="2" s="1"/>
  <c r="K12" i="14"/>
  <c r="D12" i="2" s="1"/>
  <c r="K13" i="14"/>
  <c r="D13" i="2" s="1"/>
  <c r="K14" i="14"/>
  <c r="D14" i="2" s="1"/>
  <c r="K15" i="14"/>
  <c r="D15" i="2" s="1"/>
  <c r="K16" i="14"/>
  <c r="D16" i="2" s="1"/>
  <c r="K17" i="14"/>
  <c r="D17" i="2" s="1"/>
  <c r="K18" i="14"/>
  <c r="D18" i="2" s="1"/>
  <c r="K19" i="14"/>
  <c r="D19" i="2" s="1"/>
  <c r="K20" i="14"/>
  <c r="D20" i="2" s="1"/>
  <c r="K21" i="14"/>
  <c r="D21" i="2" s="1"/>
  <c r="K2" i="14"/>
  <c r="D2" i="2" s="1"/>
  <c r="H3" i="14"/>
  <c r="H4" s="1"/>
  <c r="H5" s="1"/>
  <c r="H6" s="1"/>
  <c r="H7" s="1"/>
  <c r="H8" s="1"/>
  <c r="H9" s="1"/>
  <c r="H10" s="1"/>
  <c r="H11" s="1"/>
  <c r="H12" s="1"/>
  <c r="H13" s="1"/>
  <c r="H14" s="1"/>
  <c r="H15" s="1"/>
  <c r="H16" s="1"/>
  <c r="H17" s="1"/>
  <c r="H18" s="1"/>
  <c r="H19" s="1"/>
  <c r="H20" s="1"/>
  <c r="H21" s="1"/>
  <c r="I3"/>
  <c r="I4" s="1"/>
  <c r="I5" s="1"/>
  <c r="I6" s="1"/>
  <c r="I7" s="1"/>
  <c r="I8" s="1"/>
  <c r="I9" s="1"/>
  <c r="I10" s="1"/>
  <c r="I11" s="1"/>
  <c r="I12" s="1"/>
  <c r="I13" s="1"/>
  <c r="I14" s="1"/>
  <c r="I15" s="1"/>
  <c r="I16" s="1"/>
  <c r="I17" s="1"/>
  <c r="I18" s="1"/>
  <c r="I19" s="1"/>
  <c r="I20" s="1"/>
  <c r="I21" s="1"/>
  <c r="G3"/>
  <c r="G4" s="1"/>
  <c r="G5" s="1"/>
  <c r="G6" s="1"/>
  <c r="G7" s="1"/>
  <c r="G8" s="1"/>
  <c r="G9" s="1"/>
  <c r="G10" s="1"/>
  <c r="G11" s="1"/>
  <c r="G12" s="1"/>
  <c r="G13" s="1"/>
  <c r="G14" s="1"/>
  <c r="G15" s="1"/>
  <c r="G16" s="1"/>
  <c r="G17" s="1"/>
  <c r="G18" s="1"/>
  <c r="G19" s="1"/>
  <c r="G20" s="1"/>
  <c r="G21" s="1"/>
  <c r="F3"/>
  <c r="F4" s="1"/>
  <c r="F5" s="1"/>
  <c r="F6" s="1"/>
  <c r="F7" s="1"/>
  <c r="F8" s="1"/>
  <c r="F9" s="1"/>
  <c r="F10" s="1"/>
  <c r="F11" s="1"/>
  <c r="F12" s="1"/>
  <c r="F13" s="1"/>
  <c r="F14" s="1"/>
  <c r="F15" s="1"/>
  <c r="F16" s="1"/>
  <c r="F17" s="1"/>
  <c r="F18" s="1"/>
  <c r="F19" s="1"/>
  <c r="F20" s="1"/>
  <c r="F21" s="1"/>
  <c r="BH3" i="12"/>
  <c r="BH4"/>
  <c r="BH5"/>
  <c r="BH6"/>
  <c r="BH7"/>
  <c r="BH8"/>
  <c r="BH9"/>
  <c r="BH10"/>
  <c r="BH11"/>
  <c r="BH12"/>
  <c r="BH13"/>
  <c r="BH14"/>
  <c r="BH15"/>
  <c r="BH16"/>
  <c r="BH17"/>
  <c r="BH18"/>
  <c r="BH19"/>
  <c r="BH20"/>
  <c r="BH21"/>
  <c r="BH2"/>
  <c r="F21" i="1"/>
  <c r="F4"/>
  <c r="F5"/>
  <c r="F6"/>
  <c r="F7"/>
  <c r="F8"/>
  <c r="F9"/>
  <c r="F10"/>
  <c r="F11"/>
  <c r="F12"/>
  <c r="F13"/>
  <c r="F14"/>
  <c r="F15"/>
  <c r="F16"/>
  <c r="F17"/>
  <c r="F18"/>
  <c r="F19"/>
  <c r="F20"/>
  <c r="F3"/>
  <c r="F2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"/>
  <c r="I3" i="13"/>
  <c r="I4"/>
  <c r="I5"/>
  <c r="I6"/>
  <c r="I7"/>
  <c r="I8"/>
  <c r="I9"/>
  <c r="I10"/>
  <c r="I11"/>
  <c r="I12"/>
  <c r="I13"/>
  <c r="I14"/>
  <c r="I15"/>
  <c r="I16"/>
  <c r="I17"/>
  <c r="I18"/>
  <c r="I19"/>
  <c r="I20"/>
  <c r="I21"/>
  <c r="I2"/>
  <c r="B2"/>
  <c r="F14" l="1"/>
  <c r="F15" s="1"/>
  <c r="F13"/>
  <c r="G13" s="1"/>
  <c r="G3"/>
  <c r="G4"/>
  <c r="G5"/>
  <c r="G6"/>
  <c r="G7"/>
  <c r="G8"/>
  <c r="G9"/>
  <c r="G10"/>
  <c r="G11"/>
  <c r="G12"/>
  <c r="G14"/>
  <c r="G2"/>
  <c r="F4"/>
  <c r="F5"/>
  <c r="F6"/>
  <c r="F7"/>
  <c r="F8"/>
  <c r="F9"/>
  <c r="F10"/>
  <c r="F11"/>
  <c r="F3"/>
  <c r="F16" l="1"/>
  <c r="G15"/>
  <c r="F17" l="1"/>
  <c r="G16"/>
  <c r="S3" i="12"/>
  <c r="S4"/>
  <c r="S5"/>
  <c r="S6"/>
  <c r="S7"/>
  <c r="S8"/>
  <c r="S9"/>
  <c r="S10"/>
  <c r="S11"/>
  <c r="S12"/>
  <c r="S13"/>
  <c r="S14"/>
  <c r="S15"/>
  <c r="S16"/>
  <c r="S17"/>
  <c r="S18"/>
  <c r="S19"/>
  <c r="S20"/>
  <c r="S21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R2"/>
  <c r="P2"/>
  <c r="B2"/>
  <c r="F18" i="13" l="1"/>
  <c r="G17"/>
  <c r="E21" i="1"/>
  <c r="E2"/>
  <c r="B2"/>
  <c r="B21"/>
  <c r="P3" i="12"/>
  <c r="P4" s="1"/>
  <c r="P5" s="1"/>
  <c r="P6" s="1"/>
  <c r="P7" s="1"/>
  <c r="P8" s="1"/>
  <c r="P9" s="1"/>
  <c r="P10" s="1"/>
  <c r="P11" s="1"/>
  <c r="P12" s="1"/>
  <c r="P13" s="1"/>
  <c r="P14" s="1"/>
  <c r="P15" s="1"/>
  <c r="P16" s="1"/>
  <c r="P17" s="1"/>
  <c r="P18" s="1"/>
  <c r="P19" s="1"/>
  <c r="P20" s="1"/>
  <c r="P21" s="1"/>
  <c r="S2"/>
  <c r="Q2"/>
  <c r="F19" i="13" l="1"/>
  <c r="G18"/>
  <c r="BI2" i="12"/>
  <c r="BI21"/>
  <c r="BG2"/>
  <c r="AE2"/>
  <c r="AQ2"/>
  <c r="AO2"/>
  <c r="AD2"/>
  <c r="R3"/>
  <c r="BI20"/>
  <c r="BI19"/>
  <c r="BI18"/>
  <c r="BI17"/>
  <c r="BI16"/>
  <c r="BI15"/>
  <c r="BI14"/>
  <c r="BI13"/>
  <c r="BI12"/>
  <c r="BI11"/>
  <c r="BI10"/>
  <c r="BI9"/>
  <c r="BI8"/>
  <c r="BI7"/>
  <c r="BI6"/>
  <c r="BI5"/>
  <c r="AP2"/>
  <c r="M2" s="1"/>
  <c r="BI3"/>
  <c r="BI4"/>
  <c r="AE21"/>
  <c r="F20" i="13" l="1"/>
  <c r="G19"/>
  <c r="N2" i="12"/>
  <c r="L2" s="1"/>
  <c r="K2"/>
  <c r="BF2"/>
  <c r="AR2"/>
  <c r="AW2" s="1"/>
  <c r="BD2" s="1"/>
  <c r="AP3"/>
  <c r="AQ3"/>
  <c r="AO3"/>
  <c r="R4"/>
  <c r="AD3"/>
  <c r="BG4"/>
  <c r="AE4"/>
  <c r="AE6"/>
  <c r="AE8"/>
  <c r="AE10"/>
  <c r="AE12"/>
  <c r="AE14"/>
  <c r="AE16"/>
  <c r="AE18"/>
  <c r="AE20"/>
  <c r="AV2"/>
  <c r="AY2" s="1"/>
  <c r="BJ2" s="1"/>
  <c r="AP4"/>
  <c r="AQ4"/>
  <c r="AO4"/>
  <c r="BG3"/>
  <c r="AE3"/>
  <c r="AR3" s="1"/>
  <c r="AE5"/>
  <c r="AE7"/>
  <c r="AE9"/>
  <c r="AE11"/>
  <c r="AE13"/>
  <c r="AE15"/>
  <c r="AE17"/>
  <c r="AE19"/>
  <c r="AU2"/>
  <c r="AT2"/>
  <c r="H3" i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"/>
  <c r="L1"/>
  <c r="M3" i="12" l="1"/>
  <c r="M4"/>
  <c r="F21" i="13"/>
  <c r="G21" s="1"/>
  <c r="G20"/>
  <c r="I4" i="1"/>
  <c r="AW3" i="12"/>
  <c r="BC3" s="1"/>
  <c r="BL3" s="1"/>
  <c r="BC2"/>
  <c r="BL2" s="1"/>
  <c r="AT3"/>
  <c r="BB2"/>
  <c r="BA2"/>
  <c r="BK2" s="1"/>
  <c r="R5"/>
  <c r="AD4"/>
  <c r="AR4" s="1"/>
  <c r="AV3"/>
  <c r="AU3"/>
  <c r="I21" i="1"/>
  <c r="I19"/>
  <c r="I17"/>
  <c r="I15"/>
  <c r="I13"/>
  <c r="I11"/>
  <c r="I9"/>
  <c r="I7"/>
  <c r="I5"/>
  <c r="I3"/>
  <c r="I2"/>
  <c r="I20"/>
  <c r="I18"/>
  <c r="I16"/>
  <c r="I14"/>
  <c r="I12"/>
  <c r="I10"/>
  <c r="I8"/>
  <c r="I6"/>
  <c r="N3" i="12" l="1"/>
  <c r="K3"/>
  <c r="BF3"/>
  <c r="BF4"/>
  <c r="N4"/>
  <c r="L4" s="1"/>
  <c r="K4"/>
  <c r="AY3"/>
  <c r="BJ3" s="1"/>
  <c r="BN2"/>
  <c r="B2" i="2" s="1"/>
  <c r="AW4" i="12"/>
  <c r="AU4"/>
  <c r="AT4"/>
  <c r="AV4"/>
  <c r="AY4" s="1"/>
  <c r="BJ4" s="1"/>
  <c r="R6"/>
  <c r="AD5"/>
  <c r="AP5"/>
  <c r="AQ5"/>
  <c r="BG5"/>
  <c r="AO5"/>
  <c r="AR5"/>
  <c r="BB3"/>
  <c r="BA3"/>
  <c r="BK3" s="1"/>
  <c r="I23" i="1"/>
  <c r="G24" i="2" s="1"/>
  <c r="M5" i="12" l="1"/>
  <c r="AW5"/>
  <c r="N5"/>
  <c r="L5" s="1"/>
  <c r="K5"/>
  <c r="BF5"/>
  <c r="L3"/>
  <c r="BD3"/>
  <c r="BN3"/>
  <c r="B3" i="2" s="1"/>
  <c r="BB4" i="12"/>
  <c r="BA4"/>
  <c r="BK4" s="1"/>
  <c r="BD4"/>
  <c r="BC4"/>
  <c r="BL4" s="1"/>
  <c r="AT5"/>
  <c r="AV5"/>
  <c r="AY5" s="1"/>
  <c r="BJ5" s="1"/>
  <c r="R7"/>
  <c r="AD6"/>
  <c r="AR6" s="1"/>
  <c r="AO6"/>
  <c r="BG6"/>
  <c r="AP6"/>
  <c r="AQ6"/>
  <c r="AU5"/>
  <c r="BN4"/>
  <c r="B4" i="2" s="1"/>
  <c r="BD5" i="12" l="1"/>
  <c r="M6"/>
  <c r="BC5"/>
  <c r="BL5" s="1"/>
  <c r="AW6"/>
  <c r="R8"/>
  <c r="AD7"/>
  <c r="AP7"/>
  <c r="AQ7"/>
  <c r="BG7"/>
  <c r="AO7"/>
  <c r="AR7"/>
  <c r="BA5"/>
  <c r="BK5" s="1"/>
  <c r="BB5"/>
  <c r="AV6"/>
  <c r="AU6"/>
  <c r="AT6"/>
  <c r="F2" i="2"/>
  <c r="G2" s="1"/>
  <c r="M7" i="12" l="1"/>
  <c r="K7" s="1"/>
  <c r="AW7"/>
  <c r="BF6"/>
  <c r="N6"/>
  <c r="K6"/>
  <c r="AY6"/>
  <c r="BJ6" s="1"/>
  <c r="BC6"/>
  <c r="BL6" s="1"/>
  <c r="R9"/>
  <c r="AD8"/>
  <c r="AO8"/>
  <c r="BG8"/>
  <c r="AP8"/>
  <c r="AQ8"/>
  <c r="AR8"/>
  <c r="BN5"/>
  <c r="B5" i="2" s="1"/>
  <c r="F5" s="1"/>
  <c r="G5" s="1"/>
  <c r="AU7" i="12"/>
  <c r="BA6"/>
  <c r="BK6" s="1"/>
  <c r="BB6"/>
  <c r="BC7"/>
  <c r="BL7" s="1"/>
  <c r="AT7"/>
  <c r="AV7"/>
  <c r="M8" l="1"/>
  <c r="N7"/>
  <c r="BF7"/>
  <c r="L6"/>
  <c r="BD6"/>
  <c r="BN6" s="1"/>
  <c r="B6" i="2" s="1"/>
  <c r="F6" s="1"/>
  <c r="G6" s="1"/>
  <c r="AW8" i="12"/>
  <c r="R10"/>
  <c r="AD9"/>
  <c r="AR9" s="1"/>
  <c r="AP9"/>
  <c r="M9" s="1"/>
  <c r="AQ9"/>
  <c r="BG9"/>
  <c r="AO9"/>
  <c r="AV8"/>
  <c r="BA7"/>
  <c r="BK7" s="1"/>
  <c r="BB7"/>
  <c r="BC8"/>
  <c r="BL8" s="1"/>
  <c r="AU8"/>
  <c r="AT8"/>
  <c r="F4" i="2"/>
  <c r="G4" s="1"/>
  <c r="F3"/>
  <c r="G3" s="1"/>
  <c r="L7" i="12" l="1"/>
  <c r="BD7"/>
  <c r="AY7"/>
  <c r="BJ7" s="1"/>
  <c r="BN7" s="1"/>
  <c r="B7" i="2" s="1"/>
  <c r="F7" s="1"/>
  <c r="G7" s="1"/>
  <c r="N9" i="12"/>
  <c r="BF8"/>
  <c r="N8"/>
  <c r="L8" s="1"/>
  <c r="K8"/>
  <c r="AY8"/>
  <c r="BJ8" s="1"/>
  <c r="AW9"/>
  <c r="BC9" s="1"/>
  <c r="BL9" s="1"/>
  <c r="AT9"/>
  <c r="AV9"/>
  <c r="BA8"/>
  <c r="BK8" s="1"/>
  <c r="BB8"/>
  <c r="R11"/>
  <c r="AD10"/>
  <c r="AR10" s="1"/>
  <c r="AO10"/>
  <c r="BG10"/>
  <c r="AP10"/>
  <c r="AQ10"/>
  <c r="AU9"/>
  <c r="M10" l="1"/>
  <c r="BF9"/>
  <c r="BD8"/>
  <c r="K9"/>
  <c r="L9"/>
  <c r="BD9"/>
  <c r="AY9"/>
  <c r="BJ9" s="1"/>
  <c r="AW10"/>
  <c r="R12"/>
  <c r="AD11"/>
  <c r="AP11"/>
  <c r="AQ11"/>
  <c r="BG11"/>
  <c r="AO11"/>
  <c r="AR11"/>
  <c r="BA9"/>
  <c r="BK9" s="1"/>
  <c r="BB9"/>
  <c r="AV10"/>
  <c r="BN8"/>
  <c r="B8" i="2" s="1"/>
  <c r="F8" s="1"/>
  <c r="G8" s="1"/>
  <c r="BC10" i="12"/>
  <c r="BL10" s="1"/>
  <c r="AU10"/>
  <c r="AT10"/>
  <c r="M11" l="1"/>
  <c r="BF10"/>
  <c r="N10"/>
  <c r="AY10" s="1"/>
  <c r="BJ10" s="1"/>
  <c r="K10"/>
  <c r="AW11"/>
  <c r="BA10"/>
  <c r="BK10" s="1"/>
  <c r="BB10"/>
  <c r="R13"/>
  <c r="AD12"/>
  <c r="AO12"/>
  <c r="BG12"/>
  <c r="AP12"/>
  <c r="AQ12"/>
  <c r="AR12"/>
  <c r="BN9"/>
  <c r="B9" i="2" s="1"/>
  <c r="F9" s="1"/>
  <c r="G9" s="1"/>
  <c r="AU11" i="12"/>
  <c r="BC11"/>
  <c r="BL11" s="1"/>
  <c r="AT11"/>
  <c r="AV11"/>
  <c r="M12" l="1"/>
  <c r="BF12" s="1"/>
  <c r="N11"/>
  <c r="AY11" s="1"/>
  <c r="BJ11" s="1"/>
  <c r="K11"/>
  <c r="BF11"/>
  <c r="L10"/>
  <c r="BD10"/>
  <c r="AW12"/>
  <c r="R14"/>
  <c r="AD13"/>
  <c r="AP13"/>
  <c r="AQ13"/>
  <c r="BG13"/>
  <c r="AO13"/>
  <c r="AR13"/>
  <c r="AV12"/>
  <c r="BN10"/>
  <c r="B10" i="2" s="1"/>
  <c r="F10" s="1"/>
  <c r="G10" s="1"/>
  <c r="BA11" i="12"/>
  <c r="BK11" s="1"/>
  <c r="BB11"/>
  <c r="BC12"/>
  <c r="BL12" s="1"/>
  <c r="AU12"/>
  <c r="AT12"/>
  <c r="N12" l="1"/>
  <c r="AY12" s="1"/>
  <c r="BJ12" s="1"/>
  <c r="M13"/>
  <c r="K12"/>
  <c r="L11"/>
  <c r="BD11"/>
  <c r="AW13"/>
  <c r="BN11"/>
  <c r="B11" i="2" s="1"/>
  <c r="F11" s="1"/>
  <c r="G11" s="1"/>
  <c r="BA12" i="12"/>
  <c r="BK12" s="1"/>
  <c r="BB12"/>
  <c r="R15"/>
  <c r="AD14"/>
  <c r="AR14" s="1"/>
  <c r="AO14"/>
  <c r="BG14"/>
  <c r="AP14"/>
  <c r="AQ14"/>
  <c r="AU13"/>
  <c r="BC13"/>
  <c r="BL13" s="1"/>
  <c r="AT13"/>
  <c r="AV13"/>
  <c r="L12" l="1"/>
  <c r="BD12"/>
  <c r="M14"/>
  <c r="N13"/>
  <c r="AY13" s="1"/>
  <c r="BJ13" s="1"/>
  <c r="K13"/>
  <c r="BF13"/>
  <c r="BN12"/>
  <c r="B12" i="2" s="1"/>
  <c r="F12" s="1"/>
  <c r="G12" s="1"/>
  <c r="AW14" i="12"/>
  <c r="BA13"/>
  <c r="BK13" s="1"/>
  <c r="BB13"/>
  <c r="R16"/>
  <c r="AD15"/>
  <c r="AR15" s="1"/>
  <c r="AP15"/>
  <c r="AQ15"/>
  <c r="BG15"/>
  <c r="AO15"/>
  <c r="AV14"/>
  <c r="AU14"/>
  <c r="AT14"/>
  <c r="M15" l="1"/>
  <c r="AW15"/>
  <c r="BC14"/>
  <c r="BL14" s="1"/>
  <c r="N15"/>
  <c r="BF14"/>
  <c r="N14"/>
  <c r="K14"/>
  <c r="L13"/>
  <c r="BD13"/>
  <c r="AY14"/>
  <c r="BJ14" s="1"/>
  <c r="BN13"/>
  <c r="B13" i="2" s="1"/>
  <c r="F13" s="1"/>
  <c r="G13" s="1"/>
  <c r="BC15" i="12"/>
  <c r="BL15" s="1"/>
  <c r="AT15"/>
  <c r="AV15"/>
  <c r="BA14"/>
  <c r="BK14" s="1"/>
  <c r="BB14"/>
  <c r="R17"/>
  <c r="AD16"/>
  <c r="AR16" s="1"/>
  <c r="AO16"/>
  <c r="BG16"/>
  <c r="AP16"/>
  <c r="AQ16"/>
  <c r="AU15"/>
  <c r="M16" l="1"/>
  <c r="BF15"/>
  <c r="K15"/>
  <c r="L15"/>
  <c r="BD15"/>
  <c r="AY15"/>
  <c r="BJ15" s="1"/>
  <c r="L14"/>
  <c r="BD14"/>
  <c r="AW16"/>
  <c r="R18"/>
  <c r="AD17"/>
  <c r="AP17"/>
  <c r="AQ17"/>
  <c r="BG17"/>
  <c r="AO17"/>
  <c r="AR17"/>
  <c r="BA15"/>
  <c r="BK15" s="1"/>
  <c r="BB15"/>
  <c r="AV16"/>
  <c r="BN14"/>
  <c r="B14" i="2" s="1"/>
  <c r="F14" s="1"/>
  <c r="G14" s="1"/>
  <c r="AU16" i="12"/>
  <c r="AT16"/>
  <c r="M17" l="1"/>
  <c r="AW17"/>
  <c r="BF16"/>
  <c r="N16"/>
  <c r="L16" s="1"/>
  <c r="K16"/>
  <c r="BC16"/>
  <c r="BL16" s="1"/>
  <c r="BA16"/>
  <c r="BK16" s="1"/>
  <c r="R19"/>
  <c r="AD18"/>
  <c r="AO18"/>
  <c r="BG18"/>
  <c r="AP18"/>
  <c r="AQ18"/>
  <c r="AR18"/>
  <c r="BN15"/>
  <c r="B15" i="2" s="1"/>
  <c r="F15" s="1"/>
  <c r="G15" s="1"/>
  <c r="AU17" i="12"/>
  <c r="BC17"/>
  <c r="BL17" s="1"/>
  <c r="AT17"/>
  <c r="AV17"/>
  <c r="M18" l="1"/>
  <c r="N18" s="1"/>
  <c r="BB16"/>
  <c r="BD16"/>
  <c r="AY16"/>
  <c r="BJ16" s="1"/>
  <c r="BF18"/>
  <c r="N17"/>
  <c r="AY17" s="1"/>
  <c r="BJ17" s="1"/>
  <c r="K17"/>
  <c r="BF17"/>
  <c r="AW18"/>
  <c r="AV18"/>
  <c r="BN16"/>
  <c r="B16" i="2" s="1"/>
  <c r="F16" s="1"/>
  <c r="G16" s="1"/>
  <c r="R20" i="12"/>
  <c r="AD19"/>
  <c r="AR19" s="1"/>
  <c r="AP19"/>
  <c r="AQ19"/>
  <c r="BG19"/>
  <c r="AO19"/>
  <c r="BA17"/>
  <c r="BK17" s="1"/>
  <c r="BB17"/>
  <c r="BC18"/>
  <c r="BL18" s="1"/>
  <c r="AU18"/>
  <c r="AT18"/>
  <c r="L18" l="1"/>
  <c r="BD18"/>
  <c r="M19"/>
  <c r="AY18"/>
  <c r="BJ18" s="1"/>
  <c r="K18"/>
  <c r="L17"/>
  <c r="BD17"/>
  <c r="BN17"/>
  <c r="B17" i="2" s="1"/>
  <c r="F17" s="1"/>
  <c r="G17" s="1"/>
  <c r="AW19" i="12"/>
  <c r="AT19"/>
  <c r="AV19"/>
  <c r="BA18"/>
  <c r="BK18" s="1"/>
  <c r="BB18"/>
  <c r="R21"/>
  <c r="AD20"/>
  <c r="AO20"/>
  <c r="BG20"/>
  <c r="AP20"/>
  <c r="AQ20"/>
  <c r="AR20"/>
  <c r="AU19"/>
  <c r="M20" l="1"/>
  <c r="N20" s="1"/>
  <c r="N19"/>
  <c r="L19" s="1"/>
  <c r="K19"/>
  <c r="BF19"/>
  <c r="BF20"/>
  <c r="BC19"/>
  <c r="BL19" s="1"/>
  <c r="AW20"/>
  <c r="AD21"/>
  <c r="AR21" s="1"/>
  <c r="AP21"/>
  <c r="BG21"/>
  <c r="AO21"/>
  <c r="AQ21"/>
  <c r="BB19"/>
  <c r="BA19"/>
  <c r="BK19" s="1"/>
  <c r="AV20"/>
  <c r="BN18"/>
  <c r="B18" i="2" s="1"/>
  <c r="F18" s="1"/>
  <c r="G18" s="1"/>
  <c r="BC20" i="12"/>
  <c r="BL20" s="1"/>
  <c r="AU20"/>
  <c r="AT20"/>
  <c r="K20" l="1"/>
  <c r="L20"/>
  <c r="BD20"/>
  <c r="AY20"/>
  <c r="BJ20" s="1"/>
  <c r="M21"/>
  <c r="BD19"/>
  <c r="AY19"/>
  <c r="BJ19" s="1"/>
  <c r="AW21"/>
  <c r="BA20"/>
  <c r="BK20" s="1"/>
  <c r="BB20"/>
  <c r="BN19"/>
  <c r="B19" i="2" s="1"/>
  <c r="F19" s="1"/>
  <c r="G19" s="1"/>
  <c r="AV21" i="12"/>
  <c r="AT21"/>
  <c r="AU21"/>
  <c r="BC21" l="1"/>
  <c r="BL21" s="1"/>
  <c r="N21"/>
  <c r="K21"/>
  <c r="BF21"/>
  <c r="AY21"/>
  <c r="BJ21" s="1"/>
  <c r="BN20"/>
  <c r="B20" i="2" s="1"/>
  <c r="F20" s="1"/>
  <c r="G20" s="1"/>
  <c r="BA21" i="12"/>
  <c r="BK21" s="1"/>
  <c r="BB21"/>
  <c r="L21" l="1"/>
  <c r="BD21"/>
  <c r="BN21" s="1"/>
  <c r="B21" i="2" s="1"/>
  <c r="F21" s="1"/>
  <c r="G21" s="1"/>
  <c r="G23" s="1"/>
  <c r="G25" s="1"/>
</calcChain>
</file>

<file path=xl/sharedStrings.xml><?xml version="1.0" encoding="utf-8"?>
<sst xmlns="http://schemas.openxmlformats.org/spreadsheetml/2006/main" count="170" uniqueCount="133">
  <si>
    <t>Passengers per Vehicle [Assumed]</t>
  </si>
  <si>
    <t>CS Benefit $</t>
  </si>
  <si>
    <t>Total (Present Value)</t>
  </si>
  <si>
    <t>Discount Rate</t>
  </si>
  <si>
    <t>2012 - 2031</t>
  </si>
  <si>
    <t>Total (Constant 2010$)</t>
  </si>
  <si>
    <t>Discount Rate (copied from &lt;benefits&gt;)</t>
  </si>
  <si>
    <t>Benefit : Cost Ratio</t>
  </si>
  <si>
    <t>Environmental Cost ($/hr) [TREDIS]</t>
  </si>
  <si>
    <t>Auto Variable Operating Costs ($/mi) [Mn/DOT Standard]</t>
  </si>
  <si>
    <t>Initial (construction/design/land acquisition)</t>
  </si>
  <si>
    <t>Annual (operating and maintenance)</t>
  </si>
  <si>
    <t>Salvage Value</t>
  </si>
  <si>
    <t>Safety</t>
  </si>
  <si>
    <t>ü</t>
  </si>
  <si>
    <t>-</t>
  </si>
  <si>
    <t>Auto VMT (operating costs + environmental benefits)</t>
  </si>
  <si>
    <t>Auto VHT (value of time + environmental benefits)</t>
  </si>
  <si>
    <t>Bicycle/Pedestrian Health</t>
  </si>
  <si>
    <t>Transit VHT</t>
  </si>
  <si>
    <t>Transit VMT</t>
  </si>
  <si>
    <t>Water Quality</t>
  </si>
  <si>
    <t>Benefit-Cost Item</t>
  </si>
  <si>
    <t>Legend</t>
  </si>
  <si>
    <t>Key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</si>
  <si>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  <scheme val="minor"/>
      </rPr>
      <t>: currently reflected in BCA</t>
    </r>
  </si>
  <si>
    <t>? : not yet shown in BCA… estimate possible?</t>
  </si>
  <si>
    <t>- : not applicable</t>
  </si>
  <si>
    <t>BL - District Residents, 2% Annual Growth [Assumed]</t>
  </si>
  <si>
    <t>CS - District Residents [Proposal]</t>
  </si>
  <si>
    <t>BL - District Employee Daily Commutes, 2% Annual Growth [Assumed]</t>
  </si>
  <si>
    <t>CS - District Employee Daily Commutes [Proposal]</t>
  </si>
  <si>
    <t>BL - % Likely to Use Transit [Proposal]</t>
  </si>
  <si>
    <t>BL - % Likely to Use Bicycle [Proposal]</t>
  </si>
  <si>
    <t>BL - % Likely to Be Pedestrian [Proposal]</t>
  </si>
  <si>
    <t>Transit Annual Days of Usage, Residents [Assumed]</t>
  </si>
  <si>
    <t>Transit Annual Days of Usage, Commuters [Assumed]</t>
  </si>
  <si>
    <t>Bicycle Annual Days of Usage, Residents [Assumed]</t>
  </si>
  <si>
    <t>Pedestrian Annual Days, Commuters [Assumed]</t>
  </si>
  <si>
    <t>Carpool Annual Days of Usage, Commuters [Assumed]</t>
  </si>
  <si>
    <t>Pedestrian Annual Days, Residents [Assumed]</t>
  </si>
  <si>
    <t>Annual Increase in Transit Trips</t>
  </si>
  <si>
    <t>Annual Increase in Bicycle Trips</t>
  </si>
  <si>
    <t>Annual Increase in Pedestrian Trips</t>
  </si>
  <si>
    <t>Annual Increase in Carpool Trips</t>
  </si>
  <si>
    <t>Bicycle Annual Days of Usage, Commuters [Mn/DOT Guidance]</t>
  </si>
  <si>
    <t>Transit Share of Mode Shift</t>
  </si>
  <si>
    <t>Bicycle Share of Mode Shift</t>
  </si>
  <si>
    <t>Pedestrian Share of Mode Shift</t>
  </si>
  <si>
    <t>Carpool Share of Mode Shift</t>
  </si>
  <si>
    <t>Annual Carpool VMT Increase, One New Carpool Trip per 2 Shifted Auto Trips [Assumed]</t>
  </si>
  <si>
    <t>Annual Carpool VHT Increase, One New Carpool Trip per 2 Shifted Auto Trips [Assumed]</t>
  </si>
  <si>
    <t>Auto Environmental Cost ($/mi) [TREDIS, Free Flow]</t>
  </si>
  <si>
    <t>Annual Transit VMT Increase, One New Transit Trip per 20 Shifted Auto Trips [Assumed]</t>
  </si>
  <si>
    <t>Transit Variable Operating Costs ($/mi) [TREDIS]</t>
  </si>
  <si>
    <t>Transit Environmental Cost ($/mi) [TREDIS, Free Flow]</t>
  </si>
  <si>
    <t>Annual Increase in Travel Time Costs for Pedestrian Mode Shift</t>
  </si>
  <si>
    <t>Annual Transit VHT Increase, One New Transit Trip per 20 Shifted Auto Trips [Assumed]</t>
  </si>
  <si>
    <t>Annual Increase in Transit Per-Mile Costs</t>
  </si>
  <si>
    <t>Annual Increase in Carpool Per-Mile Costs</t>
  </si>
  <si>
    <t>BL - % Likely to Carpool [Proposal]</t>
  </si>
  <si>
    <t>CS - % Likely to Carpool [Proposal]</t>
  </si>
  <si>
    <t>Annual Bicycle Health Benefit</t>
  </si>
  <si>
    <t>Bicycle Recreation (Non-Commuting) Benefit ($/hr) [BicyclingInfo.org]</t>
  </si>
  <si>
    <t>BL - Commuter Fraction</t>
  </si>
  <si>
    <t>CS - Commuter Fraction</t>
  </si>
  <si>
    <t>Bicycle / Pedestrian Health Benefit ($/New Cyclist or Pedestrian) [NCHRP]</t>
  </si>
  <si>
    <t>Annual Pedestrian Health Benefit</t>
  </si>
  <si>
    <t>Annual Travel Time Penalty for Pedestrian Mode Shift (hrs), Quarter of Vehicle Speed [Assumed]</t>
  </si>
  <si>
    <t>cars/transit/bicycles traverse the local corridor at the same speed; pedestrians travel at quarter-speed</t>
  </si>
  <si>
    <t>assumed:</t>
  </si>
  <si>
    <t>Passenger Cost Factor ($/hr), 70% Personal/Rec + 30% Commute [TREDIS]</t>
  </si>
  <si>
    <t>MA = Madison Avenue</t>
  </si>
  <si>
    <t>CS - MA</t>
  </si>
  <si>
    <t>N/A</t>
  </si>
  <si>
    <t>Costs (State of Good Repair Benefits): 2012 - 2031</t>
  </si>
  <si>
    <t>Total Benefits: 2012 - 2031</t>
  </si>
  <si>
    <t>Benefits (Excluding State of Good Repair): 2012 - 2031</t>
  </si>
  <si>
    <t>MA</t>
  </si>
  <si>
    <t>Checklist of TIGER II Project Components &amp; Benefit-Cost Analysis Categories: Mankato</t>
  </si>
  <si>
    <t>trip-purpose splits (Personal/Recreational versus Commute) follow Mn/DOT default = 70% / 30%</t>
  </si>
  <si>
    <t>R22 = Roundabout at Highway 22 intersection</t>
  </si>
  <si>
    <t>BL - MA / R22</t>
  </si>
  <si>
    <t>CS - MA / R22</t>
  </si>
  <si>
    <t>CS - R22</t>
  </si>
  <si>
    <t>R22</t>
  </si>
  <si>
    <t>Annual Auto VHT Reduction [Proposal]</t>
  </si>
  <si>
    <t>Daily Auto VHT Reduction [Proposal]</t>
  </si>
  <si>
    <t>Daily Auto VMT Reduction [Proposal]</t>
  </si>
  <si>
    <t>Annual Auto VMT Reduction, 3-Mile Corridor [Proposal]</t>
  </si>
  <si>
    <t>Annual Auto VHT Reduction, 15 MPH [Proposal]</t>
  </si>
  <si>
    <t>Annual Reduction in Auto Per-Mile Costs</t>
  </si>
  <si>
    <t>Annual Delay Cost Reduction</t>
  </si>
  <si>
    <t>BL - TF</t>
  </si>
  <si>
    <t>TF = Transit Facility</t>
  </si>
  <si>
    <t>CS - TF</t>
  </si>
  <si>
    <t>TF</t>
  </si>
  <si>
    <t>CS - % Likely to Use Transit [Proposal]</t>
  </si>
  <si>
    <t>CS - % Likely to Use Bicycle [Proposal]</t>
  </si>
  <si>
    <t>CS - % Likely to Be Pedestrian [Proposal]</t>
  </si>
  <si>
    <r>
      <t xml:space="preserve">Annual Bicycle Recreation Benefit, </t>
    </r>
    <r>
      <rPr>
        <b/>
        <sz val="11"/>
        <color theme="1"/>
        <rFont val="Calibri"/>
        <family val="2"/>
      </rPr>
      <t>½-hour Trip [Assumed]</t>
    </r>
  </si>
  <si>
    <t>Bus Operating Cost ($/mi), [TREDIS, Free Flow]</t>
  </si>
  <si>
    <t>Bus Environmental Cost ($/mi) [TREDIS, Free Flow]</t>
  </si>
  <si>
    <t>BL - Annual Bus VHT, 2% Annual Growth [Proposal]</t>
  </si>
  <si>
    <t>CS - Annual Bus VHT, 2% Annual Growth [Proposal]</t>
  </si>
  <si>
    <t>BL - Annual Bus VMT, 2% Annual Growth [Proposal]</t>
  </si>
  <si>
    <t>CS - Annual Bus VMT, 2% Annual Growth [Proposal]</t>
  </si>
  <si>
    <t>Annual Savings from Elimination of Bus Shuttling</t>
  </si>
  <si>
    <t>mode-switching activity analyzed only on local corridor (conservative)</t>
  </si>
  <si>
    <t>pedestrian mode only considered for Personal/Recreational trips</t>
  </si>
  <si>
    <t>all new transit/bicycle/pedestrian trips are modeled as shifted from auto (no induced travel) (conservative)</t>
  </si>
  <si>
    <t>Crew Cost Factor ($/hr), [Mankato Midpoint]</t>
  </si>
  <si>
    <t>BL - #K</t>
  </si>
  <si>
    <t>BL - #A</t>
  </si>
  <si>
    <t>BL - #B</t>
  </si>
  <si>
    <t>BL - #C</t>
  </si>
  <si>
    <t>BL - #N</t>
  </si>
  <si>
    <t>CS - #K</t>
  </si>
  <si>
    <t>CS - #A</t>
  </si>
  <si>
    <t>CS - #B</t>
  </si>
  <si>
    <t>CS - #C</t>
  </si>
  <si>
    <t>CS - #N</t>
  </si>
  <si>
    <t>$K</t>
  </si>
  <si>
    <t>$A</t>
  </si>
  <si>
    <t>$B</t>
  </si>
  <si>
    <t>$C</t>
  </si>
  <si>
    <t>$N</t>
  </si>
  <si>
    <t>Annual Traffic Growth [Assumed]</t>
  </si>
  <si>
    <t>BL $</t>
  </si>
  <si>
    <t>CS $</t>
  </si>
  <si>
    <t>Net Benefit of Roundabout Installation</t>
  </si>
  <si>
    <t>Annual Safety Disbenefit from Higher Accident Frequency</t>
  </si>
  <si>
    <t>^^^ INCORPORATES RESIDUAL VALUE (IF ANY) BEYOND YEAR 20 ^^^</t>
  </si>
</sst>
</file>

<file path=xl/styles.xml><?xml version="1.0" encoding="utf-8"?>
<styleSheet xmlns="http://schemas.openxmlformats.org/spreadsheetml/2006/main">
  <numFmts count="6">
    <numFmt numFmtId="6" formatCode="&quot;$&quot;#,##0_);[Red]\(&quot;$&quot;#,##0\)"/>
    <numFmt numFmtId="164" formatCode="&quot;$&quot;#,##0"/>
    <numFmt numFmtId="165" formatCode="&quot;$&quot;#,##0.00"/>
    <numFmt numFmtId="166" formatCode="&quot;$&quot;#,##0.000"/>
    <numFmt numFmtId="167" formatCode="0.0"/>
    <numFmt numFmtId="168" formatCode="#,##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65" fontId="0" fillId="0" borderId="0" xfId="0" applyNumberFormat="1"/>
    <xf numFmtId="3" fontId="0" fillId="0" borderId="0" xfId="0" applyNumberFormat="1"/>
    <xf numFmtId="9" fontId="0" fillId="0" borderId="0" xfId="0" applyNumberFormat="1"/>
    <xf numFmtId="166" fontId="0" fillId="0" borderId="0" xfId="0" applyNumberFormat="1" applyAlignment="1">
      <alignment wrapText="1"/>
    </xf>
    <xf numFmtId="3" fontId="0" fillId="0" borderId="0" xfId="0" applyNumberFormat="1" applyAlignment="1">
      <alignment horizontal="righ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9" fontId="0" fillId="0" borderId="0" xfId="1" applyFont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quotePrefix="1" applyBorder="1"/>
    <xf numFmtId="0" fontId="0" fillId="0" borderId="7" xfId="0" applyBorder="1"/>
    <xf numFmtId="0" fontId="0" fillId="0" borderId="8" xfId="0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8" xfId="0" applyBorder="1" applyAlignment="1">
      <alignment horizontal="center"/>
    </xf>
    <xf numFmtId="0" fontId="2" fillId="0" borderId="0" xfId="0" applyFont="1"/>
    <xf numFmtId="0" fontId="5" fillId="0" borderId="0" xfId="0" applyFont="1"/>
    <xf numFmtId="0" fontId="4" fillId="0" borderId="1" xfId="0" applyFont="1" applyBorder="1"/>
    <xf numFmtId="0" fontId="0" fillId="0" borderId="9" xfId="0" applyBorder="1"/>
    <xf numFmtId="0" fontId="0" fillId="0" borderId="10" xfId="0" applyBorder="1" applyAlignment="1">
      <alignment horizontal="right"/>
    </xf>
    <xf numFmtId="0" fontId="0" fillId="0" borderId="10" xfId="0" applyBorder="1"/>
    <xf numFmtId="0" fontId="0" fillId="0" borderId="11" xfId="0" applyBorder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38" fontId="0" fillId="0" borderId="0" xfId="0" applyNumberFormat="1" applyAlignment="1">
      <alignment horizontal="right"/>
    </xf>
    <xf numFmtId="165" fontId="0" fillId="0" borderId="0" xfId="0" applyNumberFormat="1" applyAlignment="1">
      <alignment wrapText="1"/>
    </xf>
    <xf numFmtId="6" fontId="0" fillId="0" borderId="0" xfId="0" applyNumberFormat="1" applyAlignment="1">
      <alignment horizontal="right"/>
    </xf>
    <xf numFmtId="164" fontId="0" fillId="0" borderId="0" xfId="0" applyNumberFormat="1" applyAlignment="1">
      <alignment wrapText="1"/>
    </xf>
    <xf numFmtId="167" fontId="0" fillId="0" borderId="0" xfId="0" applyNumberFormat="1" applyAlignment="1">
      <alignment wrapText="1"/>
    </xf>
    <xf numFmtId="168" fontId="0" fillId="0" borderId="0" xfId="0" applyNumberFormat="1" applyAlignment="1">
      <alignment horizontal="right"/>
    </xf>
    <xf numFmtId="6" fontId="0" fillId="0" borderId="0" xfId="0" applyNumberFormat="1"/>
    <xf numFmtId="0" fontId="0" fillId="0" borderId="0" xfId="0" applyAlignment="1">
      <alignment horizontal="left"/>
    </xf>
    <xf numFmtId="1" fontId="0" fillId="0" borderId="0" xfId="0" applyNumberFormat="1"/>
    <xf numFmtId="9" fontId="0" fillId="0" borderId="0" xfId="1" applyNumberFormat="1" applyFont="1" applyAlignment="1">
      <alignment horizontal="right"/>
    </xf>
    <xf numFmtId="164" fontId="2" fillId="0" borderId="0" xfId="0" applyNumberFormat="1" applyFont="1" applyAlignment="1">
      <alignment horizontal="right" wrapText="1"/>
    </xf>
    <xf numFmtId="3" fontId="2" fillId="0" borderId="0" xfId="0" applyNumberFormat="1" applyFont="1" applyAlignment="1">
      <alignment horizontal="right" wrapText="1"/>
    </xf>
    <xf numFmtId="0" fontId="6" fillId="0" borderId="0" xfId="0" applyFont="1" applyAlignment="1"/>
    <xf numFmtId="2" fontId="0" fillId="0" borderId="0" xfId="0" applyNumberFormat="1" applyAlignment="1">
      <alignment horizontal="right"/>
    </xf>
    <xf numFmtId="6" fontId="2" fillId="0" borderId="0" xfId="0" applyNumberFormat="1" applyFont="1" applyAlignment="1">
      <alignment horizontal="right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zoomScaleNormal="100" workbookViewId="0">
      <selection activeCell="A2" sqref="A2"/>
    </sheetView>
  </sheetViews>
  <sheetFormatPr defaultRowHeight="15"/>
  <cols>
    <col min="1" max="1" width="49.140625" bestFit="1" customWidth="1"/>
    <col min="2" max="4" width="9.140625" style="12"/>
  </cols>
  <sheetData>
    <row r="1" spans="1:8" ht="18.75">
      <c r="A1" s="29" t="s">
        <v>79</v>
      </c>
    </row>
    <row r="3" spans="1:8">
      <c r="A3" s="14" t="s">
        <v>22</v>
      </c>
      <c r="B3" s="13" t="s">
        <v>78</v>
      </c>
      <c r="C3" s="13" t="s">
        <v>85</v>
      </c>
      <c r="D3" s="13" t="s">
        <v>96</v>
      </c>
      <c r="E3" s="13"/>
    </row>
    <row r="4" spans="1:8">
      <c r="A4" t="s">
        <v>10</v>
      </c>
      <c r="B4" s="11" t="s">
        <v>14</v>
      </c>
      <c r="C4" s="11" t="s">
        <v>14</v>
      </c>
      <c r="D4" s="11" t="s">
        <v>14</v>
      </c>
      <c r="E4" s="11"/>
    </row>
    <row r="5" spans="1:8">
      <c r="A5" t="s">
        <v>11</v>
      </c>
      <c r="B5" s="11" t="s">
        <v>14</v>
      </c>
      <c r="C5" s="11" t="s">
        <v>14</v>
      </c>
      <c r="D5" s="11" t="s">
        <v>14</v>
      </c>
      <c r="E5" s="11"/>
    </row>
    <row r="6" spans="1:8">
      <c r="A6" t="s">
        <v>12</v>
      </c>
      <c r="B6" s="11" t="s">
        <v>14</v>
      </c>
      <c r="C6" s="11" t="s">
        <v>14</v>
      </c>
      <c r="D6" s="11" t="s">
        <v>14</v>
      </c>
      <c r="E6" s="11"/>
    </row>
    <row r="8" spans="1:8">
      <c r="A8" t="s">
        <v>13</v>
      </c>
      <c r="B8" s="12" t="s">
        <v>15</v>
      </c>
      <c r="C8" s="11" t="s">
        <v>14</v>
      </c>
      <c r="D8" s="12" t="s">
        <v>15</v>
      </c>
      <c r="E8" s="12"/>
    </row>
    <row r="9" spans="1:8">
      <c r="A9" t="s">
        <v>17</v>
      </c>
      <c r="B9" s="11" t="s">
        <v>14</v>
      </c>
      <c r="C9" s="11" t="s">
        <v>14</v>
      </c>
      <c r="D9" s="12" t="s">
        <v>15</v>
      </c>
      <c r="E9" s="11"/>
    </row>
    <row r="10" spans="1:8">
      <c r="A10" t="s">
        <v>16</v>
      </c>
      <c r="B10" s="11" t="s">
        <v>14</v>
      </c>
      <c r="C10" s="11" t="s">
        <v>14</v>
      </c>
      <c r="D10" s="12" t="s">
        <v>15</v>
      </c>
      <c r="E10" s="11"/>
    </row>
    <row r="11" spans="1:8">
      <c r="A11" t="s">
        <v>19</v>
      </c>
      <c r="B11" s="11" t="s">
        <v>14</v>
      </c>
      <c r="C11" s="11" t="s">
        <v>14</v>
      </c>
      <c r="D11" s="11" t="s">
        <v>14</v>
      </c>
      <c r="E11" s="12"/>
    </row>
    <row r="12" spans="1:8">
      <c r="A12" t="s">
        <v>20</v>
      </c>
      <c r="B12" s="11" t="s">
        <v>14</v>
      </c>
      <c r="C12" s="11" t="s">
        <v>14</v>
      </c>
      <c r="D12" s="11" t="s">
        <v>14</v>
      </c>
      <c r="E12" s="12"/>
    </row>
    <row r="13" spans="1:8">
      <c r="A13" t="s">
        <v>18</v>
      </c>
      <c r="B13" s="11" t="s">
        <v>14</v>
      </c>
      <c r="C13" s="11" t="s">
        <v>14</v>
      </c>
      <c r="D13" s="12" t="s">
        <v>15</v>
      </c>
      <c r="E13" s="11"/>
    </row>
    <row r="14" spans="1:8">
      <c r="A14" t="s">
        <v>21</v>
      </c>
      <c r="B14" s="12" t="s">
        <v>15</v>
      </c>
      <c r="C14" s="12" t="s">
        <v>15</v>
      </c>
      <c r="D14" s="12" t="s">
        <v>15</v>
      </c>
      <c r="E14" s="12"/>
    </row>
    <row r="16" spans="1:8">
      <c r="A16" s="30" t="s">
        <v>24</v>
      </c>
      <c r="B16" s="24"/>
      <c r="D16" s="30" t="s">
        <v>23</v>
      </c>
      <c r="E16" s="16"/>
      <c r="F16" s="16"/>
      <c r="G16" s="16"/>
      <c r="H16" s="17"/>
    </row>
    <row r="17" spans="1:8">
      <c r="A17" s="18" t="s">
        <v>72</v>
      </c>
      <c r="B17" s="25"/>
      <c r="D17" s="18" t="s">
        <v>25</v>
      </c>
      <c r="E17" s="19"/>
      <c r="F17" s="19"/>
      <c r="G17" s="19"/>
      <c r="H17" s="20"/>
    </row>
    <row r="18" spans="1:8">
      <c r="A18" s="18" t="s">
        <v>81</v>
      </c>
      <c r="B18" s="25"/>
      <c r="D18" s="18" t="s">
        <v>26</v>
      </c>
      <c r="E18" s="19"/>
      <c r="F18" s="19"/>
      <c r="G18" s="19"/>
      <c r="H18" s="20"/>
    </row>
    <row r="19" spans="1:8">
      <c r="A19" s="26" t="s">
        <v>94</v>
      </c>
      <c r="B19" s="27"/>
      <c r="D19" s="21" t="s">
        <v>27</v>
      </c>
      <c r="E19" s="22"/>
      <c r="F19" s="22"/>
      <c r="G19" s="22"/>
      <c r="H19" s="23"/>
    </row>
  </sheetData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6"/>
  <sheetViews>
    <sheetView zoomScaleNormal="100" workbookViewId="0"/>
  </sheetViews>
  <sheetFormatPr defaultRowHeight="15"/>
  <sheetData>
    <row r="1" spans="1:1">
      <c r="A1" s="28" t="s">
        <v>70</v>
      </c>
    </row>
    <row r="2" spans="1:1">
      <c r="A2" t="s">
        <v>108</v>
      </c>
    </row>
    <row r="3" spans="1:1">
      <c r="A3" t="s">
        <v>69</v>
      </c>
    </row>
    <row r="4" spans="1:1">
      <c r="A4" t="s">
        <v>109</v>
      </c>
    </row>
    <row r="5" spans="1:1">
      <c r="A5" t="s">
        <v>110</v>
      </c>
    </row>
    <row r="6" spans="1:1">
      <c r="A6" t="s">
        <v>80</v>
      </c>
    </row>
  </sheetData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zoomScaleNormal="100" workbookViewId="0"/>
  </sheetViews>
  <sheetFormatPr defaultRowHeight="15"/>
  <cols>
    <col min="2" max="3" width="12.7109375" style="2" customWidth="1"/>
    <col min="4" max="4" width="9.140625" style="2"/>
    <col min="5" max="5" width="12.7109375" style="2" customWidth="1"/>
    <col min="6" max="6" width="12.7109375" customWidth="1"/>
    <col min="7" max="7" width="11.5703125" bestFit="1" customWidth="1"/>
    <col min="8" max="9" width="12.5703125" bestFit="1" customWidth="1"/>
    <col min="11" max="11" width="14.7109375" customWidth="1"/>
  </cols>
  <sheetData>
    <row r="1" spans="1:12" ht="45">
      <c r="B1" s="37" t="s">
        <v>82</v>
      </c>
      <c r="C1" s="37" t="s">
        <v>93</v>
      </c>
      <c r="D1" s="37"/>
      <c r="E1" s="37" t="s">
        <v>83</v>
      </c>
      <c r="F1" s="37" t="s">
        <v>95</v>
      </c>
      <c r="G1" s="37"/>
      <c r="H1" s="36" t="s">
        <v>5</v>
      </c>
      <c r="I1" s="36" t="s">
        <v>2</v>
      </c>
      <c r="K1" s="5" t="s">
        <v>6</v>
      </c>
      <c r="L1" s="8">
        <f>'benefits &amp; sum'!$J$1</f>
        <v>0.03</v>
      </c>
    </row>
    <row r="2" spans="1:12">
      <c r="A2">
        <v>2012</v>
      </c>
      <c r="B2" s="41">
        <f>2130000+2000000</f>
        <v>4130000</v>
      </c>
      <c r="C2" s="41">
        <f>716000+647500/20+1474400/20+52800/20</f>
        <v>824735</v>
      </c>
      <c r="D2" s="41"/>
      <c r="E2" s="41">
        <f>8520000+1500000</f>
        <v>10020000</v>
      </c>
      <c r="F2" s="41">
        <f>5024750+557319+518000/20+1179520/20+42240/20</f>
        <v>5669057</v>
      </c>
      <c r="G2" s="1"/>
      <c r="H2" s="41">
        <f t="shared" ref="H2:H21" si="0">SUM(E2:G2)-SUM(B2:D2)</f>
        <v>10734322</v>
      </c>
      <c r="I2" s="41">
        <f t="shared" ref="I2:I21" si="1">H2/((1+$L$1)^(A2-2010))</f>
        <v>10118128.00452446</v>
      </c>
    </row>
    <row r="3" spans="1:12">
      <c r="A3">
        <v>2013</v>
      </c>
      <c r="B3" s="41"/>
      <c r="C3" s="41">
        <f t="shared" ref="C3:C21" si="2">716000+647500/20+1474400/20+52800/20</f>
        <v>824735</v>
      </c>
      <c r="D3" s="41"/>
      <c r="E3" s="41"/>
      <c r="F3" s="41">
        <f>518000/20+1179520/20+42240/20</f>
        <v>86988</v>
      </c>
      <c r="G3" s="3"/>
      <c r="H3" s="41">
        <f t="shared" si="0"/>
        <v>-737747</v>
      </c>
      <c r="I3" s="41">
        <f t="shared" si="1"/>
        <v>-675143.01376281539</v>
      </c>
    </row>
    <row r="4" spans="1:12">
      <c r="A4">
        <v>2014</v>
      </c>
      <c r="B4" s="41"/>
      <c r="C4" s="41">
        <f t="shared" si="2"/>
        <v>824735</v>
      </c>
      <c r="D4" s="41"/>
      <c r="E4" s="41"/>
      <c r="F4" s="41">
        <f t="shared" ref="F4:F20" si="3">518000/20+1179520/20+42240/20</f>
        <v>86988</v>
      </c>
      <c r="G4" s="3"/>
      <c r="H4" s="41">
        <f t="shared" si="0"/>
        <v>-737747</v>
      </c>
      <c r="I4" s="41">
        <f t="shared" si="1"/>
        <v>-655478.65413865575</v>
      </c>
    </row>
    <row r="5" spans="1:12">
      <c r="A5">
        <v>2015</v>
      </c>
      <c r="B5" s="41"/>
      <c r="C5" s="41">
        <f t="shared" si="2"/>
        <v>824735</v>
      </c>
      <c r="D5" s="41"/>
      <c r="E5" s="41"/>
      <c r="F5" s="41">
        <f t="shared" si="3"/>
        <v>86988</v>
      </c>
      <c r="G5" s="3"/>
      <c r="H5" s="41">
        <f t="shared" si="0"/>
        <v>-737747</v>
      </c>
      <c r="I5" s="41">
        <f t="shared" si="1"/>
        <v>-636387.0428530639</v>
      </c>
    </row>
    <row r="6" spans="1:12">
      <c r="A6">
        <v>2016</v>
      </c>
      <c r="B6" s="41"/>
      <c r="C6" s="41">
        <f t="shared" si="2"/>
        <v>824735</v>
      </c>
      <c r="D6" s="41"/>
      <c r="E6" s="41"/>
      <c r="F6" s="41">
        <f t="shared" si="3"/>
        <v>86988</v>
      </c>
      <c r="G6" s="3"/>
      <c r="H6" s="41">
        <f t="shared" si="0"/>
        <v>-737747</v>
      </c>
      <c r="I6" s="41">
        <f t="shared" si="1"/>
        <v>-617851.497915596</v>
      </c>
    </row>
    <row r="7" spans="1:12">
      <c r="A7">
        <v>2017</v>
      </c>
      <c r="B7" s="41">
        <v>9410000</v>
      </c>
      <c r="C7" s="41">
        <f t="shared" si="2"/>
        <v>824735</v>
      </c>
      <c r="D7" s="41"/>
      <c r="E7" s="41"/>
      <c r="F7" s="41">
        <f t="shared" si="3"/>
        <v>86988</v>
      </c>
      <c r="G7" s="3"/>
      <c r="H7" s="41">
        <f t="shared" si="0"/>
        <v>-10147747</v>
      </c>
      <c r="I7" s="41">
        <f t="shared" si="1"/>
        <v>-8251046.9449599842</v>
      </c>
    </row>
    <row r="8" spans="1:12">
      <c r="A8">
        <v>2018</v>
      </c>
      <c r="B8" s="41"/>
      <c r="C8" s="41">
        <f t="shared" si="2"/>
        <v>824735</v>
      </c>
      <c r="D8" s="41"/>
      <c r="E8" s="41"/>
      <c r="F8" s="41">
        <f t="shared" si="3"/>
        <v>86988</v>
      </c>
      <c r="G8" s="3"/>
      <c r="H8" s="41">
        <f t="shared" si="0"/>
        <v>-737747</v>
      </c>
      <c r="I8" s="41">
        <f t="shared" si="1"/>
        <v>-582384.29438740318</v>
      </c>
    </row>
    <row r="9" spans="1:12">
      <c r="A9">
        <v>2019</v>
      </c>
      <c r="B9" s="41"/>
      <c r="C9" s="41">
        <f t="shared" si="2"/>
        <v>824735</v>
      </c>
      <c r="D9" s="41"/>
      <c r="E9" s="41"/>
      <c r="F9" s="41">
        <f t="shared" si="3"/>
        <v>86988</v>
      </c>
      <c r="G9" s="3"/>
      <c r="H9" s="41">
        <f t="shared" si="0"/>
        <v>-737747</v>
      </c>
      <c r="I9" s="41">
        <f t="shared" si="1"/>
        <v>-565421.6450363138</v>
      </c>
    </row>
    <row r="10" spans="1:12">
      <c r="A10">
        <v>2020</v>
      </c>
      <c r="B10" s="41"/>
      <c r="C10" s="41">
        <f t="shared" si="2"/>
        <v>824735</v>
      </c>
      <c r="D10" s="41"/>
      <c r="E10" s="41">
        <v>240000</v>
      </c>
      <c r="F10" s="41">
        <f t="shared" si="3"/>
        <v>86988</v>
      </c>
      <c r="G10" s="3"/>
      <c r="H10" s="41">
        <f t="shared" si="0"/>
        <v>-497747</v>
      </c>
      <c r="I10" s="41">
        <f t="shared" si="1"/>
        <v>-370370.51385810028</v>
      </c>
    </row>
    <row r="11" spans="1:12">
      <c r="A11">
        <v>2021</v>
      </c>
      <c r="B11" s="41"/>
      <c r="C11" s="41">
        <f t="shared" si="2"/>
        <v>824735</v>
      </c>
      <c r="D11" s="41"/>
      <c r="E11" s="41"/>
      <c r="F11" s="41">
        <f t="shared" si="3"/>
        <v>86988</v>
      </c>
      <c r="G11" s="3"/>
      <c r="H11" s="41">
        <f t="shared" si="0"/>
        <v>-737747</v>
      </c>
      <c r="I11" s="41">
        <f t="shared" si="1"/>
        <v>-532964.12954690703</v>
      </c>
    </row>
    <row r="12" spans="1:12">
      <c r="A12">
        <v>2022</v>
      </c>
      <c r="B12" s="41">
        <v>2300000</v>
      </c>
      <c r="C12" s="41">
        <f t="shared" si="2"/>
        <v>824735</v>
      </c>
      <c r="D12" s="41"/>
      <c r="E12" s="41"/>
      <c r="F12" s="41">
        <f t="shared" si="3"/>
        <v>86988</v>
      </c>
      <c r="G12" s="3"/>
      <c r="H12" s="41">
        <f t="shared" si="0"/>
        <v>-3037747</v>
      </c>
      <c r="I12" s="41">
        <f t="shared" si="1"/>
        <v>-2130614.6269165636</v>
      </c>
    </row>
    <row r="13" spans="1:12">
      <c r="A13">
        <v>2023</v>
      </c>
      <c r="B13" s="41"/>
      <c r="C13" s="41">
        <f t="shared" si="2"/>
        <v>824735</v>
      </c>
      <c r="D13" s="41"/>
      <c r="E13" s="41"/>
      <c r="F13" s="41">
        <f t="shared" si="3"/>
        <v>86988</v>
      </c>
      <c r="G13" s="3"/>
      <c r="H13" s="41">
        <f t="shared" si="0"/>
        <v>-737747</v>
      </c>
      <c r="I13" s="41">
        <f t="shared" si="1"/>
        <v>-502369.80822594702</v>
      </c>
    </row>
    <row r="14" spans="1:12">
      <c r="A14">
        <v>2024</v>
      </c>
      <c r="B14" s="41"/>
      <c r="C14" s="41">
        <f t="shared" si="2"/>
        <v>824735</v>
      </c>
      <c r="D14" s="41"/>
      <c r="E14" s="41"/>
      <c r="F14" s="41">
        <f t="shared" si="3"/>
        <v>86988</v>
      </c>
      <c r="G14" s="3"/>
      <c r="H14" s="41">
        <f t="shared" si="0"/>
        <v>-737747</v>
      </c>
      <c r="I14" s="41">
        <f t="shared" si="1"/>
        <v>-487737.6778892689</v>
      </c>
    </row>
    <row r="15" spans="1:12">
      <c r="A15">
        <v>2025</v>
      </c>
      <c r="B15" s="41"/>
      <c r="C15" s="41">
        <f t="shared" si="2"/>
        <v>824735</v>
      </c>
      <c r="D15" s="41"/>
      <c r="E15" s="41"/>
      <c r="F15" s="41">
        <f t="shared" si="3"/>
        <v>86988</v>
      </c>
      <c r="G15" s="3"/>
      <c r="H15" s="41">
        <f t="shared" si="0"/>
        <v>-737747</v>
      </c>
      <c r="I15" s="41">
        <f t="shared" si="1"/>
        <v>-473531.72610608628</v>
      </c>
    </row>
    <row r="16" spans="1:12">
      <c r="A16">
        <v>2026</v>
      </c>
      <c r="B16" s="41"/>
      <c r="C16" s="41">
        <f t="shared" si="2"/>
        <v>824735</v>
      </c>
      <c r="D16" s="41"/>
      <c r="E16" s="41"/>
      <c r="F16" s="41">
        <f t="shared" si="3"/>
        <v>86988</v>
      </c>
      <c r="G16" s="3"/>
      <c r="H16" s="41">
        <f t="shared" si="0"/>
        <v>-737747</v>
      </c>
      <c r="I16" s="41">
        <f t="shared" si="1"/>
        <v>-459739.53990882169</v>
      </c>
    </row>
    <row r="17" spans="1:9">
      <c r="A17">
        <v>2027</v>
      </c>
      <c r="B17" s="41">
        <v>2285000</v>
      </c>
      <c r="C17" s="41">
        <f t="shared" si="2"/>
        <v>824735</v>
      </c>
      <c r="D17" s="41"/>
      <c r="E17" s="41">
        <v>1200000</v>
      </c>
      <c r="F17" s="41">
        <f t="shared" si="3"/>
        <v>86988</v>
      </c>
      <c r="G17" s="3"/>
      <c r="H17" s="41">
        <f t="shared" si="0"/>
        <v>-1822747</v>
      </c>
      <c r="I17" s="41">
        <f t="shared" si="1"/>
        <v>-1102791.9116142192</v>
      </c>
    </row>
    <row r="18" spans="1:9">
      <c r="A18">
        <v>2028</v>
      </c>
      <c r="B18" s="41"/>
      <c r="C18" s="41">
        <f t="shared" si="2"/>
        <v>824735</v>
      </c>
      <c r="D18" s="41"/>
      <c r="E18" s="41"/>
      <c r="F18" s="41">
        <f t="shared" si="3"/>
        <v>86988</v>
      </c>
      <c r="G18" s="3"/>
      <c r="H18" s="41">
        <f t="shared" si="0"/>
        <v>-737747</v>
      </c>
      <c r="I18" s="41">
        <f t="shared" si="1"/>
        <v>-433348.60958508973</v>
      </c>
    </row>
    <row r="19" spans="1:9">
      <c r="A19">
        <v>2029</v>
      </c>
      <c r="B19" s="41"/>
      <c r="C19" s="41">
        <f t="shared" si="2"/>
        <v>824735</v>
      </c>
      <c r="D19" s="41"/>
      <c r="E19" s="41"/>
      <c r="F19" s="41">
        <f t="shared" si="3"/>
        <v>86988</v>
      </c>
      <c r="G19" s="3"/>
      <c r="H19" s="41">
        <f t="shared" si="0"/>
        <v>-737747</v>
      </c>
      <c r="I19" s="41">
        <f t="shared" si="1"/>
        <v>-420726.80542241724</v>
      </c>
    </row>
    <row r="20" spans="1:9">
      <c r="A20">
        <v>2030</v>
      </c>
      <c r="B20" s="41"/>
      <c r="C20" s="41">
        <f t="shared" si="2"/>
        <v>824735</v>
      </c>
      <c r="D20" s="41"/>
      <c r="E20" s="41"/>
      <c r="F20" s="41">
        <f t="shared" si="3"/>
        <v>86988</v>
      </c>
      <c r="G20" s="3"/>
      <c r="H20" s="41">
        <f t="shared" si="0"/>
        <v>-737747</v>
      </c>
      <c r="I20" s="41">
        <f t="shared" si="1"/>
        <v>-408472.62662370608</v>
      </c>
    </row>
    <row r="21" spans="1:9">
      <c r="A21">
        <v>2031</v>
      </c>
      <c r="B21" s="41">
        <f>690000-500000</f>
        <v>190000</v>
      </c>
      <c r="C21" s="41">
        <f t="shared" si="2"/>
        <v>824735</v>
      </c>
      <c r="D21" s="41"/>
      <c r="E21" s="41">
        <f>240000-600000</f>
        <v>-360000</v>
      </c>
      <c r="F21" s="41">
        <f>518000/20+1179520/20+42240/20-3222155</f>
        <v>-3135167</v>
      </c>
      <c r="G21" s="41"/>
      <c r="H21" s="41">
        <f t="shared" si="0"/>
        <v>-4509902</v>
      </c>
      <c r="I21" s="41">
        <f t="shared" si="1"/>
        <v>-2424294.5545208356</v>
      </c>
    </row>
    <row r="22" spans="1:9">
      <c r="B22" s="54" t="s">
        <v>132</v>
      </c>
      <c r="C22" s="54"/>
      <c r="D22" s="54"/>
      <c r="E22" s="54"/>
      <c r="F22" s="54"/>
      <c r="G22" s="51"/>
    </row>
    <row r="23" spans="1:9">
      <c r="B23" t="s">
        <v>4</v>
      </c>
      <c r="I23" s="41">
        <f>SUM(I2:I22)</f>
        <v>-11612547.618747337</v>
      </c>
    </row>
    <row r="26" spans="1:9">
      <c r="A26" t="s">
        <v>72</v>
      </c>
    </row>
    <row r="27" spans="1:9">
      <c r="A27" t="s">
        <v>81</v>
      </c>
    </row>
    <row r="28" spans="1:9">
      <c r="A28" t="s">
        <v>94</v>
      </c>
    </row>
  </sheetData>
  <mergeCells count="1">
    <mergeCell ref="B22:F22"/>
  </mergeCells>
  <pageMargins left="0.7" right="0.7" top="0.75" bottom="0.75" header="0.3" footer="0.3"/>
  <pageSetup scale="72" orientation="landscape" r:id="rId1"/>
  <headerFooter>
    <oddFooter>&amp;L&amp;A&amp;CPage &amp;P of &amp;N&amp;R&amp;D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6"/>
  <sheetViews>
    <sheetView zoomScaleNormal="100" workbookViewId="0"/>
  </sheetViews>
  <sheetFormatPr defaultRowHeight="15"/>
  <cols>
    <col min="2" max="2" width="10.140625" style="2" customWidth="1"/>
    <col min="3" max="3" width="10.85546875" style="2" bestFit="1" customWidth="1"/>
    <col min="4" max="4" width="10.140625" style="2" customWidth="1"/>
    <col min="6" max="6" width="10.7109375" customWidth="1"/>
    <col min="7" max="7" width="12.5703125" bestFit="1" customWidth="1"/>
  </cols>
  <sheetData>
    <row r="1" spans="1:10" ht="45">
      <c r="B1" s="37" t="s">
        <v>73</v>
      </c>
      <c r="C1" s="37" t="s">
        <v>84</v>
      </c>
      <c r="D1" s="37" t="s">
        <v>95</v>
      </c>
      <c r="E1" s="28"/>
      <c r="F1" s="36" t="s">
        <v>5</v>
      </c>
      <c r="G1" s="36" t="s">
        <v>2</v>
      </c>
      <c r="I1" s="5" t="s">
        <v>3</v>
      </c>
      <c r="J1" s="8">
        <v>0.03</v>
      </c>
    </row>
    <row r="2" spans="1:10">
      <c r="A2">
        <v>2012</v>
      </c>
      <c r="B2" s="45">
        <f>ma!BN2</f>
        <v>319982.12540245574</v>
      </c>
      <c r="C2" s="45">
        <f>'r22'!AE2</f>
        <v>1427911.3511999997</v>
      </c>
      <c r="D2" s="45">
        <f>tf!K2</f>
        <v>428520</v>
      </c>
      <c r="E2" s="45"/>
      <c r="F2" s="45">
        <f t="shared" ref="F2:F21" si="0">SUM(B2:E2)</f>
        <v>2176413.4766024556</v>
      </c>
      <c r="G2" s="45">
        <f t="shared" ref="G2:G21" si="1">F2/((1+$J$1)^(A2-2010))</f>
        <v>2051478.4396290467</v>
      </c>
    </row>
    <row r="3" spans="1:10">
      <c r="A3">
        <v>2013</v>
      </c>
      <c r="B3" s="45">
        <f>ma!BN3</f>
        <v>440621.76791050471</v>
      </c>
      <c r="C3" s="45">
        <f>'r22'!AE3</f>
        <v>1516430.8987199997</v>
      </c>
      <c r="D3" s="45">
        <f>tf!K3</f>
        <v>437090.4</v>
      </c>
      <c r="E3" s="45"/>
      <c r="F3" s="45">
        <f t="shared" si="0"/>
        <v>2394143.0666305046</v>
      </c>
      <c r="G3" s="45">
        <f t="shared" si="1"/>
        <v>2190980.0587251019</v>
      </c>
    </row>
    <row r="4" spans="1:10">
      <c r="A4">
        <v>2014</v>
      </c>
      <c r="B4" s="45">
        <f>ma!BN4</f>
        <v>449434.20326871489</v>
      </c>
      <c r="C4" s="45">
        <f>'r22'!AE4</f>
        <v>1604909.3462783995</v>
      </c>
      <c r="D4" s="45">
        <f>tf!K4</f>
        <v>445832.20799999998</v>
      </c>
      <c r="E4" s="45"/>
      <c r="F4" s="45">
        <f t="shared" si="0"/>
        <v>2500175.7575471145</v>
      </c>
      <c r="G4" s="45">
        <f t="shared" si="1"/>
        <v>2221373.7780934069</v>
      </c>
    </row>
    <row r="5" spans="1:10">
      <c r="A5">
        <v>2015</v>
      </c>
      <c r="B5" s="45">
        <f>ma!BN5</f>
        <v>458422.8873340892</v>
      </c>
      <c r="C5" s="45">
        <f>'r22'!AE5</f>
        <v>1693345.8718759676</v>
      </c>
      <c r="D5" s="45">
        <f>tf!K5</f>
        <v>454748.85216000007</v>
      </c>
      <c r="E5" s="45"/>
      <c r="F5" s="45">
        <f t="shared" si="0"/>
        <v>2606517.6113700569</v>
      </c>
      <c r="G5" s="45">
        <f t="shared" si="1"/>
        <v>2248404.98821984</v>
      </c>
    </row>
    <row r="6" spans="1:10">
      <c r="A6">
        <v>2016</v>
      </c>
      <c r="B6" s="45">
        <f>ma!BN6</f>
        <v>467591.3450807709</v>
      </c>
      <c r="C6" s="45">
        <f>'r22'!AE6</f>
        <v>1781739.6370734873</v>
      </c>
      <c r="D6" s="45">
        <f>tf!K6</f>
        <v>463843.82920320006</v>
      </c>
      <c r="E6" s="45"/>
      <c r="F6" s="45">
        <f t="shared" si="0"/>
        <v>2713174.8113574581</v>
      </c>
      <c r="G6" s="45">
        <f t="shared" si="1"/>
        <v>2272241.1901425151</v>
      </c>
    </row>
    <row r="7" spans="1:10">
      <c r="A7">
        <v>2017</v>
      </c>
      <c r="B7" s="45">
        <f>ma!BN7</f>
        <v>476943.17198238644</v>
      </c>
      <c r="C7" s="45">
        <f>'r22'!AE7</f>
        <v>1870089.7866629569</v>
      </c>
      <c r="D7" s="45">
        <f>tf!K7</f>
        <v>473120.70578726404</v>
      </c>
      <c r="E7" s="45"/>
      <c r="F7" s="45">
        <f t="shared" si="0"/>
        <v>2820153.6644326076</v>
      </c>
      <c r="G7" s="45">
        <f t="shared" si="1"/>
        <v>2293043.0052340063</v>
      </c>
    </row>
    <row r="8" spans="1:10">
      <c r="A8">
        <v>2018</v>
      </c>
      <c r="B8" s="45">
        <f>ma!BN8</f>
        <v>486482.03542203415</v>
      </c>
      <c r="C8" s="45">
        <f>'r22'!AE8</f>
        <v>1958395.4483322159</v>
      </c>
      <c r="D8" s="45">
        <f>tf!K8</f>
        <v>482583.11990300938</v>
      </c>
      <c r="E8" s="45"/>
      <c r="F8" s="45">
        <f t="shared" si="0"/>
        <v>2927460.6036572596</v>
      </c>
      <c r="G8" s="45">
        <f t="shared" si="1"/>
        <v>2310964.4336172896</v>
      </c>
    </row>
    <row r="9" spans="1:10">
      <c r="A9">
        <v>2019</v>
      </c>
      <c r="B9" s="45">
        <f>ma!BN9</f>
        <v>496211.67613047478</v>
      </c>
      <c r="C9" s="45">
        <f>'r22'!AE9</f>
        <v>2046655.7323228603</v>
      </c>
      <c r="D9" s="45">
        <f>tf!K9</f>
        <v>492234.78230106959</v>
      </c>
      <c r="E9" s="45"/>
      <c r="F9" s="45">
        <f t="shared" si="0"/>
        <v>3035102.1907544048</v>
      </c>
      <c r="G9" s="45">
        <f t="shared" si="1"/>
        <v>2326153.1033669743</v>
      </c>
    </row>
    <row r="10" spans="1:10">
      <c r="A10">
        <v>2020</v>
      </c>
      <c r="B10" s="45">
        <f>ma!BN10</f>
        <v>506135.90965308441</v>
      </c>
      <c r="C10" s="45">
        <f>'r22'!AE10</f>
        <v>2134869.7310813176</v>
      </c>
      <c r="D10" s="45">
        <f>tf!K10</f>
        <v>502079.47794709087</v>
      </c>
      <c r="E10" s="45"/>
      <c r="F10" s="45">
        <f t="shared" si="0"/>
        <v>3143085.1186814927</v>
      </c>
      <c r="G10" s="45">
        <f t="shared" si="1"/>
        <v>2338750.5108133499</v>
      </c>
    </row>
    <row r="11" spans="1:10">
      <c r="A11">
        <v>2021</v>
      </c>
      <c r="B11" s="45">
        <f>ma!BN11</f>
        <v>516258.62784614606</v>
      </c>
      <c r="C11" s="45">
        <f>'r22'!AE11</f>
        <v>2223036.5189029435</v>
      </c>
      <c r="D11" s="45">
        <f>tf!K11</f>
        <v>512121.0675060327</v>
      </c>
      <c r="E11" s="45"/>
      <c r="F11" s="45">
        <f t="shared" si="0"/>
        <v>3251416.214255122</v>
      </c>
      <c r="G11" s="45">
        <f t="shared" si="1"/>
        <v>2348892.2522561001</v>
      </c>
    </row>
    <row r="12" spans="1:10">
      <c r="A12">
        <v>2022</v>
      </c>
      <c r="B12" s="45">
        <f>ma!BN12</f>
        <v>526583.80040306889</v>
      </c>
      <c r="C12" s="45">
        <f>'r22'!AE12</f>
        <v>2311155.1515690023</v>
      </c>
      <c r="D12" s="45">
        <f>tf!K12</f>
        <v>522363.48885615345</v>
      </c>
      <c r="E12" s="45"/>
      <c r="F12" s="45">
        <f t="shared" si="0"/>
        <v>3360102.4408282246</v>
      </c>
      <c r="G12" s="45">
        <f t="shared" si="1"/>
        <v>2356708.2473842171</v>
      </c>
    </row>
    <row r="13" spans="1:10">
      <c r="A13">
        <v>2023</v>
      </c>
      <c r="B13" s="45">
        <f>ma!BN13</f>
        <v>537115.4764111304</v>
      </c>
      <c r="C13" s="45">
        <f>'r22'!AE13</f>
        <v>2399224.6659763823</v>
      </c>
      <c r="D13" s="45">
        <f>tf!K13</f>
        <v>532810.75863327645</v>
      </c>
      <c r="E13" s="45"/>
      <c r="F13" s="45">
        <f t="shared" si="0"/>
        <v>3469150.9010207891</v>
      </c>
      <c r="G13" s="45">
        <f t="shared" si="1"/>
        <v>2362322.9546886468</v>
      </c>
    </row>
    <row r="14" spans="1:10">
      <c r="A14">
        <v>2024</v>
      </c>
      <c r="B14" s="45">
        <f>ma!BN14</f>
        <v>547857.78593935294</v>
      </c>
      <c r="C14" s="45">
        <f>'r22'!AE14</f>
        <v>2487244.0797599107</v>
      </c>
      <c r="D14" s="45">
        <f>tf!K14</f>
        <v>543466.97380594199</v>
      </c>
      <c r="E14" s="45"/>
      <c r="F14" s="45">
        <f t="shared" si="0"/>
        <v>3578568.8395052059</v>
      </c>
      <c r="G14" s="45">
        <f t="shared" si="1"/>
        <v>2365855.5791445645</v>
      </c>
    </row>
    <row r="15" spans="1:10">
      <c r="A15">
        <v>2025</v>
      </c>
      <c r="B15" s="45">
        <f>ma!BN15</f>
        <v>558814.94165814004</v>
      </c>
      <c r="C15" s="45">
        <f>'r22'!AE15</f>
        <v>2575212.3909071088</v>
      </c>
      <c r="D15" s="45">
        <f>tf!K15</f>
        <v>554336.3132820609</v>
      </c>
      <c r="E15" s="45"/>
      <c r="F15" s="45">
        <f t="shared" si="0"/>
        <v>3688363.6458473098</v>
      </c>
      <c r="G15" s="45">
        <f t="shared" si="1"/>
        <v>2367420.272430812</v>
      </c>
    </row>
    <row r="16" spans="1:10">
      <c r="A16">
        <v>2026</v>
      </c>
      <c r="B16" s="45">
        <f>ma!BN16</f>
        <v>569991.2404913028</v>
      </c>
      <c r="C16" s="45">
        <f>'r22'!AE16</f>
        <v>2663128.5773652513</v>
      </c>
      <c r="D16" s="45">
        <f>tf!K16</f>
        <v>565423.03954770206</v>
      </c>
      <c r="E16" s="45"/>
      <c r="F16" s="45">
        <f t="shared" si="0"/>
        <v>3798542.8574042562</v>
      </c>
      <c r="G16" s="45">
        <f t="shared" si="1"/>
        <v>2367126.3259450379</v>
      </c>
    </row>
    <row r="17" spans="1:7">
      <c r="A17">
        <v>2027</v>
      </c>
      <c r="B17" s="45">
        <f>ma!BN17</f>
        <v>581391.06530112901</v>
      </c>
      <c r="C17" s="45">
        <f>'r22'!AE17</f>
        <v>2750991.5966405557</v>
      </c>
      <c r="D17" s="45">
        <f>tf!K17</f>
        <v>576731.50033865601</v>
      </c>
      <c r="E17" s="45"/>
      <c r="F17" s="45">
        <f t="shared" si="0"/>
        <v>3909114.1622803407</v>
      </c>
      <c r="G17" s="45">
        <f t="shared" si="1"/>
        <v>2365078.3568643122</v>
      </c>
    </row>
    <row r="18" spans="1:7">
      <c r="A18">
        <v>2028</v>
      </c>
      <c r="B18" s="45">
        <f>ma!BN18</f>
        <v>593018.88660715148</v>
      </c>
      <c r="C18" s="45">
        <f>'r22'!AE18</f>
        <v>2838800.3853893671</v>
      </c>
      <c r="D18" s="45">
        <f>tf!K18</f>
        <v>588266.13034542918</v>
      </c>
      <c r="E18" s="45"/>
      <c r="F18" s="45">
        <f t="shared" si="0"/>
        <v>4020085.4023419479</v>
      </c>
      <c r="G18" s="45">
        <f t="shared" si="1"/>
        <v>2361376.4874925944</v>
      </c>
    </row>
    <row r="19" spans="1:7">
      <c r="A19">
        <v>2029</v>
      </c>
      <c r="B19" s="45">
        <f>ma!BN19</f>
        <v>604879.26433929452</v>
      </c>
      <c r="C19" s="45">
        <f>'r22'!AE19</f>
        <v>2926553.859001155</v>
      </c>
      <c r="D19" s="45">
        <f>tf!K19</f>
        <v>600031.45295233768</v>
      </c>
      <c r="E19" s="45"/>
      <c r="F19" s="45">
        <f t="shared" si="0"/>
        <v>4131464.5762927867</v>
      </c>
      <c r="G19" s="45">
        <f t="shared" si="1"/>
        <v>2356116.5181282265</v>
      </c>
    </row>
    <row r="20" spans="1:7">
      <c r="A20">
        <v>2030</v>
      </c>
      <c r="B20" s="45">
        <f>ma!BN20</f>
        <v>616976.84962608048</v>
      </c>
      <c r="C20" s="45">
        <f>'r22'!AE20</f>
        <v>3014250.9111731779</v>
      </c>
      <c r="D20" s="45">
        <f>tf!K20</f>
        <v>612032.08201138454</v>
      </c>
      <c r="E20" s="45"/>
      <c r="F20" s="45">
        <f t="shared" si="0"/>
        <v>4243259.8428106429</v>
      </c>
      <c r="G20" s="45">
        <f t="shared" si="1"/>
        <v>2349390.093676772</v>
      </c>
    </row>
    <row r="21" spans="1:7">
      <c r="A21">
        <v>2031</v>
      </c>
      <c r="B21" s="45">
        <f>ma!BN21</f>
        <v>629316.38661860197</v>
      </c>
      <c r="C21" s="45">
        <f>'r22'!AE21</f>
        <v>3101890.4134766404</v>
      </c>
      <c r="D21" s="45">
        <f>tf!K21</f>
        <v>624272.72365161218</v>
      </c>
      <c r="E21" s="45"/>
      <c r="F21" s="45">
        <f t="shared" si="0"/>
        <v>4355479.5237468546</v>
      </c>
      <c r="G21" s="45">
        <f t="shared" si="1"/>
        <v>2341284.864226873</v>
      </c>
    </row>
    <row r="23" spans="1:7">
      <c r="B23" t="s">
        <v>77</v>
      </c>
      <c r="G23" s="1">
        <f>SUM(G2:G22)</f>
        <v>46194961.460079677</v>
      </c>
    </row>
    <row r="24" spans="1:7">
      <c r="B24" t="s">
        <v>75</v>
      </c>
      <c r="G24" s="45">
        <f>costs!I23</f>
        <v>-11612547.618747337</v>
      </c>
    </row>
    <row r="25" spans="1:7" ht="15.75" thickBot="1">
      <c r="B25" s="46" t="s">
        <v>76</v>
      </c>
      <c r="G25" s="45">
        <f>G23-G24</f>
        <v>57807509.078827016</v>
      </c>
    </row>
    <row r="26" spans="1:7" ht="15.75" thickBot="1">
      <c r="B26" s="31" t="s">
        <v>7</v>
      </c>
      <c r="C26" s="32"/>
      <c r="D26" s="32"/>
      <c r="E26" s="33"/>
      <c r="F26" s="33"/>
      <c r="G26" s="34" t="s">
        <v>74</v>
      </c>
    </row>
  </sheetData>
  <dataValidations count="1">
    <dataValidation type="list" allowBlank="1" showInputMessage="1" showErrorMessage="1" sqref="J1">
      <formula1>"3%,7%"</formula1>
    </dataValidation>
  </dataValidations>
  <pageMargins left="0.7" right="0.7" top="0.75" bottom="0.75" header="0.3" footer="0.3"/>
  <pageSetup orientation="landscape" r:id="rId1"/>
  <headerFooter>
    <oddFooter>&amp;L&amp;A&amp;CPage &amp;P of &amp;N&amp;R&amp;D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O21"/>
  <sheetViews>
    <sheetView zoomScaleNormal="100" workbookViewId="0"/>
  </sheetViews>
  <sheetFormatPr defaultRowHeight="15"/>
  <cols>
    <col min="2" max="2" width="14.7109375" customWidth="1"/>
    <col min="3" max="4" width="10.7109375" style="4" customWidth="1"/>
    <col min="5" max="8" width="14.7109375" style="4" customWidth="1"/>
    <col min="9" max="9" width="17.7109375" style="4" customWidth="1"/>
    <col min="10" max="10" width="2.7109375" style="4" customWidth="1"/>
    <col min="11" max="14" width="10.7109375" style="2" customWidth="1"/>
    <col min="15" max="15" width="2.7109375" style="2" customWidth="1"/>
    <col min="16" max="17" width="10.7109375" style="2" customWidth="1"/>
    <col min="18" max="18" width="12.7109375" style="2" customWidth="1"/>
    <col min="19" max="19" width="10.7109375" style="2" customWidth="1"/>
    <col min="20" max="20" width="2.7109375" style="2" customWidth="1"/>
    <col min="21" max="25" width="10.7109375" style="2" customWidth="1"/>
    <col min="26" max="26" width="11.7109375" style="2" customWidth="1"/>
    <col min="27" max="28" width="10.7109375" style="2" customWidth="1"/>
    <col min="29" max="29" width="2.7109375" style="2" customWidth="1"/>
    <col min="30" max="31" width="10.7109375" style="2" customWidth="1"/>
    <col min="32" max="32" width="2.7109375" style="2" customWidth="1"/>
    <col min="33" max="39" width="11.7109375" style="2" customWidth="1"/>
    <col min="40" max="40" width="2.7109375" style="2" customWidth="1"/>
    <col min="41" max="44" width="10.7109375" style="2" customWidth="1"/>
    <col min="45" max="45" width="2.7109375" style="2" customWidth="1"/>
    <col min="46" max="49" width="10.7109375" style="2" customWidth="1"/>
    <col min="50" max="50" width="2.7109375" style="2" customWidth="1"/>
    <col min="51" max="51" width="10.7109375" style="2" customWidth="1"/>
    <col min="52" max="52" width="2.7109375" style="2" customWidth="1"/>
    <col min="53" max="53" width="10.7109375" style="2" customWidth="1"/>
    <col min="54" max="54" width="10.42578125" style="2" customWidth="1"/>
    <col min="55" max="56" width="10.7109375" style="2" customWidth="1"/>
    <col min="57" max="57" width="2.7109375" style="2" customWidth="1"/>
    <col min="58" max="58" width="10.7109375" style="2" customWidth="1"/>
    <col min="59" max="61" width="14.7109375" style="2" customWidth="1"/>
    <col min="62" max="64" width="10.7109375" style="2" customWidth="1"/>
    <col min="65" max="65" width="2.7109375" style="2" customWidth="1"/>
    <col min="66" max="66" width="12.7109375" bestFit="1" customWidth="1"/>
  </cols>
  <sheetData>
    <row r="1" spans="1:67" s="35" customFormat="1" ht="165">
      <c r="B1" s="36" t="s">
        <v>71</v>
      </c>
      <c r="C1" s="36" t="s">
        <v>0</v>
      </c>
      <c r="D1" s="36" t="s">
        <v>9</v>
      </c>
      <c r="E1" s="36" t="s">
        <v>52</v>
      </c>
      <c r="F1" s="36" t="s">
        <v>54</v>
      </c>
      <c r="G1" s="36" t="s">
        <v>55</v>
      </c>
      <c r="H1" s="36" t="s">
        <v>66</v>
      </c>
      <c r="I1" s="36" t="s">
        <v>63</v>
      </c>
      <c r="J1" s="36"/>
      <c r="K1" s="36" t="s">
        <v>88</v>
      </c>
      <c r="L1" s="36" t="s">
        <v>87</v>
      </c>
      <c r="M1" s="36" t="s">
        <v>89</v>
      </c>
      <c r="N1" s="36" t="s">
        <v>90</v>
      </c>
      <c r="O1" s="36"/>
      <c r="P1" s="36" t="s">
        <v>28</v>
      </c>
      <c r="Q1" s="36" t="s">
        <v>29</v>
      </c>
      <c r="R1" s="36" t="s">
        <v>30</v>
      </c>
      <c r="S1" s="36" t="s">
        <v>31</v>
      </c>
      <c r="T1" s="36"/>
      <c r="U1" s="36" t="s">
        <v>32</v>
      </c>
      <c r="V1" s="36" t="s">
        <v>97</v>
      </c>
      <c r="W1" s="36" t="s">
        <v>33</v>
      </c>
      <c r="X1" s="36" t="s">
        <v>98</v>
      </c>
      <c r="Y1" s="36" t="s">
        <v>34</v>
      </c>
      <c r="Z1" s="36" t="s">
        <v>99</v>
      </c>
      <c r="AA1" s="36" t="s">
        <v>60</v>
      </c>
      <c r="AB1" s="36" t="s">
        <v>61</v>
      </c>
      <c r="AC1" s="36"/>
      <c r="AD1" s="36" t="s">
        <v>64</v>
      </c>
      <c r="AE1" s="36" t="s">
        <v>65</v>
      </c>
      <c r="AF1" s="36"/>
      <c r="AG1" s="36" t="s">
        <v>35</v>
      </c>
      <c r="AH1" s="36" t="s">
        <v>36</v>
      </c>
      <c r="AI1" s="36" t="s">
        <v>37</v>
      </c>
      <c r="AJ1" s="36" t="s">
        <v>45</v>
      </c>
      <c r="AK1" s="36" t="s">
        <v>40</v>
      </c>
      <c r="AL1" s="36" t="s">
        <v>38</v>
      </c>
      <c r="AM1" s="36" t="s">
        <v>39</v>
      </c>
      <c r="AN1" s="36"/>
      <c r="AO1" s="36" t="s">
        <v>41</v>
      </c>
      <c r="AP1" s="36" t="s">
        <v>42</v>
      </c>
      <c r="AQ1" s="36" t="s">
        <v>43</v>
      </c>
      <c r="AR1" s="36" t="s">
        <v>44</v>
      </c>
      <c r="AS1" s="36"/>
      <c r="AT1" s="36" t="s">
        <v>46</v>
      </c>
      <c r="AU1" s="36" t="s">
        <v>47</v>
      </c>
      <c r="AV1" s="36" t="s">
        <v>48</v>
      </c>
      <c r="AW1" s="36" t="s">
        <v>49</v>
      </c>
      <c r="AX1" s="36"/>
      <c r="AY1" s="36" t="s">
        <v>68</v>
      </c>
      <c r="AZ1" s="36"/>
      <c r="BA1" s="36" t="s">
        <v>53</v>
      </c>
      <c r="BB1" s="36" t="s">
        <v>57</v>
      </c>
      <c r="BC1" s="36" t="s">
        <v>50</v>
      </c>
      <c r="BD1" s="36" t="s">
        <v>51</v>
      </c>
      <c r="BE1" s="36"/>
      <c r="BF1" s="36" t="s">
        <v>91</v>
      </c>
      <c r="BG1" s="36" t="s">
        <v>62</v>
      </c>
      <c r="BH1" s="36" t="s">
        <v>100</v>
      </c>
      <c r="BI1" s="36" t="s">
        <v>67</v>
      </c>
      <c r="BJ1" s="36" t="s">
        <v>56</v>
      </c>
      <c r="BK1" s="36" t="s">
        <v>58</v>
      </c>
      <c r="BL1" s="36" t="s">
        <v>59</v>
      </c>
      <c r="BM1" s="36"/>
      <c r="BN1" s="36" t="s">
        <v>1</v>
      </c>
    </row>
    <row r="2" spans="1:67">
      <c r="A2">
        <v>2012</v>
      </c>
      <c r="B2" s="6">
        <f>70%*10.6+30%*21.2</f>
        <v>13.779999999999998</v>
      </c>
      <c r="C2" s="43">
        <v>1.2</v>
      </c>
      <c r="D2" s="6">
        <v>0.28000000000000003</v>
      </c>
      <c r="E2" s="9">
        <v>2.8000000000000001E-2</v>
      </c>
      <c r="F2" s="40">
        <v>1.45</v>
      </c>
      <c r="G2" s="9">
        <v>7.0000000000000007E-2</v>
      </c>
      <c r="H2" s="42">
        <v>128</v>
      </c>
      <c r="I2" s="42">
        <v>10</v>
      </c>
      <c r="J2" s="9"/>
      <c r="K2" s="10">
        <f>M2/365</f>
        <v>931.06849315068496</v>
      </c>
      <c r="L2" s="44">
        <f>N2/365</f>
        <v>62.07123287671233</v>
      </c>
      <c r="M2" s="10">
        <f>3*(AP2+AQ2)</f>
        <v>339840</v>
      </c>
      <c r="N2" s="10">
        <f>M2/15</f>
        <v>22656</v>
      </c>
      <c r="O2" s="10"/>
      <c r="P2" s="10">
        <f>16000*70%</f>
        <v>11200</v>
      </c>
      <c r="Q2" s="10">
        <f>P2</f>
        <v>11200</v>
      </c>
      <c r="R2" s="10">
        <f>16000*30%</f>
        <v>4800</v>
      </c>
      <c r="S2" s="10">
        <f>R2</f>
        <v>4800</v>
      </c>
      <c r="T2" s="38"/>
      <c r="U2" s="48">
        <v>0.04</v>
      </c>
      <c r="V2" s="48">
        <v>7.0000000000000007E-2</v>
      </c>
      <c r="W2" s="48">
        <v>0.02</v>
      </c>
      <c r="X2" s="48">
        <v>0.06</v>
      </c>
      <c r="Y2" s="48">
        <v>0.02</v>
      </c>
      <c r="Z2" s="48">
        <v>0.04</v>
      </c>
      <c r="AA2" s="48">
        <v>0</v>
      </c>
      <c r="AB2" s="48">
        <v>0</v>
      </c>
      <c r="AC2" s="10"/>
      <c r="AD2" s="15">
        <f>R2/(P2+R2)</f>
        <v>0.3</v>
      </c>
      <c r="AE2" s="15">
        <f>S2/(Q2+S2)</f>
        <v>0.3</v>
      </c>
      <c r="AF2" s="10"/>
      <c r="AG2" s="10">
        <v>75</v>
      </c>
      <c r="AH2" s="10">
        <v>260</v>
      </c>
      <c r="AI2" s="10">
        <v>100</v>
      </c>
      <c r="AJ2" s="10">
        <v>240</v>
      </c>
      <c r="AK2" s="10">
        <v>100</v>
      </c>
      <c r="AL2" s="10">
        <v>0</v>
      </c>
      <c r="AM2" s="10">
        <v>260</v>
      </c>
      <c r="AN2" s="10"/>
      <c r="AO2" s="10">
        <f>(Q2*$V$2*$AG$2+S2*$V$2*$AH$2)-(P2*$U$2*$AG$2+R2*$U$2*$AH$2)</f>
        <v>62640.000000000029</v>
      </c>
      <c r="AP2" s="10">
        <f>(Q2*$X$2*$AI$2+S2*$X$2*$AJ$2)-(P2*$W$2*$AI$2+R2*$W$2*$AJ$2)</f>
        <v>90880</v>
      </c>
      <c r="AQ2" s="10">
        <f>(Q2*$Z$2*$AK$2+S2*$Z$2*$AL$2)-(P2*$Y$2*$AK$2+R2*$Y$2*$AL$2)</f>
        <v>22400</v>
      </c>
      <c r="AR2" s="10">
        <f>(S2+Q2)*AE2*$AB$2*$AM$2-(R2+P2)*AD2*$AA$2*$AM$2</f>
        <v>0</v>
      </c>
      <c r="AS2" s="10"/>
      <c r="AT2" s="15">
        <f>AO2/SUM($AO2:$AR2)</f>
        <v>0.35607094133697148</v>
      </c>
      <c r="AU2" s="15">
        <f t="shared" ref="AU2:AW17" si="0">AP2/SUM($AO2:$AR2)</f>
        <v>0.51659845384265568</v>
      </c>
      <c r="AV2" s="15">
        <f t="shared" si="0"/>
        <v>0.12733060482037287</v>
      </c>
      <c r="AW2" s="15">
        <f t="shared" si="0"/>
        <v>0</v>
      </c>
      <c r="AX2" s="10"/>
      <c r="AY2" s="39">
        <f>-AV2*N2*$C$2*(4-1)</f>
        <v>-10385.287858117325</v>
      </c>
      <c r="AZ2" s="10"/>
      <c r="BA2" s="39">
        <f>-M2*AT2/20</f>
        <v>-6050.3574351978195</v>
      </c>
      <c r="BB2" s="39">
        <f>-N2*AT2/20</f>
        <v>-403.35716234652125</v>
      </c>
      <c r="BC2" s="39">
        <f>-M2*AW2/2</f>
        <v>0</v>
      </c>
      <c r="BD2" s="39">
        <f>-N2*AW2/2</f>
        <v>0</v>
      </c>
      <c r="BE2" s="10"/>
      <c r="BF2" s="1">
        <f t="shared" ref="BF2:BF21" si="1">($D$2+$E$2)*M2</f>
        <v>104670.72000000002</v>
      </c>
      <c r="BG2" s="3">
        <f t="shared" ref="BG2:BG21" si="2">((S2+Q2)*$X$2-(R2+P2)*$W$2)*$H$2</f>
        <v>81920</v>
      </c>
      <c r="BH2" s="3">
        <f>(Q2*$X$2-P2*W2)*$AI$2*$I$2/2</f>
        <v>224000</v>
      </c>
      <c r="BI2" s="3">
        <f>(Q2*$Z$2-P2*$Y$2)*$H$2</f>
        <v>28672</v>
      </c>
      <c r="BJ2" s="41">
        <f>AY2*10.6</f>
        <v>-110084.05129604363</v>
      </c>
      <c r="BK2" s="41">
        <f t="shared" ref="BK2:BK21" si="3">BA2*($F$2+$G$2)</f>
        <v>-9196.5433015006856</v>
      </c>
      <c r="BL2" s="41">
        <f t="shared" ref="BL2:BL21" si="4">($D$2+$E$2)*BC2</f>
        <v>0</v>
      </c>
      <c r="BM2" s="10"/>
      <c r="BN2" s="41">
        <f>SUM(BF2:BM2)</f>
        <v>319982.12540245574</v>
      </c>
    </row>
    <row r="3" spans="1:67">
      <c r="A3">
        <v>2013</v>
      </c>
      <c r="K3" s="10">
        <f t="shared" ref="K3:K21" si="5">M3/365</f>
        <v>949.68986301369864</v>
      </c>
      <c r="L3" s="44">
        <f t="shared" ref="L3:L21" si="6">N3/365</f>
        <v>63.312657534246576</v>
      </c>
      <c r="M3" s="10">
        <f t="shared" ref="M3:M21" si="7">3*(AP3+AQ3)</f>
        <v>346636.79999999999</v>
      </c>
      <c r="N3" s="10">
        <f t="shared" ref="N3:N21" si="8">M3/15</f>
        <v>23109.119999999999</v>
      </c>
      <c r="O3" s="10"/>
      <c r="P3" s="10">
        <f>P2*1.02</f>
        <v>11424</v>
      </c>
      <c r="Q3" s="10">
        <f t="shared" ref="Q3:Q21" si="9">P3</f>
        <v>11424</v>
      </c>
      <c r="R3" s="10">
        <f>R2*1.02</f>
        <v>4896</v>
      </c>
      <c r="S3" s="10">
        <f t="shared" ref="S3:S21" si="10">R3</f>
        <v>4896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5">
        <f t="shared" ref="AD3:AE21" si="11">R3/(P3+R3)</f>
        <v>0.3</v>
      </c>
      <c r="AE3" s="15">
        <f t="shared" si="11"/>
        <v>0.3</v>
      </c>
      <c r="AF3" s="10"/>
      <c r="AG3" s="10"/>
      <c r="AH3" s="10"/>
      <c r="AI3" s="10"/>
      <c r="AJ3" s="10"/>
      <c r="AK3" s="10"/>
      <c r="AL3" s="10"/>
      <c r="AM3" s="10"/>
      <c r="AN3" s="10"/>
      <c r="AO3" s="10">
        <f t="shared" ref="AO3:AO21" si="12">(Q3*$V$2*$AG$2+S3*$V$2*$AH$2)-(P3*$U$2*$AG$2+R3*$U$2*$AH$2)</f>
        <v>63892.800000000017</v>
      </c>
      <c r="AP3" s="10">
        <f t="shared" ref="AP3:AP21" si="13">(Q3*$X$2*$AI$2+S3*$X$2*$AJ$2)-(P3*$W$2*$AI$2+R3*$W$2*$AJ$2)</f>
        <v>92697.599999999991</v>
      </c>
      <c r="AQ3" s="10">
        <f t="shared" ref="AQ3:AQ21" si="14">(Q3*$Z$2*$AK$2+S3*$Z$2*$AL$2)-(P3*$Y$2*$AK$2+R3*$Y$2*$AL$2)</f>
        <v>22848</v>
      </c>
      <c r="AR3" s="10">
        <f t="shared" ref="AR3:AR21" si="15">(S3+Q3)*AE3*$AB$2*$AM$2-(R3+P3)*AD3*$AA$2*$AM$2</f>
        <v>0</v>
      </c>
      <c r="AS3" s="10"/>
      <c r="AT3" s="15">
        <f t="shared" ref="AT3:AW21" si="16">AO3/SUM($AO3:$AR3)</f>
        <v>0.35607094133697142</v>
      </c>
      <c r="AU3" s="15">
        <f t="shared" si="0"/>
        <v>0.51659845384265568</v>
      </c>
      <c r="AV3" s="15">
        <f t="shared" si="0"/>
        <v>0.12733060482037287</v>
      </c>
      <c r="AW3" s="15">
        <f t="shared" si="0"/>
        <v>0</v>
      </c>
      <c r="AX3" s="10"/>
      <c r="AY3" s="39">
        <f t="shared" ref="AY3:AY21" si="17">-AV3*N3*$C$2*(4-1)</f>
        <v>-10592.993615279671</v>
      </c>
      <c r="AZ3" s="10"/>
      <c r="BA3" s="39">
        <f t="shared" ref="BA3:BA21" si="18">-M3*AT3/20</f>
        <v>-6171.3645839017745</v>
      </c>
      <c r="BB3" s="39">
        <f t="shared" ref="BB3:BB21" si="19">-N3*AT3/20</f>
        <v>-411.42430559345166</v>
      </c>
      <c r="BC3" s="39">
        <f t="shared" ref="BC3:BC21" si="20">-M3*AW3/2</f>
        <v>0</v>
      </c>
      <c r="BD3" s="39">
        <f t="shared" ref="BD3:BD21" si="21">-N3*AW3/2</f>
        <v>0</v>
      </c>
      <c r="BE3" s="10"/>
      <c r="BF3" s="1">
        <f t="shared" si="1"/>
        <v>106764.13440000001</v>
      </c>
      <c r="BG3" s="3">
        <f t="shared" si="2"/>
        <v>83558.399999999994</v>
      </c>
      <c r="BH3" s="3">
        <f t="shared" ref="BH3:BH21" si="22">(Q3*$X$2-P3*W3)*$AI$2*$I$2/2</f>
        <v>342720</v>
      </c>
      <c r="BI3" s="3">
        <f t="shared" ref="BI3:BI21" si="23">(Q3*$Z$2-P3*$Y$2)*$H$2</f>
        <v>29245.440000000002</v>
      </c>
      <c r="BJ3" s="41">
        <f t="shared" ref="BJ3:BJ21" si="24">AY3*10.6</f>
        <v>-112285.7323219645</v>
      </c>
      <c r="BK3" s="41">
        <f t="shared" si="3"/>
        <v>-9380.4741675306977</v>
      </c>
      <c r="BL3" s="41">
        <f t="shared" si="4"/>
        <v>0</v>
      </c>
      <c r="BM3" s="10"/>
      <c r="BN3" s="41">
        <f t="shared" ref="BN3:BN21" si="25">SUM(BF3:BM3)</f>
        <v>440621.76791050471</v>
      </c>
      <c r="BO3" s="7"/>
    </row>
    <row r="4" spans="1:67">
      <c r="A4">
        <v>2014</v>
      </c>
      <c r="K4" s="10">
        <f t="shared" si="5"/>
        <v>968.68366027397246</v>
      </c>
      <c r="L4" s="44">
        <f t="shared" si="6"/>
        <v>64.5789106849315</v>
      </c>
      <c r="M4" s="10">
        <f t="shared" si="7"/>
        <v>353569.53599999996</v>
      </c>
      <c r="N4" s="10">
        <f t="shared" si="8"/>
        <v>23571.302399999997</v>
      </c>
      <c r="O4" s="10"/>
      <c r="P4" s="10">
        <f t="shared" ref="P4:P21" si="26">P3*1.02</f>
        <v>11652.48</v>
      </c>
      <c r="Q4" s="10">
        <f t="shared" si="9"/>
        <v>11652.48</v>
      </c>
      <c r="R4" s="10">
        <f t="shared" ref="R4:R21" si="27">R3*1.02</f>
        <v>4993.92</v>
      </c>
      <c r="S4" s="10">
        <f t="shared" si="10"/>
        <v>4993.92</v>
      </c>
      <c r="T4" s="10"/>
      <c r="U4" s="10"/>
      <c r="V4" s="10"/>
      <c r="W4" s="10"/>
      <c r="X4" s="10"/>
      <c r="Y4" s="10"/>
      <c r="Z4" s="10"/>
      <c r="AA4" s="10"/>
      <c r="AB4" s="10"/>
      <c r="AC4" s="10"/>
      <c r="AD4" s="15">
        <f t="shared" si="11"/>
        <v>0.3</v>
      </c>
      <c r="AE4" s="15">
        <f t="shared" si="11"/>
        <v>0.3</v>
      </c>
      <c r="AF4" s="10"/>
      <c r="AG4" s="10"/>
      <c r="AH4" s="10"/>
      <c r="AI4" s="10"/>
      <c r="AJ4" s="10"/>
      <c r="AK4" s="10"/>
      <c r="AL4" s="10"/>
      <c r="AM4" s="10"/>
      <c r="AN4" s="10"/>
      <c r="AO4" s="10">
        <f t="shared" si="12"/>
        <v>65170.656000000003</v>
      </c>
      <c r="AP4" s="10">
        <f t="shared" si="13"/>
        <v>94551.551999999981</v>
      </c>
      <c r="AQ4" s="10">
        <f t="shared" si="14"/>
        <v>23304.959999999999</v>
      </c>
      <c r="AR4" s="10">
        <f t="shared" si="15"/>
        <v>0</v>
      </c>
      <c r="AS4" s="10"/>
      <c r="AT4" s="15">
        <f t="shared" si="16"/>
        <v>0.35607094133697142</v>
      </c>
      <c r="AU4" s="15">
        <f t="shared" si="0"/>
        <v>0.51659845384265568</v>
      </c>
      <c r="AV4" s="15">
        <f t="shared" si="0"/>
        <v>0.12733060482037292</v>
      </c>
      <c r="AW4" s="15">
        <f t="shared" si="0"/>
        <v>0</v>
      </c>
      <c r="AX4" s="10"/>
      <c r="AY4" s="39">
        <f t="shared" si="17"/>
        <v>-10804.853487585266</v>
      </c>
      <c r="AZ4" s="10"/>
      <c r="BA4" s="39">
        <f t="shared" si="18"/>
        <v>-6294.79187557981</v>
      </c>
      <c r="BB4" s="39">
        <f t="shared" si="19"/>
        <v>-419.65279170532068</v>
      </c>
      <c r="BC4" s="39">
        <f t="shared" si="20"/>
        <v>0</v>
      </c>
      <c r="BD4" s="39">
        <f t="shared" si="21"/>
        <v>0</v>
      </c>
      <c r="BE4" s="10"/>
      <c r="BF4" s="1">
        <f t="shared" si="1"/>
        <v>108899.417088</v>
      </c>
      <c r="BG4" s="3">
        <f t="shared" si="2"/>
        <v>85229.567999999999</v>
      </c>
      <c r="BH4" s="3">
        <f t="shared" si="22"/>
        <v>349574.39999999997</v>
      </c>
      <c r="BI4" s="3">
        <f t="shared" si="23"/>
        <v>29830.3488</v>
      </c>
      <c r="BJ4" s="41">
        <f t="shared" si="24"/>
        <v>-114531.4469684038</v>
      </c>
      <c r="BK4" s="41">
        <f t="shared" si="3"/>
        <v>-9568.0836508813118</v>
      </c>
      <c r="BL4" s="41">
        <f t="shared" si="4"/>
        <v>0</v>
      </c>
      <c r="BM4" s="10"/>
      <c r="BN4" s="41">
        <f t="shared" si="25"/>
        <v>449434.20326871489</v>
      </c>
      <c r="BO4" s="7"/>
    </row>
    <row r="5" spans="1:67">
      <c r="A5">
        <v>2015</v>
      </c>
      <c r="K5" s="10">
        <f t="shared" si="5"/>
        <v>988.05733347945204</v>
      </c>
      <c r="L5" s="44">
        <f t="shared" si="6"/>
        <v>65.870488898630128</v>
      </c>
      <c r="M5" s="10">
        <f t="shared" si="7"/>
        <v>360640.92671999999</v>
      </c>
      <c r="N5" s="10">
        <f t="shared" si="8"/>
        <v>24042.728447999998</v>
      </c>
      <c r="O5" s="10"/>
      <c r="P5" s="10">
        <f t="shared" si="26"/>
        <v>11885.5296</v>
      </c>
      <c r="Q5" s="10">
        <f t="shared" si="9"/>
        <v>11885.5296</v>
      </c>
      <c r="R5" s="10">
        <f t="shared" si="27"/>
        <v>5093.7984000000006</v>
      </c>
      <c r="S5" s="10">
        <f t="shared" si="10"/>
        <v>5093.7984000000006</v>
      </c>
      <c r="T5" s="10"/>
      <c r="U5" s="10"/>
      <c r="V5" s="10"/>
      <c r="W5" s="10"/>
      <c r="X5" s="10"/>
      <c r="Y5" s="10"/>
      <c r="Z5" s="10"/>
      <c r="AA5" s="10"/>
      <c r="AB5" s="10"/>
      <c r="AC5" s="10"/>
      <c r="AD5" s="15">
        <f t="shared" si="11"/>
        <v>0.3</v>
      </c>
      <c r="AE5" s="15">
        <f t="shared" si="11"/>
        <v>0.3</v>
      </c>
      <c r="AF5" s="10"/>
      <c r="AG5" s="10"/>
      <c r="AH5" s="10"/>
      <c r="AI5" s="10"/>
      <c r="AJ5" s="10"/>
      <c r="AK5" s="10"/>
      <c r="AL5" s="10"/>
      <c r="AM5" s="10"/>
      <c r="AN5" s="10"/>
      <c r="AO5" s="10">
        <f t="shared" si="12"/>
        <v>66474.069120000029</v>
      </c>
      <c r="AP5" s="10">
        <f t="shared" si="13"/>
        <v>96442.583039999998</v>
      </c>
      <c r="AQ5" s="10">
        <f t="shared" si="14"/>
        <v>23771.0592</v>
      </c>
      <c r="AR5" s="10">
        <f t="shared" si="15"/>
        <v>0</v>
      </c>
      <c r="AS5" s="10"/>
      <c r="AT5" s="15">
        <f t="shared" si="16"/>
        <v>0.35607094133697148</v>
      </c>
      <c r="AU5" s="15">
        <f t="shared" si="0"/>
        <v>0.51659845384265568</v>
      </c>
      <c r="AV5" s="15">
        <f t="shared" si="0"/>
        <v>0.12733060482037289</v>
      </c>
      <c r="AW5" s="15">
        <f t="shared" si="0"/>
        <v>0</v>
      </c>
      <c r="AX5" s="10"/>
      <c r="AY5" s="39">
        <f t="shared" si="17"/>
        <v>-11020.950557336972</v>
      </c>
      <c r="AZ5" s="10"/>
      <c r="BA5" s="39">
        <f t="shared" si="18"/>
        <v>-6420.6877130914072</v>
      </c>
      <c r="BB5" s="39">
        <f t="shared" si="19"/>
        <v>-428.0458475394272</v>
      </c>
      <c r="BC5" s="39">
        <f t="shared" si="20"/>
        <v>0</v>
      </c>
      <c r="BD5" s="39">
        <f t="shared" si="21"/>
        <v>0</v>
      </c>
      <c r="BE5" s="10"/>
      <c r="BF5" s="1">
        <f t="shared" si="1"/>
        <v>111077.40542976001</v>
      </c>
      <c r="BG5" s="3">
        <f t="shared" si="2"/>
        <v>86934.159359999991</v>
      </c>
      <c r="BH5" s="3">
        <f t="shared" si="22"/>
        <v>356565.88799999998</v>
      </c>
      <c r="BI5" s="3">
        <f t="shared" si="23"/>
        <v>30426.955775999999</v>
      </c>
      <c r="BJ5" s="41">
        <f t="shared" si="24"/>
        <v>-116822.0759077719</v>
      </c>
      <c r="BK5" s="41">
        <f t="shared" si="3"/>
        <v>-9759.445323898939</v>
      </c>
      <c r="BL5" s="41">
        <f t="shared" si="4"/>
        <v>0</v>
      </c>
      <c r="BM5" s="10"/>
      <c r="BN5" s="41">
        <f t="shared" si="25"/>
        <v>458422.8873340892</v>
      </c>
      <c r="BO5" s="7"/>
    </row>
    <row r="6" spans="1:67">
      <c r="A6">
        <v>2016</v>
      </c>
      <c r="K6" s="10">
        <f t="shared" si="5"/>
        <v>1007.8184801490413</v>
      </c>
      <c r="L6" s="44">
        <f t="shared" si="6"/>
        <v>67.187898676602757</v>
      </c>
      <c r="M6" s="10">
        <f t="shared" si="7"/>
        <v>367853.74525440007</v>
      </c>
      <c r="N6" s="10">
        <f t="shared" si="8"/>
        <v>24523.583016960005</v>
      </c>
      <c r="O6" s="10"/>
      <c r="P6" s="10">
        <f t="shared" si="26"/>
        <v>12123.240191999999</v>
      </c>
      <c r="Q6" s="10">
        <f t="shared" si="9"/>
        <v>12123.240191999999</v>
      </c>
      <c r="R6" s="10">
        <f t="shared" si="27"/>
        <v>5195.6743680000009</v>
      </c>
      <c r="S6" s="10">
        <f t="shared" si="10"/>
        <v>5195.6743680000009</v>
      </c>
      <c r="T6" s="10"/>
      <c r="U6" s="10"/>
      <c r="V6" s="10"/>
      <c r="W6" s="10"/>
      <c r="X6" s="10"/>
      <c r="Y6" s="10"/>
      <c r="Z6" s="10"/>
      <c r="AA6" s="10"/>
      <c r="AB6" s="10"/>
      <c r="AC6" s="10"/>
      <c r="AD6" s="15">
        <f t="shared" si="11"/>
        <v>0.30000000000000004</v>
      </c>
      <c r="AE6" s="15">
        <f t="shared" si="11"/>
        <v>0.30000000000000004</v>
      </c>
      <c r="AF6" s="10"/>
      <c r="AG6" s="10"/>
      <c r="AH6" s="10"/>
      <c r="AI6" s="10"/>
      <c r="AJ6" s="10"/>
      <c r="AK6" s="10"/>
      <c r="AL6" s="10"/>
      <c r="AM6" s="10"/>
      <c r="AN6" s="10"/>
      <c r="AO6" s="10">
        <f t="shared" si="12"/>
        <v>67803.550502400016</v>
      </c>
      <c r="AP6" s="10">
        <f t="shared" si="13"/>
        <v>98371.434700800019</v>
      </c>
      <c r="AQ6" s="10">
        <f t="shared" si="14"/>
        <v>24246.480383999999</v>
      </c>
      <c r="AR6" s="10">
        <f t="shared" si="15"/>
        <v>0</v>
      </c>
      <c r="AS6" s="10"/>
      <c r="AT6" s="15">
        <f t="shared" si="16"/>
        <v>0.35607094133697142</v>
      </c>
      <c r="AU6" s="15">
        <f t="shared" si="0"/>
        <v>0.51659845384265579</v>
      </c>
      <c r="AV6" s="15">
        <f t="shared" si="0"/>
        <v>0.12733060482037287</v>
      </c>
      <c r="AW6" s="15">
        <f t="shared" si="0"/>
        <v>0</v>
      </c>
      <c r="AX6" s="10"/>
      <c r="AY6" s="39">
        <f t="shared" si="17"/>
        <v>-11241.369568483709</v>
      </c>
      <c r="AZ6" s="10"/>
      <c r="BA6" s="39">
        <f t="shared" si="18"/>
        <v>-6549.1014673532354</v>
      </c>
      <c r="BB6" s="39">
        <f t="shared" si="19"/>
        <v>-436.60676449021577</v>
      </c>
      <c r="BC6" s="39">
        <f t="shared" si="20"/>
        <v>0</v>
      </c>
      <c r="BD6" s="39">
        <f t="shared" si="21"/>
        <v>0</v>
      </c>
      <c r="BE6" s="10"/>
      <c r="BF6" s="1">
        <f t="shared" si="1"/>
        <v>113298.95353835524</v>
      </c>
      <c r="BG6" s="3">
        <f t="shared" si="2"/>
        <v>88672.842547199994</v>
      </c>
      <c r="BH6" s="3">
        <f t="shared" si="22"/>
        <v>363697.20575999998</v>
      </c>
      <c r="BI6" s="3">
        <f t="shared" si="23"/>
        <v>31035.49489152</v>
      </c>
      <c r="BJ6" s="41">
        <f t="shared" si="24"/>
        <v>-119158.51742592732</v>
      </c>
      <c r="BK6" s="41">
        <f t="shared" si="3"/>
        <v>-9954.6342303769179</v>
      </c>
      <c r="BL6" s="41">
        <f t="shared" si="4"/>
        <v>0</v>
      </c>
      <c r="BM6" s="10"/>
      <c r="BN6" s="41">
        <f t="shared" si="25"/>
        <v>467591.3450807709</v>
      </c>
      <c r="BO6" s="7"/>
    </row>
    <row r="7" spans="1:67">
      <c r="A7">
        <v>2017</v>
      </c>
      <c r="K7" s="10">
        <f t="shared" si="5"/>
        <v>1027.9748497520222</v>
      </c>
      <c r="L7" s="44">
        <f t="shared" si="6"/>
        <v>68.531656650134821</v>
      </c>
      <c r="M7" s="10">
        <f t="shared" si="7"/>
        <v>375210.82015948812</v>
      </c>
      <c r="N7" s="10">
        <f t="shared" si="8"/>
        <v>25014.054677299209</v>
      </c>
      <c r="O7" s="10"/>
      <c r="P7" s="10">
        <f t="shared" si="26"/>
        <v>12365.70499584</v>
      </c>
      <c r="Q7" s="10">
        <f t="shared" si="9"/>
        <v>12365.70499584</v>
      </c>
      <c r="R7" s="10">
        <f t="shared" si="27"/>
        <v>5299.5878553600014</v>
      </c>
      <c r="S7" s="10">
        <f t="shared" si="10"/>
        <v>5299.5878553600014</v>
      </c>
      <c r="T7" s="10"/>
      <c r="U7" s="10"/>
      <c r="V7" s="10"/>
      <c r="W7" s="10"/>
      <c r="X7" s="10"/>
      <c r="Y7" s="10"/>
      <c r="Z7" s="10"/>
      <c r="AA7" s="10"/>
      <c r="AB7" s="10"/>
      <c r="AC7" s="10"/>
      <c r="AD7" s="15">
        <f t="shared" si="11"/>
        <v>0.3000000000000001</v>
      </c>
      <c r="AE7" s="15">
        <f t="shared" si="11"/>
        <v>0.3000000000000001</v>
      </c>
      <c r="AF7" s="10"/>
      <c r="AG7" s="10"/>
      <c r="AH7" s="10"/>
      <c r="AI7" s="10"/>
      <c r="AJ7" s="10"/>
      <c r="AK7" s="10"/>
      <c r="AL7" s="10"/>
      <c r="AM7" s="10"/>
      <c r="AN7" s="10"/>
      <c r="AO7" s="10">
        <f t="shared" si="12"/>
        <v>69159.621512448008</v>
      </c>
      <c r="AP7" s="10">
        <f t="shared" si="13"/>
        <v>100338.86339481603</v>
      </c>
      <c r="AQ7" s="10">
        <f t="shared" si="14"/>
        <v>24731.409991680001</v>
      </c>
      <c r="AR7" s="10">
        <f t="shared" si="15"/>
        <v>0</v>
      </c>
      <c r="AS7" s="10"/>
      <c r="AT7" s="15">
        <f t="shared" si="16"/>
        <v>0.35607094133697131</v>
      </c>
      <c r="AU7" s="15">
        <f t="shared" si="0"/>
        <v>0.51659845384265579</v>
      </c>
      <c r="AV7" s="15">
        <f t="shared" si="0"/>
        <v>0.12733060482037287</v>
      </c>
      <c r="AW7" s="15">
        <f t="shared" si="0"/>
        <v>0</v>
      </c>
      <c r="AX7" s="10"/>
      <c r="AY7" s="39">
        <f t="shared" si="17"/>
        <v>-11466.196959853385</v>
      </c>
      <c r="AZ7" s="10"/>
      <c r="BA7" s="39">
        <f t="shared" si="18"/>
        <v>-6680.0834967003002</v>
      </c>
      <c r="BB7" s="39">
        <f t="shared" si="19"/>
        <v>-445.33889978001997</v>
      </c>
      <c r="BC7" s="39">
        <f t="shared" si="20"/>
        <v>0</v>
      </c>
      <c r="BD7" s="39">
        <f t="shared" si="21"/>
        <v>0</v>
      </c>
      <c r="BE7" s="10"/>
      <c r="BF7" s="1">
        <f t="shared" si="1"/>
        <v>115564.93260912236</v>
      </c>
      <c r="BG7" s="3">
        <f t="shared" si="2"/>
        <v>90446.299398143979</v>
      </c>
      <c r="BH7" s="3">
        <f t="shared" si="22"/>
        <v>370971.1498752</v>
      </c>
      <c r="BI7" s="3">
        <f t="shared" si="23"/>
        <v>31656.204789350402</v>
      </c>
      <c r="BJ7" s="41">
        <f t="shared" si="24"/>
        <v>-121541.68777444588</v>
      </c>
      <c r="BK7" s="41">
        <f t="shared" si="3"/>
        <v>-10153.726914984456</v>
      </c>
      <c r="BL7" s="41">
        <f t="shared" si="4"/>
        <v>0</v>
      </c>
      <c r="BM7" s="10"/>
      <c r="BN7" s="41">
        <f t="shared" si="25"/>
        <v>476943.17198238644</v>
      </c>
      <c r="BO7" s="7"/>
    </row>
    <row r="8" spans="1:67">
      <c r="A8">
        <v>2018</v>
      </c>
      <c r="K8" s="10">
        <f t="shared" si="5"/>
        <v>1048.5343467470625</v>
      </c>
      <c r="L8" s="44">
        <f t="shared" si="6"/>
        <v>69.902289783137505</v>
      </c>
      <c r="M8" s="10">
        <f t="shared" si="7"/>
        <v>382715.03656267782</v>
      </c>
      <c r="N8" s="10">
        <f t="shared" si="8"/>
        <v>25514.335770845188</v>
      </c>
      <c r="O8" s="10"/>
      <c r="P8" s="10">
        <f t="shared" si="26"/>
        <v>12613.019095756801</v>
      </c>
      <c r="Q8" s="10">
        <f t="shared" si="9"/>
        <v>12613.019095756801</v>
      </c>
      <c r="R8" s="10">
        <f t="shared" si="27"/>
        <v>5405.5796124672015</v>
      </c>
      <c r="S8" s="10">
        <f t="shared" si="10"/>
        <v>5405.5796124672015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15">
        <f t="shared" si="11"/>
        <v>0.30000000000000004</v>
      </c>
      <c r="AE8" s="15">
        <f t="shared" si="11"/>
        <v>0.30000000000000004</v>
      </c>
      <c r="AF8" s="10"/>
      <c r="AG8" s="10"/>
      <c r="AH8" s="10"/>
      <c r="AI8" s="10"/>
      <c r="AJ8" s="10"/>
      <c r="AK8" s="10"/>
      <c r="AL8" s="10"/>
      <c r="AM8" s="10"/>
      <c r="AN8" s="10"/>
      <c r="AO8" s="10">
        <f t="shared" si="12"/>
        <v>70542.813942696986</v>
      </c>
      <c r="AP8" s="10">
        <f t="shared" si="13"/>
        <v>102345.64066271234</v>
      </c>
      <c r="AQ8" s="10">
        <f t="shared" si="14"/>
        <v>25226.038191513602</v>
      </c>
      <c r="AR8" s="10">
        <f t="shared" si="15"/>
        <v>0</v>
      </c>
      <c r="AS8" s="10"/>
      <c r="AT8" s="15">
        <f t="shared" si="16"/>
        <v>0.35607094133697142</v>
      </c>
      <c r="AU8" s="15">
        <f t="shared" si="0"/>
        <v>0.51659845384265568</v>
      </c>
      <c r="AV8" s="15">
        <f t="shared" si="0"/>
        <v>0.12733060482037289</v>
      </c>
      <c r="AW8" s="15">
        <f t="shared" si="0"/>
        <v>0</v>
      </c>
      <c r="AX8" s="10"/>
      <c r="AY8" s="39">
        <f t="shared" si="17"/>
        <v>-11695.520899050454</v>
      </c>
      <c r="AZ8" s="10"/>
      <c r="BA8" s="39">
        <f t="shared" si="18"/>
        <v>-6813.6851666343064</v>
      </c>
      <c r="BB8" s="39">
        <f t="shared" si="19"/>
        <v>-454.24567777562044</v>
      </c>
      <c r="BC8" s="39">
        <f t="shared" si="20"/>
        <v>0</v>
      </c>
      <c r="BD8" s="39">
        <f t="shared" si="21"/>
        <v>0</v>
      </c>
      <c r="BE8" s="10"/>
      <c r="BF8" s="1">
        <f t="shared" si="1"/>
        <v>117876.23126130478</v>
      </c>
      <c r="BG8" s="3">
        <f t="shared" si="2"/>
        <v>92255.225386106904</v>
      </c>
      <c r="BH8" s="3">
        <f t="shared" si="22"/>
        <v>378390.57287270401</v>
      </c>
      <c r="BI8" s="3">
        <f t="shared" si="23"/>
        <v>32289.328885137413</v>
      </c>
      <c r="BJ8" s="41">
        <f t="shared" si="24"/>
        <v>-123972.52152993481</v>
      </c>
      <c r="BK8" s="41">
        <f t="shared" si="3"/>
        <v>-10356.801453284146</v>
      </c>
      <c r="BL8" s="41">
        <f t="shared" si="4"/>
        <v>0</v>
      </c>
      <c r="BM8" s="10"/>
      <c r="BN8" s="41">
        <f t="shared" si="25"/>
        <v>486482.03542203415</v>
      </c>
      <c r="BO8" s="7"/>
    </row>
    <row r="9" spans="1:67">
      <c r="A9">
        <v>2019</v>
      </c>
      <c r="K9" s="10">
        <f t="shared" si="5"/>
        <v>1069.5050336820041</v>
      </c>
      <c r="L9" s="44">
        <f t="shared" si="6"/>
        <v>71.300335578800272</v>
      </c>
      <c r="M9" s="10">
        <f t="shared" si="7"/>
        <v>390369.33729393146</v>
      </c>
      <c r="N9" s="10">
        <f t="shared" si="8"/>
        <v>26024.622486262098</v>
      </c>
      <c r="O9" s="10"/>
      <c r="P9" s="10">
        <f t="shared" si="26"/>
        <v>12865.279477671937</v>
      </c>
      <c r="Q9" s="10">
        <f t="shared" si="9"/>
        <v>12865.279477671937</v>
      </c>
      <c r="R9" s="10">
        <f t="shared" si="27"/>
        <v>5513.6912047165461</v>
      </c>
      <c r="S9" s="10">
        <f t="shared" si="10"/>
        <v>5513.6912047165461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5">
        <f t="shared" si="11"/>
        <v>0.30000000000000004</v>
      </c>
      <c r="AE9" s="15">
        <f t="shared" si="11"/>
        <v>0.30000000000000004</v>
      </c>
      <c r="AF9" s="10"/>
      <c r="AG9" s="10"/>
      <c r="AH9" s="10"/>
      <c r="AI9" s="10"/>
      <c r="AJ9" s="10"/>
      <c r="AK9" s="10"/>
      <c r="AL9" s="10"/>
      <c r="AM9" s="10"/>
      <c r="AN9" s="10"/>
      <c r="AO9" s="10">
        <f t="shared" si="12"/>
        <v>71953.670221550943</v>
      </c>
      <c r="AP9" s="10">
        <f t="shared" si="13"/>
        <v>104392.5534759666</v>
      </c>
      <c r="AQ9" s="10">
        <f t="shared" si="14"/>
        <v>25730.558955343873</v>
      </c>
      <c r="AR9" s="10">
        <f t="shared" si="15"/>
        <v>0</v>
      </c>
      <c r="AS9" s="10"/>
      <c r="AT9" s="15">
        <f t="shared" si="16"/>
        <v>0.35607094133697142</v>
      </c>
      <c r="AU9" s="15">
        <f t="shared" si="0"/>
        <v>0.51659845384265579</v>
      </c>
      <c r="AV9" s="15">
        <f t="shared" si="0"/>
        <v>0.12733060482037287</v>
      </c>
      <c r="AW9" s="15">
        <f t="shared" si="0"/>
        <v>0</v>
      </c>
      <c r="AX9" s="10"/>
      <c r="AY9" s="39">
        <f t="shared" si="17"/>
        <v>-11929.431317031464</v>
      </c>
      <c r="AZ9" s="10"/>
      <c r="BA9" s="39">
        <f t="shared" si="18"/>
        <v>-6949.9588699669939</v>
      </c>
      <c r="BB9" s="39">
        <f t="shared" si="19"/>
        <v>-463.33059133113295</v>
      </c>
      <c r="BC9" s="39">
        <f t="shared" si="20"/>
        <v>0</v>
      </c>
      <c r="BD9" s="39">
        <f t="shared" si="21"/>
        <v>0</v>
      </c>
      <c r="BE9" s="10"/>
      <c r="BF9" s="1">
        <f t="shared" si="1"/>
        <v>120233.75588653091</v>
      </c>
      <c r="BG9" s="3">
        <f t="shared" si="2"/>
        <v>94100.329893829025</v>
      </c>
      <c r="BH9" s="3">
        <f t="shared" si="22"/>
        <v>385958.38433015806</v>
      </c>
      <c r="BI9" s="3">
        <f t="shared" si="23"/>
        <v>32935.115462840156</v>
      </c>
      <c r="BJ9" s="41">
        <f t="shared" si="24"/>
        <v>-126451.97196053351</v>
      </c>
      <c r="BK9" s="41">
        <f t="shared" si="3"/>
        <v>-10563.937482349831</v>
      </c>
      <c r="BL9" s="41">
        <f t="shared" si="4"/>
        <v>0</v>
      </c>
      <c r="BM9" s="10"/>
      <c r="BN9" s="41">
        <f t="shared" si="25"/>
        <v>496211.67613047478</v>
      </c>
      <c r="BO9" s="7"/>
    </row>
    <row r="10" spans="1:67">
      <c r="A10">
        <v>2020</v>
      </c>
      <c r="K10" s="10">
        <f t="shared" si="5"/>
        <v>1090.8951343556441</v>
      </c>
      <c r="L10" s="44">
        <f t="shared" si="6"/>
        <v>72.726342290376266</v>
      </c>
      <c r="M10" s="10">
        <f t="shared" si="7"/>
        <v>398176.72403981007</v>
      </c>
      <c r="N10" s="10">
        <f t="shared" si="8"/>
        <v>26545.114935987338</v>
      </c>
      <c r="O10" s="10"/>
      <c r="P10" s="10">
        <f t="shared" si="26"/>
        <v>13122.585067225376</v>
      </c>
      <c r="Q10" s="10">
        <f t="shared" si="9"/>
        <v>13122.585067225376</v>
      </c>
      <c r="R10" s="10">
        <f t="shared" si="27"/>
        <v>5623.9650288108769</v>
      </c>
      <c r="S10" s="10">
        <f t="shared" si="10"/>
        <v>5623.9650288108769</v>
      </c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5">
        <f t="shared" si="11"/>
        <v>0.30000000000000004</v>
      </c>
      <c r="AE10" s="15">
        <f t="shared" si="11"/>
        <v>0.30000000000000004</v>
      </c>
      <c r="AF10" s="10"/>
      <c r="AG10" s="10"/>
      <c r="AH10" s="10"/>
      <c r="AI10" s="10"/>
      <c r="AJ10" s="10"/>
      <c r="AK10" s="10"/>
      <c r="AL10" s="10"/>
      <c r="AM10" s="10"/>
      <c r="AN10" s="10"/>
      <c r="AO10" s="10">
        <f t="shared" si="12"/>
        <v>73392.743625981966</v>
      </c>
      <c r="AP10" s="10">
        <f t="shared" si="13"/>
        <v>106480.40454548594</v>
      </c>
      <c r="AQ10" s="10">
        <f t="shared" si="14"/>
        <v>26245.170134450753</v>
      </c>
      <c r="AR10" s="10">
        <f t="shared" si="15"/>
        <v>0</v>
      </c>
      <c r="AS10" s="10"/>
      <c r="AT10" s="15">
        <f t="shared" si="16"/>
        <v>0.35607094133697142</v>
      </c>
      <c r="AU10" s="15">
        <f t="shared" si="0"/>
        <v>0.51659845384265579</v>
      </c>
      <c r="AV10" s="15">
        <f t="shared" si="0"/>
        <v>0.12733060482037287</v>
      </c>
      <c r="AW10" s="15">
        <f t="shared" si="0"/>
        <v>0</v>
      </c>
      <c r="AX10" s="10"/>
      <c r="AY10" s="39">
        <f t="shared" si="17"/>
        <v>-12168.019943372092</v>
      </c>
      <c r="AZ10" s="10"/>
      <c r="BA10" s="39">
        <f t="shared" si="18"/>
        <v>-7088.9580473663327</v>
      </c>
      <c r="BB10" s="39">
        <f t="shared" si="19"/>
        <v>-472.59720315775559</v>
      </c>
      <c r="BC10" s="39">
        <f t="shared" si="20"/>
        <v>0</v>
      </c>
      <c r="BD10" s="39">
        <f t="shared" si="21"/>
        <v>0</v>
      </c>
      <c r="BE10" s="10"/>
      <c r="BF10" s="1">
        <f t="shared" si="1"/>
        <v>122638.43100426153</v>
      </c>
      <c r="BG10" s="3">
        <f t="shared" si="2"/>
        <v>95982.336491705617</v>
      </c>
      <c r="BH10" s="3">
        <f t="shared" si="22"/>
        <v>393677.55201676133</v>
      </c>
      <c r="BI10" s="3">
        <f t="shared" si="23"/>
        <v>33593.817772096962</v>
      </c>
      <c r="BJ10" s="41">
        <f t="shared" si="24"/>
        <v>-128981.01139974417</v>
      </c>
      <c r="BK10" s="41">
        <f t="shared" si="3"/>
        <v>-10775.216231996827</v>
      </c>
      <c r="BL10" s="41">
        <f t="shared" si="4"/>
        <v>0</v>
      </c>
      <c r="BM10" s="10"/>
      <c r="BN10" s="41">
        <f t="shared" si="25"/>
        <v>506135.90965308441</v>
      </c>
      <c r="BO10" s="7"/>
    </row>
    <row r="11" spans="1:67">
      <c r="A11">
        <v>2021</v>
      </c>
      <c r="K11" s="10">
        <f t="shared" si="5"/>
        <v>1112.7130370427567</v>
      </c>
      <c r="L11" s="44">
        <f t="shared" si="6"/>
        <v>74.180869136183787</v>
      </c>
      <c r="M11" s="10">
        <f t="shared" si="7"/>
        <v>406140.25852060621</v>
      </c>
      <c r="N11" s="10">
        <f t="shared" si="8"/>
        <v>27076.01723470708</v>
      </c>
      <c r="O11" s="10"/>
      <c r="P11" s="10">
        <f t="shared" si="26"/>
        <v>13385.036768569884</v>
      </c>
      <c r="Q11" s="10">
        <f t="shared" si="9"/>
        <v>13385.036768569884</v>
      </c>
      <c r="R11" s="10">
        <f t="shared" si="27"/>
        <v>5736.4443293870945</v>
      </c>
      <c r="S11" s="10">
        <f t="shared" si="10"/>
        <v>5736.4443293870945</v>
      </c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5">
        <f t="shared" si="11"/>
        <v>0.30000000000000004</v>
      </c>
      <c r="AE11" s="15">
        <f t="shared" si="11"/>
        <v>0.30000000000000004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>
        <f t="shared" si="12"/>
        <v>74860.598498501611</v>
      </c>
      <c r="AP11" s="10">
        <f t="shared" si="13"/>
        <v>108610.01263639564</v>
      </c>
      <c r="AQ11" s="10">
        <f t="shared" si="14"/>
        <v>26770.073537139768</v>
      </c>
      <c r="AR11" s="10">
        <f t="shared" si="15"/>
        <v>0</v>
      </c>
      <c r="AS11" s="10"/>
      <c r="AT11" s="15">
        <f t="shared" si="16"/>
        <v>0.35607094133697148</v>
      </c>
      <c r="AU11" s="15">
        <f t="shared" si="0"/>
        <v>0.51659845384265568</v>
      </c>
      <c r="AV11" s="15">
        <f t="shared" si="0"/>
        <v>0.12733060482037287</v>
      </c>
      <c r="AW11" s="15">
        <f t="shared" si="0"/>
        <v>0</v>
      </c>
      <c r="AX11" s="10"/>
      <c r="AY11" s="39">
        <f t="shared" si="17"/>
        <v>-12411.38034223953</v>
      </c>
      <c r="AZ11" s="10"/>
      <c r="BA11" s="39">
        <f t="shared" si="18"/>
        <v>-7230.7372083136606</v>
      </c>
      <c r="BB11" s="39">
        <f t="shared" si="19"/>
        <v>-482.0491472209107</v>
      </c>
      <c r="BC11" s="39">
        <f t="shared" si="20"/>
        <v>0</v>
      </c>
      <c r="BD11" s="39">
        <f t="shared" si="21"/>
        <v>0</v>
      </c>
      <c r="BE11" s="10"/>
      <c r="BF11" s="1">
        <f t="shared" si="1"/>
        <v>125091.19962434673</v>
      </c>
      <c r="BG11" s="3">
        <f t="shared" si="2"/>
        <v>97901.983221539718</v>
      </c>
      <c r="BH11" s="3">
        <f t="shared" si="22"/>
        <v>401551.10305709648</v>
      </c>
      <c r="BI11" s="3">
        <f t="shared" si="23"/>
        <v>34265.694127538904</v>
      </c>
      <c r="BJ11" s="41">
        <f t="shared" si="24"/>
        <v>-131560.63162773903</v>
      </c>
      <c r="BK11" s="41">
        <f t="shared" si="3"/>
        <v>-10990.720556636765</v>
      </c>
      <c r="BL11" s="41">
        <f t="shared" si="4"/>
        <v>0</v>
      </c>
      <c r="BM11" s="10"/>
      <c r="BN11" s="41">
        <f t="shared" si="25"/>
        <v>516258.62784614606</v>
      </c>
      <c r="BO11" s="7"/>
    </row>
    <row r="12" spans="1:67">
      <c r="A12">
        <v>2022</v>
      </c>
      <c r="K12" s="10">
        <f t="shared" si="5"/>
        <v>1134.9672977836119</v>
      </c>
      <c r="L12" s="44">
        <f t="shared" si="6"/>
        <v>75.664486518907452</v>
      </c>
      <c r="M12" s="10">
        <f t="shared" si="7"/>
        <v>414263.06369101832</v>
      </c>
      <c r="N12" s="10">
        <f t="shared" si="8"/>
        <v>27617.537579401222</v>
      </c>
      <c r="O12" s="10"/>
      <c r="P12" s="10">
        <f t="shared" si="26"/>
        <v>13652.737503941282</v>
      </c>
      <c r="Q12" s="10">
        <f t="shared" si="9"/>
        <v>13652.737503941282</v>
      </c>
      <c r="R12" s="10">
        <f t="shared" si="27"/>
        <v>5851.1732159748362</v>
      </c>
      <c r="S12" s="10">
        <f t="shared" si="10"/>
        <v>5851.1732159748362</v>
      </c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5">
        <f t="shared" si="11"/>
        <v>0.30000000000000004</v>
      </c>
      <c r="AE12" s="15">
        <f t="shared" si="11"/>
        <v>0.30000000000000004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>
        <f t="shared" si="12"/>
        <v>76357.810468471624</v>
      </c>
      <c r="AP12" s="10">
        <f t="shared" si="13"/>
        <v>110782.21288912355</v>
      </c>
      <c r="AQ12" s="10">
        <f t="shared" si="14"/>
        <v>27305.475007882564</v>
      </c>
      <c r="AR12" s="10">
        <f t="shared" si="15"/>
        <v>0</v>
      </c>
      <c r="AS12" s="10"/>
      <c r="AT12" s="15">
        <f t="shared" si="16"/>
        <v>0.35607094133697142</v>
      </c>
      <c r="AU12" s="15">
        <f t="shared" si="0"/>
        <v>0.51659845384265568</v>
      </c>
      <c r="AV12" s="15">
        <f t="shared" si="0"/>
        <v>0.12733060482037287</v>
      </c>
      <c r="AW12" s="15">
        <f t="shared" si="0"/>
        <v>0</v>
      </c>
      <c r="AX12" s="10"/>
      <c r="AY12" s="39">
        <f t="shared" si="17"/>
        <v>-12659.607949084322</v>
      </c>
      <c r="AZ12" s="10"/>
      <c r="BA12" s="39">
        <f t="shared" si="18"/>
        <v>-7375.3519524799322</v>
      </c>
      <c r="BB12" s="39">
        <f t="shared" si="19"/>
        <v>-491.69013016532881</v>
      </c>
      <c r="BC12" s="39">
        <f t="shared" si="20"/>
        <v>0</v>
      </c>
      <c r="BD12" s="39">
        <f t="shared" si="21"/>
        <v>0</v>
      </c>
      <c r="BE12" s="10"/>
      <c r="BF12" s="1">
        <f t="shared" si="1"/>
        <v>127593.02361683367</v>
      </c>
      <c r="BG12" s="3">
        <f t="shared" si="2"/>
        <v>99860.022885970509</v>
      </c>
      <c r="BH12" s="3">
        <f t="shared" si="22"/>
        <v>409582.12511823839</v>
      </c>
      <c r="BI12" s="3">
        <f t="shared" si="23"/>
        <v>34951.008010089681</v>
      </c>
      <c r="BJ12" s="41">
        <f t="shared" si="24"/>
        <v>-134191.84426029382</v>
      </c>
      <c r="BK12" s="41">
        <f t="shared" si="3"/>
        <v>-11210.534967769498</v>
      </c>
      <c r="BL12" s="41">
        <f t="shared" si="4"/>
        <v>0</v>
      </c>
      <c r="BM12" s="10"/>
      <c r="BN12" s="41">
        <f t="shared" si="25"/>
        <v>526583.80040306889</v>
      </c>
      <c r="BO12" s="7"/>
    </row>
    <row r="13" spans="1:67">
      <c r="A13">
        <v>2023</v>
      </c>
      <c r="K13" s="10">
        <f t="shared" si="5"/>
        <v>1157.6666437392844</v>
      </c>
      <c r="L13" s="44">
        <f t="shared" si="6"/>
        <v>77.177776249285614</v>
      </c>
      <c r="M13" s="10">
        <f t="shared" si="7"/>
        <v>422548.3249648388</v>
      </c>
      <c r="N13" s="10">
        <f t="shared" si="8"/>
        <v>28169.888330989252</v>
      </c>
      <c r="O13" s="10"/>
      <c r="P13" s="10">
        <f t="shared" si="26"/>
        <v>13925.792254020107</v>
      </c>
      <c r="Q13" s="10">
        <f t="shared" si="9"/>
        <v>13925.792254020107</v>
      </c>
      <c r="R13" s="10">
        <f t="shared" si="27"/>
        <v>5968.1966802943334</v>
      </c>
      <c r="S13" s="10">
        <f t="shared" si="10"/>
        <v>5968.1966802943334</v>
      </c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5">
        <f t="shared" si="11"/>
        <v>0.3000000000000001</v>
      </c>
      <c r="AE13" s="15">
        <f t="shared" si="11"/>
        <v>0.3000000000000001</v>
      </c>
      <c r="AF13" s="10"/>
      <c r="AG13" s="10"/>
      <c r="AH13" s="10"/>
      <c r="AI13" s="10"/>
      <c r="AJ13" s="10"/>
      <c r="AK13" s="10"/>
      <c r="AL13" s="10"/>
      <c r="AM13" s="10"/>
      <c r="AN13" s="10"/>
      <c r="AO13" s="10">
        <f t="shared" si="12"/>
        <v>77884.966677841032</v>
      </c>
      <c r="AP13" s="10">
        <f t="shared" si="13"/>
        <v>112997.85714690606</v>
      </c>
      <c r="AQ13" s="10">
        <f t="shared" si="14"/>
        <v>27851.584508040214</v>
      </c>
      <c r="AR13" s="10">
        <f t="shared" si="15"/>
        <v>0</v>
      </c>
      <c r="AS13" s="10"/>
      <c r="AT13" s="15">
        <f t="shared" si="16"/>
        <v>0.35607094133697126</v>
      </c>
      <c r="AU13" s="15">
        <f t="shared" si="0"/>
        <v>0.51659845384265579</v>
      </c>
      <c r="AV13" s="15">
        <f t="shared" si="0"/>
        <v>0.12733060482037287</v>
      </c>
      <c r="AW13" s="15">
        <f t="shared" si="0"/>
        <v>0</v>
      </c>
      <c r="AX13" s="10"/>
      <c r="AY13" s="39">
        <f t="shared" si="17"/>
        <v>-12912.800108066011</v>
      </c>
      <c r="AZ13" s="10"/>
      <c r="BA13" s="39">
        <f t="shared" si="18"/>
        <v>-7522.8589915295288</v>
      </c>
      <c r="BB13" s="39">
        <f t="shared" si="19"/>
        <v>-501.52393276863523</v>
      </c>
      <c r="BC13" s="39">
        <f t="shared" si="20"/>
        <v>0</v>
      </c>
      <c r="BD13" s="39">
        <f t="shared" si="21"/>
        <v>0</v>
      </c>
      <c r="BE13" s="10"/>
      <c r="BF13" s="1">
        <f t="shared" si="1"/>
        <v>130144.88408917037</v>
      </c>
      <c r="BG13" s="3">
        <f t="shared" si="2"/>
        <v>101857.22334368993</v>
      </c>
      <c r="BH13" s="3">
        <f t="shared" si="22"/>
        <v>417773.76762060326</v>
      </c>
      <c r="BI13" s="3">
        <f t="shared" si="23"/>
        <v>35650.028170291473</v>
      </c>
      <c r="BJ13" s="41">
        <f t="shared" si="24"/>
        <v>-136875.68114549969</v>
      </c>
      <c r="BK13" s="41">
        <f t="shared" si="3"/>
        <v>-11434.745667124884</v>
      </c>
      <c r="BL13" s="41">
        <f t="shared" si="4"/>
        <v>0</v>
      </c>
      <c r="BM13" s="10"/>
      <c r="BN13" s="41">
        <f t="shared" si="25"/>
        <v>537115.4764111304</v>
      </c>
      <c r="BO13" s="7"/>
    </row>
    <row r="14" spans="1:67">
      <c r="A14">
        <v>2024</v>
      </c>
      <c r="K14" s="10">
        <f t="shared" si="5"/>
        <v>1180.8199766140697</v>
      </c>
      <c r="L14" s="44">
        <f t="shared" si="6"/>
        <v>78.72133177427132</v>
      </c>
      <c r="M14" s="10">
        <f t="shared" si="7"/>
        <v>430999.29146413546</v>
      </c>
      <c r="N14" s="10">
        <f t="shared" si="8"/>
        <v>28733.286097609031</v>
      </c>
      <c r="O14" s="10"/>
      <c r="P14" s="10">
        <f t="shared" si="26"/>
        <v>14204.30809910051</v>
      </c>
      <c r="Q14" s="10">
        <f t="shared" si="9"/>
        <v>14204.30809910051</v>
      </c>
      <c r="R14" s="10">
        <f t="shared" si="27"/>
        <v>6087.5606139002202</v>
      </c>
      <c r="S14" s="10">
        <f t="shared" si="10"/>
        <v>6087.5606139002202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5">
        <f t="shared" si="11"/>
        <v>0.30000000000000004</v>
      </c>
      <c r="AE14" s="15">
        <f t="shared" si="11"/>
        <v>0.30000000000000004</v>
      </c>
      <c r="AF14" s="10"/>
      <c r="AG14" s="10"/>
      <c r="AH14" s="10"/>
      <c r="AI14" s="10"/>
      <c r="AJ14" s="10"/>
      <c r="AK14" s="10"/>
      <c r="AL14" s="10"/>
      <c r="AM14" s="10"/>
      <c r="AN14" s="10"/>
      <c r="AO14" s="10">
        <f t="shared" si="12"/>
        <v>79442.666011397901</v>
      </c>
      <c r="AP14" s="10">
        <f t="shared" si="13"/>
        <v>115257.81428984414</v>
      </c>
      <c r="AQ14" s="10">
        <f t="shared" si="14"/>
        <v>28408.61619820102</v>
      </c>
      <c r="AR14" s="10">
        <f t="shared" si="15"/>
        <v>0</v>
      </c>
      <c r="AS14" s="10"/>
      <c r="AT14" s="15">
        <f t="shared" si="16"/>
        <v>0.35607094133697148</v>
      </c>
      <c r="AU14" s="15">
        <f t="shared" si="0"/>
        <v>0.51659845384265568</v>
      </c>
      <c r="AV14" s="15">
        <f t="shared" si="0"/>
        <v>0.12733060482037287</v>
      </c>
      <c r="AW14" s="15">
        <f t="shared" si="0"/>
        <v>0</v>
      </c>
      <c r="AX14" s="10"/>
      <c r="AY14" s="39">
        <f t="shared" si="17"/>
        <v>-13171.056110227328</v>
      </c>
      <c r="AZ14" s="10"/>
      <c r="BA14" s="39">
        <f t="shared" si="18"/>
        <v>-7673.3161713601221</v>
      </c>
      <c r="BB14" s="39">
        <f t="shared" si="19"/>
        <v>-511.55441142400815</v>
      </c>
      <c r="BC14" s="39">
        <f t="shared" si="20"/>
        <v>0</v>
      </c>
      <c r="BD14" s="39">
        <f t="shared" si="21"/>
        <v>0</v>
      </c>
      <c r="BE14" s="10"/>
      <c r="BF14" s="1">
        <f t="shared" si="1"/>
        <v>132747.78177095373</v>
      </c>
      <c r="BG14" s="3">
        <f t="shared" si="2"/>
        <v>103894.36781056374</v>
      </c>
      <c r="BH14" s="3">
        <f t="shared" si="22"/>
        <v>426129.24297301529</v>
      </c>
      <c r="BI14" s="3">
        <f t="shared" si="23"/>
        <v>36363.028733697305</v>
      </c>
      <c r="BJ14" s="41">
        <f t="shared" si="24"/>
        <v>-139613.19476840968</v>
      </c>
      <c r="BK14" s="41">
        <f t="shared" si="3"/>
        <v>-11663.440580467386</v>
      </c>
      <c r="BL14" s="41">
        <f t="shared" si="4"/>
        <v>0</v>
      </c>
      <c r="BM14" s="10"/>
      <c r="BN14" s="41">
        <f t="shared" si="25"/>
        <v>547857.78593935294</v>
      </c>
      <c r="BO14" s="7"/>
    </row>
    <row r="15" spans="1:67">
      <c r="A15">
        <v>2025</v>
      </c>
      <c r="K15" s="10">
        <f t="shared" si="5"/>
        <v>1204.4363761463512</v>
      </c>
      <c r="L15" s="44">
        <f t="shared" si="6"/>
        <v>80.295758409756743</v>
      </c>
      <c r="M15" s="10">
        <f t="shared" si="7"/>
        <v>439619.27729341818</v>
      </c>
      <c r="N15" s="10">
        <f t="shared" si="8"/>
        <v>29307.951819561211</v>
      </c>
      <c r="O15" s="10"/>
      <c r="P15" s="10">
        <f t="shared" si="26"/>
        <v>14488.39426108252</v>
      </c>
      <c r="Q15" s="10">
        <f t="shared" si="9"/>
        <v>14488.39426108252</v>
      </c>
      <c r="R15" s="10">
        <f t="shared" si="27"/>
        <v>6209.3118261782247</v>
      </c>
      <c r="S15" s="10">
        <f t="shared" si="10"/>
        <v>6209.3118261782247</v>
      </c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5">
        <f t="shared" si="11"/>
        <v>0.3000000000000001</v>
      </c>
      <c r="AE15" s="15">
        <f t="shared" si="11"/>
        <v>0.3000000000000001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>
        <f t="shared" si="12"/>
        <v>81031.519331625837</v>
      </c>
      <c r="AP15" s="10">
        <f t="shared" si="13"/>
        <v>117562.97057564103</v>
      </c>
      <c r="AQ15" s="10">
        <f t="shared" si="14"/>
        <v>28976.788522165036</v>
      </c>
      <c r="AR15" s="10">
        <f t="shared" si="15"/>
        <v>0</v>
      </c>
      <c r="AS15" s="10"/>
      <c r="AT15" s="15">
        <f t="shared" si="16"/>
        <v>0.35607094133697142</v>
      </c>
      <c r="AU15" s="15">
        <f t="shared" si="0"/>
        <v>0.51659845384265568</v>
      </c>
      <c r="AV15" s="15">
        <f t="shared" si="0"/>
        <v>0.12733060482037287</v>
      </c>
      <c r="AW15" s="15">
        <f t="shared" si="0"/>
        <v>0</v>
      </c>
      <c r="AX15" s="10"/>
      <c r="AY15" s="39">
        <f t="shared" si="17"/>
        <v>-13434.477232431876</v>
      </c>
      <c r="AZ15" s="10"/>
      <c r="BA15" s="39">
        <f t="shared" si="18"/>
        <v>-7826.782494787325</v>
      </c>
      <c r="BB15" s="39">
        <f t="shared" si="19"/>
        <v>-521.78549965248817</v>
      </c>
      <c r="BC15" s="39">
        <f t="shared" si="20"/>
        <v>0</v>
      </c>
      <c r="BD15" s="39">
        <f t="shared" si="21"/>
        <v>0</v>
      </c>
      <c r="BE15" s="10"/>
      <c r="BF15" s="1">
        <f t="shared" si="1"/>
        <v>135402.73740637282</v>
      </c>
      <c r="BG15" s="3">
        <f t="shared" si="2"/>
        <v>105972.25516677499</v>
      </c>
      <c r="BH15" s="3">
        <f t="shared" si="22"/>
        <v>434651.8278324756</v>
      </c>
      <c r="BI15" s="3">
        <f t="shared" si="23"/>
        <v>37090.289308371248</v>
      </c>
      <c r="BJ15" s="41">
        <f t="shared" si="24"/>
        <v>-142405.45866377788</v>
      </c>
      <c r="BK15" s="41">
        <f t="shared" si="3"/>
        <v>-11896.709392076735</v>
      </c>
      <c r="BL15" s="41">
        <f t="shared" si="4"/>
        <v>0</v>
      </c>
      <c r="BM15" s="10"/>
      <c r="BN15" s="41">
        <f t="shared" si="25"/>
        <v>558814.94165814004</v>
      </c>
      <c r="BO15" s="7"/>
    </row>
    <row r="16" spans="1:67">
      <c r="A16">
        <v>2026</v>
      </c>
      <c r="K16" s="10">
        <f t="shared" si="5"/>
        <v>1228.5251036692785</v>
      </c>
      <c r="L16" s="44">
        <f t="shared" si="6"/>
        <v>81.901673577951897</v>
      </c>
      <c r="M16" s="10">
        <f t="shared" si="7"/>
        <v>448411.66283928661</v>
      </c>
      <c r="N16" s="10">
        <f t="shared" si="8"/>
        <v>29894.11085595244</v>
      </c>
      <c r="O16" s="10"/>
      <c r="P16" s="10">
        <f t="shared" si="26"/>
        <v>14778.16214630417</v>
      </c>
      <c r="Q16" s="10">
        <f t="shared" si="9"/>
        <v>14778.16214630417</v>
      </c>
      <c r="R16" s="10">
        <f t="shared" si="27"/>
        <v>6333.4980627017894</v>
      </c>
      <c r="S16" s="10">
        <f t="shared" si="10"/>
        <v>6333.4980627017894</v>
      </c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5">
        <f t="shared" si="11"/>
        <v>0.30000000000000004</v>
      </c>
      <c r="AE16" s="15">
        <f t="shared" si="11"/>
        <v>0.30000000000000004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>
        <f t="shared" si="12"/>
        <v>82652.149718258326</v>
      </c>
      <c r="AP16" s="10">
        <f t="shared" si="13"/>
        <v>119914.22998715386</v>
      </c>
      <c r="AQ16" s="10">
        <f t="shared" si="14"/>
        <v>29556.324292608344</v>
      </c>
      <c r="AR16" s="10">
        <f t="shared" si="15"/>
        <v>0</v>
      </c>
      <c r="AS16" s="10"/>
      <c r="AT16" s="15">
        <f t="shared" si="16"/>
        <v>0.35607094133697131</v>
      </c>
      <c r="AU16" s="15">
        <f t="shared" si="0"/>
        <v>0.51659845384265579</v>
      </c>
      <c r="AV16" s="15">
        <f t="shared" si="0"/>
        <v>0.12733060482037289</v>
      </c>
      <c r="AW16" s="15">
        <f t="shared" si="0"/>
        <v>0</v>
      </c>
      <c r="AX16" s="10"/>
      <c r="AY16" s="39">
        <f t="shared" si="17"/>
        <v>-13703.166777080518</v>
      </c>
      <c r="AZ16" s="10"/>
      <c r="BA16" s="39">
        <f t="shared" si="18"/>
        <v>-7983.3181446830695</v>
      </c>
      <c r="BB16" s="39">
        <f t="shared" si="19"/>
        <v>-532.22120964553801</v>
      </c>
      <c r="BC16" s="39">
        <f t="shared" si="20"/>
        <v>0</v>
      </c>
      <c r="BD16" s="39">
        <f t="shared" si="21"/>
        <v>0</v>
      </c>
      <c r="BE16" s="10"/>
      <c r="BF16" s="1">
        <f t="shared" si="1"/>
        <v>138110.79215450029</v>
      </c>
      <c r="BG16" s="3">
        <f t="shared" si="2"/>
        <v>108091.70027011051</v>
      </c>
      <c r="BH16" s="3">
        <f t="shared" si="22"/>
        <v>443344.86438912508</v>
      </c>
      <c r="BI16" s="3">
        <f t="shared" si="23"/>
        <v>37832.095094538679</v>
      </c>
      <c r="BJ16" s="41">
        <f t="shared" si="24"/>
        <v>-145253.56783705347</v>
      </c>
      <c r="BK16" s="41">
        <f t="shared" si="3"/>
        <v>-12134.643579918265</v>
      </c>
      <c r="BL16" s="41">
        <f t="shared" si="4"/>
        <v>0</v>
      </c>
      <c r="BM16" s="10"/>
      <c r="BN16" s="41">
        <f t="shared" si="25"/>
        <v>569991.2404913028</v>
      </c>
      <c r="BO16" s="7"/>
    </row>
    <row r="17" spans="1:67">
      <c r="A17">
        <v>2027</v>
      </c>
      <c r="K17" s="10">
        <f t="shared" si="5"/>
        <v>1253.095605742664</v>
      </c>
      <c r="L17" s="44">
        <f t="shared" si="6"/>
        <v>83.539707049510938</v>
      </c>
      <c r="M17" s="10">
        <f t="shared" si="7"/>
        <v>457379.89609607239</v>
      </c>
      <c r="N17" s="10">
        <f t="shared" si="8"/>
        <v>30491.993073071491</v>
      </c>
      <c r="O17" s="10"/>
      <c r="P17" s="10">
        <f t="shared" si="26"/>
        <v>15073.725389230254</v>
      </c>
      <c r="Q17" s="10">
        <f t="shared" si="9"/>
        <v>15073.725389230254</v>
      </c>
      <c r="R17" s="10">
        <f t="shared" si="27"/>
        <v>6460.1680239558254</v>
      </c>
      <c r="S17" s="10">
        <f t="shared" si="10"/>
        <v>6460.1680239558254</v>
      </c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5">
        <f t="shared" si="11"/>
        <v>0.30000000000000004</v>
      </c>
      <c r="AE17" s="15">
        <f t="shared" si="11"/>
        <v>0.30000000000000004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>
        <f t="shared" si="12"/>
        <v>84305.192712623539</v>
      </c>
      <c r="AP17" s="10">
        <f t="shared" si="13"/>
        <v>122312.51458689696</v>
      </c>
      <c r="AQ17" s="10">
        <f t="shared" si="14"/>
        <v>30147.450778460508</v>
      </c>
      <c r="AR17" s="10">
        <f t="shared" si="15"/>
        <v>0</v>
      </c>
      <c r="AS17" s="10"/>
      <c r="AT17" s="15">
        <f t="shared" si="16"/>
        <v>0.35607094133697142</v>
      </c>
      <c r="AU17" s="15">
        <f t="shared" si="0"/>
        <v>0.51659845384265568</v>
      </c>
      <c r="AV17" s="15">
        <f t="shared" si="0"/>
        <v>0.12733060482037287</v>
      </c>
      <c r="AW17" s="15">
        <f t="shared" si="0"/>
        <v>0</v>
      </c>
      <c r="AX17" s="10"/>
      <c r="AY17" s="39">
        <f t="shared" si="17"/>
        <v>-13977.230112622125</v>
      </c>
      <c r="AZ17" s="10"/>
      <c r="BA17" s="39">
        <f t="shared" si="18"/>
        <v>-8142.9845075767344</v>
      </c>
      <c r="BB17" s="39">
        <f t="shared" si="19"/>
        <v>-542.86563383844884</v>
      </c>
      <c r="BC17" s="39">
        <f t="shared" si="20"/>
        <v>0</v>
      </c>
      <c r="BD17" s="39">
        <f t="shared" si="21"/>
        <v>0</v>
      </c>
      <c r="BE17" s="10"/>
      <c r="BF17" s="1">
        <f t="shared" si="1"/>
        <v>140873.00799759032</v>
      </c>
      <c r="BG17" s="3">
        <f t="shared" si="2"/>
        <v>110253.53427551273</v>
      </c>
      <c r="BH17" s="3">
        <f t="shared" si="22"/>
        <v>452211.76167690766</v>
      </c>
      <c r="BI17" s="3">
        <f t="shared" si="23"/>
        <v>38588.736996429448</v>
      </c>
      <c r="BJ17" s="41">
        <f t="shared" si="24"/>
        <v>-148158.63919379452</v>
      </c>
      <c r="BK17" s="41">
        <f t="shared" si="3"/>
        <v>-12377.336451516636</v>
      </c>
      <c r="BL17" s="41">
        <f t="shared" si="4"/>
        <v>0</v>
      </c>
      <c r="BM17" s="10"/>
      <c r="BN17" s="41">
        <f t="shared" si="25"/>
        <v>581391.06530112901</v>
      </c>
      <c r="BO17" s="7"/>
    </row>
    <row r="18" spans="1:67">
      <c r="A18">
        <v>2028</v>
      </c>
      <c r="K18" s="10">
        <f t="shared" si="5"/>
        <v>1278.157517857517</v>
      </c>
      <c r="L18" s="44">
        <f t="shared" si="6"/>
        <v>85.21050119050112</v>
      </c>
      <c r="M18" s="10">
        <f t="shared" si="7"/>
        <v>466527.49401799368</v>
      </c>
      <c r="N18" s="10">
        <f t="shared" si="8"/>
        <v>31101.832934532911</v>
      </c>
      <c r="O18" s="10"/>
      <c r="P18" s="10">
        <f t="shared" si="26"/>
        <v>15375.19989701486</v>
      </c>
      <c r="Q18" s="10">
        <f t="shared" si="9"/>
        <v>15375.19989701486</v>
      </c>
      <c r="R18" s="10">
        <f t="shared" si="27"/>
        <v>6589.3713844349422</v>
      </c>
      <c r="S18" s="10">
        <f t="shared" si="10"/>
        <v>6589.3713844349422</v>
      </c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5">
        <f t="shared" si="11"/>
        <v>0.30000000000000004</v>
      </c>
      <c r="AE18" s="15">
        <f t="shared" si="11"/>
        <v>0.30000000000000004</v>
      </c>
      <c r="AF18" s="10"/>
      <c r="AG18" s="10"/>
      <c r="AH18" s="10"/>
      <c r="AI18" s="10"/>
      <c r="AJ18" s="10"/>
      <c r="AK18" s="10"/>
      <c r="AL18" s="10"/>
      <c r="AM18" s="10"/>
      <c r="AN18" s="10"/>
      <c r="AO18" s="10">
        <f t="shared" si="12"/>
        <v>85991.296566876015</v>
      </c>
      <c r="AP18" s="10">
        <f t="shared" si="13"/>
        <v>124758.76487863486</v>
      </c>
      <c r="AQ18" s="10">
        <f t="shared" si="14"/>
        <v>30750.399794029719</v>
      </c>
      <c r="AR18" s="10">
        <f t="shared" si="15"/>
        <v>0</v>
      </c>
      <c r="AS18" s="10"/>
      <c r="AT18" s="15">
        <f t="shared" si="16"/>
        <v>0.35607094133697148</v>
      </c>
      <c r="AU18" s="15">
        <f t="shared" si="16"/>
        <v>0.51659845384265557</v>
      </c>
      <c r="AV18" s="15">
        <f t="shared" si="16"/>
        <v>0.12733060482037287</v>
      </c>
      <c r="AW18" s="15">
        <f t="shared" si="16"/>
        <v>0</v>
      </c>
      <c r="AX18" s="10"/>
      <c r="AY18" s="39">
        <f t="shared" si="17"/>
        <v>-14256.774714874566</v>
      </c>
      <c r="AZ18" s="10"/>
      <c r="BA18" s="39">
        <f t="shared" si="18"/>
        <v>-8305.8441977282673</v>
      </c>
      <c r="BB18" s="39">
        <f t="shared" si="19"/>
        <v>-553.72294651521781</v>
      </c>
      <c r="BC18" s="39">
        <f t="shared" si="20"/>
        <v>0</v>
      </c>
      <c r="BD18" s="39">
        <f t="shared" si="21"/>
        <v>0</v>
      </c>
      <c r="BE18" s="10"/>
      <c r="BF18" s="1">
        <f t="shared" si="1"/>
        <v>143690.46815754208</v>
      </c>
      <c r="BG18" s="3">
        <f t="shared" si="2"/>
        <v>112458.60496102298</v>
      </c>
      <c r="BH18" s="3">
        <f t="shared" si="22"/>
        <v>461255.99691044574</v>
      </c>
      <c r="BI18" s="3">
        <f t="shared" si="23"/>
        <v>39360.511736358043</v>
      </c>
      <c r="BJ18" s="41">
        <f t="shared" si="24"/>
        <v>-151121.81197767038</v>
      </c>
      <c r="BK18" s="41">
        <f t="shared" si="3"/>
        <v>-12624.883180546967</v>
      </c>
      <c r="BL18" s="41">
        <f t="shared" si="4"/>
        <v>0</v>
      </c>
      <c r="BM18" s="10"/>
      <c r="BN18" s="41">
        <f t="shared" si="25"/>
        <v>593018.88660715148</v>
      </c>
      <c r="BO18" s="7"/>
    </row>
    <row r="19" spans="1:67">
      <c r="A19">
        <v>2029</v>
      </c>
      <c r="K19" s="10">
        <f t="shared" si="5"/>
        <v>1303.7206682146677</v>
      </c>
      <c r="L19" s="44">
        <f t="shared" si="6"/>
        <v>86.914711214311168</v>
      </c>
      <c r="M19" s="10">
        <f t="shared" si="7"/>
        <v>475858.0438983537</v>
      </c>
      <c r="N19" s="10">
        <f t="shared" si="8"/>
        <v>31723.869593223579</v>
      </c>
      <c r="O19" s="10"/>
      <c r="P19" s="10">
        <f t="shared" si="26"/>
        <v>15682.703894955157</v>
      </c>
      <c r="Q19" s="10">
        <f t="shared" si="9"/>
        <v>15682.703894955157</v>
      </c>
      <c r="R19" s="10">
        <f t="shared" si="27"/>
        <v>6721.1588121236409</v>
      </c>
      <c r="S19" s="10">
        <f t="shared" si="10"/>
        <v>6721.1588121236409</v>
      </c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5">
        <f t="shared" si="11"/>
        <v>0.30000000000000004</v>
      </c>
      <c r="AE19" s="15">
        <f t="shared" si="11"/>
        <v>0.30000000000000004</v>
      </c>
      <c r="AF19" s="10"/>
      <c r="AG19" s="10"/>
      <c r="AH19" s="10"/>
      <c r="AI19" s="10"/>
      <c r="AJ19" s="10"/>
      <c r="AK19" s="10"/>
      <c r="AL19" s="10"/>
      <c r="AM19" s="10"/>
      <c r="AN19" s="10"/>
      <c r="AO19" s="10">
        <f t="shared" si="12"/>
        <v>87711.122498213488</v>
      </c>
      <c r="AP19" s="10">
        <f t="shared" si="13"/>
        <v>127253.94017620757</v>
      </c>
      <c r="AQ19" s="10">
        <f t="shared" si="14"/>
        <v>31365.407789910314</v>
      </c>
      <c r="AR19" s="10">
        <f t="shared" si="15"/>
        <v>0</v>
      </c>
      <c r="AS19" s="10"/>
      <c r="AT19" s="15">
        <f t="shared" si="16"/>
        <v>0.35607094133697131</v>
      </c>
      <c r="AU19" s="15">
        <f t="shared" si="16"/>
        <v>0.51659845384265579</v>
      </c>
      <c r="AV19" s="15">
        <f t="shared" si="16"/>
        <v>0.12733060482037289</v>
      </c>
      <c r="AW19" s="15">
        <f t="shared" si="16"/>
        <v>0</v>
      </c>
      <c r="AX19" s="10"/>
      <c r="AY19" s="39">
        <f t="shared" si="17"/>
        <v>-14541.910209172063</v>
      </c>
      <c r="AZ19" s="10"/>
      <c r="BA19" s="39">
        <f t="shared" si="18"/>
        <v>-8471.9610816828317</v>
      </c>
      <c r="BB19" s="39">
        <f t="shared" si="19"/>
        <v>-564.79740544552203</v>
      </c>
      <c r="BC19" s="39">
        <f t="shared" si="20"/>
        <v>0</v>
      </c>
      <c r="BD19" s="39">
        <f t="shared" si="21"/>
        <v>0</v>
      </c>
      <c r="BE19" s="10"/>
      <c r="BF19" s="1">
        <f t="shared" si="1"/>
        <v>146564.27752069297</v>
      </c>
      <c r="BG19" s="3">
        <f t="shared" si="2"/>
        <v>114707.77706024343</v>
      </c>
      <c r="BH19" s="3">
        <f t="shared" si="22"/>
        <v>470481.11684865464</v>
      </c>
      <c r="BI19" s="3">
        <f t="shared" si="23"/>
        <v>40147.7219710852</v>
      </c>
      <c r="BJ19" s="41">
        <f t="shared" si="24"/>
        <v>-154144.24821722385</v>
      </c>
      <c r="BK19" s="41">
        <f t="shared" si="3"/>
        <v>-12877.380844157904</v>
      </c>
      <c r="BL19" s="41">
        <f t="shared" si="4"/>
        <v>0</v>
      </c>
      <c r="BM19" s="10"/>
      <c r="BN19" s="41">
        <f t="shared" si="25"/>
        <v>604879.26433929452</v>
      </c>
      <c r="BO19" s="7"/>
    </row>
    <row r="20" spans="1:67">
      <c r="A20">
        <v>2030</v>
      </c>
      <c r="K20" s="10">
        <f t="shared" si="5"/>
        <v>1329.7950815789611</v>
      </c>
      <c r="L20" s="44">
        <f t="shared" si="6"/>
        <v>88.653005438597418</v>
      </c>
      <c r="M20" s="10">
        <f t="shared" si="7"/>
        <v>485375.20477632084</v>
      </c>
      <c r="N20" s="10">
        <f t="shared" si="8"/>
        <v>32358.346985088057</v>
      </c>
      <c r="O20" s="10"/>
      <c r="P20" s="10">
        <f t="shared" si="26"/>
        <v>15996.357972854261</v>
      </c>
      <c r="Q20" s="10">
        <f t="shared" si="9"/>
        <v>15996.357972854261</v>
      </c>
      <c r="R20" s="10">
        <f t="shared" si="27"/>
        <v>6855.5819883661143</v>
      </c>
      <c r="S20" s="10">
        <f t="shared" si="10"/>
        <v>6855.5819883661143</v>
      </c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5">
        <f t="shared" si="11"/>
        <v>0.3000000000000001</v>
      </c>
      <c r="AE20" s="15">
        <f t="shared" si="11"/>
        <v>0.3000000000000001</v>
      </c>
      <c r="AF20" s="10"/>
      <c r="AG20" s="10"/>
      <c r="AH20" s="10"/>
      <c r="AI20" s="10"/>
      <c r="AJ20" s="10"/>
      <c r="AK20" s="10"/>
      <c r="AL20" s="10"/>
      <c r="AM20" s="10"/>
      <c r="AN20" s="10"/>
      <c r="AO20" s="10">
        <f t="shared" si="12"/>
        <v>89465.344948177808</v>
      </c>
      <c r="AP20" s="10">
        <f t="shared" si="13"/>
        <v>129799.01897973176</v>
      </c>
      <c r="AQ20" s="10">
        <f t="shared" si="14"/>
        <v>31992.715945708522</v>
      </c>
      <c r="AR20" s="10">
        <f t="shared" si="15"/>
        <v>0</v>
      </c>
      <c r="AS20" s="10"/>
      <c r="AT20" s="15">
        <f t="shared" si="16"/>
        <v>0.35607094133697142</v>
      </c>
      <c r="AU20" s="15">
        <f t="shared" si="16"/>
        <v>0.51659845384265568</v>
      </c>
      <c r="AV20" s="15">
        <f t="shared" si="16"/>
        <v>0.12733060482037284</v>
      </c>
      <c r="AW20" s="15">
        <f t="shared" si="16"/>
        <v>0</v>
      </c>
      <c r="AX20" s="10"/>
      <c r="AY20" s="39">
        <f t="shared" si="17"/>
        <v>-14832.748413355503</v>
      </c>
      <c r="AZ20" s="10"/>
      <c r="BA20" s="39">
        <f t="shared" si="18"/>
        <v>-8641.4003033164918</v>
      </c>
      <c r="BB20" s="39">
        <f t="shared" si="19"/>
        <v>-576.09335355443284</v>
      </c>
      <c r="BC20" s="39">
        <f t="shared" si="20"/>
        <v>0</v>
      </c>
      <c r="BD20" s="39">
        <f t="shared" si="21"/>
        <v>0</v>
      </c>
      <c r="BE20" s="10"/>
      <c r="BF20" s="1">
        <f t="shared" si="1"/>
        <v>149495.56307110685</v>
      </c>
      <c r="BG20" s="3">
        <f t="shared" si="2"/>
        <v>117001.93260144829</v>
      </c>
      <c r="BH20" s="3">
        <f t="shared" si="22"/>
        <v>479890.73918562784</v>
      </c>
      <c r="BI20" s="3">
        <f t="shared" si="23"/>
        <v>40950.676410506909</v>
      </c>
      <c r="BJ20" s="41">
        <f t="shared" si="24"/>
        <v>-157227.13318156832</v>
      </c>
      <c r="BK20" s="41">
        <f t="shared" si="3"/>
        <v>-13134.928461041067</v>
      </c>
      <c r="BL20" s="41">
        <f t="shared" si="4"/>
        <v>0</v>
      </c>
      <c r="BM20" s="10"/>
      <c r="BN20" s="41">
        <f t="shared" si="25"/>
        <v>616976.84962608048</v>
      </c>
      <c r="BO20" s="7"/>
    </row>
    <row r="21" spans="1:67">
      <c r="A21">
        <v>2031</v>
      </c>
      <c r="K21" s="10">
        <f t="shared" si="5"/>
        <v>1356.3909832105401</v>
      </c>
      <c r="L21" s="44">
        <f t="shared" si="6"/>
        <v>90.426065547369348</v>
      </c>
      <c r="M21" s="10">
        <f t="shared" si="7"/>
        <v>495082.70887184714</v>
      </c>
      <c r="N21" s="10">
        <f t="shared" si="8"/>
        <v>33005.513924789811</v>
      </c>
      <c r="O21" s="10"/>
      <c r="P21" s="10">
        <f t="shared" si="26"/>
        <v>16316.285132311346</v>
      </c>
      <c r="Q21" s="10">
        <f t="shared" si="9"/>
        <v>16316.285132311346</v>
      </c>
      <c r="R21" s="10">
        <f t="shared" si="27"/>
        <v>6992.6936281334365</v>
      </c>
      <c r="S21" s="10">
        <f t="shared" si="10"/>
        <v>6992.6936281334365</v>
      </c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5">
        <f t="shared" si="11"/>
        <v>0.30000000000000004</v>
      </c>
      <c r="AE21" s="15">
        <f t="shared" si="11"/>
        <v>0.30000000000000004</v>
      </c>
      <c r="AF21" s="10"/>
      <c r="AG21" s="10"/>
      <c r="AH21" s="10"/>
      <c r="AI21" s="10"/>
      <c r="AJ21" s="10"/>
      <c r="AK21" s="10"/>
      <c r="AL21" s="10"/>
      <c r="AM21" s="10"/>
      <c r="AN21" s="10"/>
      <c r="AO21" s="10">
        <f t="shared" si="12"/>
        <v>91254.651847141344</v>
      </c>
      <c r="AP21" s="10">
        <f t="shared" si="13"/>
        <v>132394.99935932635</v>
      </c>
      <c r="AQ21" s="10">
        <f t="shared" si="14"/>
        <v>32632.570264622693</v>
      </c>
      <c r="AR21" s="10">
        <f t="shared" si="15"/>
        <v>0</v>
      </c>
      <c r="AS21" s="10"/>
      <c r="AT21" s="15">
        <f t="shared" si="16"/>
        <v>0.35607094133697142</v>
      </c>
      <c r="AU21" s="15">
        <f t="shared" si="16"/>
        <v>0.51659845384265568</v>
      </c>
      <c r="AV21" s="15">
        <f t="shared" si="16"/>
        <v>0.12733060482037289</v>
      </c>
      <c r="AW21" s="15">
        <f t="shared" si="16"/>
        <v>0</v>
      </c>
      <c r="AX21" s="10"/>
      <c r="AY21" s="39">
        <f t="shared" si="17"/>
        <v>-15129.403381622615</v>
      </c>
      <c r="AZ21" s="10"/>
      <c r="BA21" s="39">
        <f t="shared" si="18"/>
        <v>-8814.2283093828191</v>
      </c>
      <c r="BB21" s="39">
        <f t="shared" si="19"/>
        <v>-587.61522062552126</v>
      </c>
      <c r="BC21" s="39">
        <f t="shared" si="20"/>
        <v>0</v>
      </c>
      <c r="BD21" s="39">
        <f t="shared" si="21"/>
        <v>0</v>
      </c>
      <c r="BE21" s="10"/>
      <c r="BF21" s="1">
        <f t="shared" si="1"/>
        <v>152485.47433252895</v>
      </c>
      <c r="BG21" s="3">
        <f t="shared" si="2"/>
        <v>119341.97125347728</v>
      </c>
      <c r="BH21" s="3">
        <f t="shared" si="22"/>
        <v>489488.55396934034</v>
      </c>
      <c r="BI21" s="3">
        <f t="shared" si="23"/>
        <v>41769.689938717049</v>
      </c>
      <c r="BJ21" s="41">
        <f t="shared" si="24"/>
        <v>-160371.6758451997</v>
      </c>
      <c r="BK21" s="41">
        <f t="shared" si="3"/>
        <v>-13397.627030261885</v>
      </c>
      <c r="BL21" s="41">
        <f t="shared" si="4"/>
        <v>0</v>
      </c>
      <c r="BM21" s="10"/>
      <c r="BN21" s="41">
        <f t="shared" si="25"/>
        <v>629316.38661860197</v>
      </c>
      <c r="BO21" s="7"/>
    </row>
  </sheetData>
  <pageMargins left="0.7" right="0.7" top="0.75" bottom="0.75" header="0.3" footer="0.3"/>
  <pageSetup scale="33" fitToWidth="2" orientation="landscape" r:id="rId1"/>
  <headerFooter>
    <oddFooter>&amp;L&amp;A&amp;CPage &amp;P of &amp;N&amp;R&amp;D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E21"/>
  <sheetViews>
    <sheetView workbookViewId="0"/>
  </sheetViews>
  <sheetFormatPr defaultRowHeight="15"/>
  <cols>
    <col min="2" max="2" width="14.7109375" customWidth="1"/>
    <col min="3" max="3" width="10.7109375" style="4" customWidth="1"/>
    <col min="4" max="4" width="14.7109375" style="4" customWidth="1"/>
    <col min="5" max="5" width="2.7109375" customWidth="1"/>
    <col min="6" max="7" width="10.7109375" customWidth="1"/>
    <col min="8" max="8" width="2.7109375" customWidth="1"/>
    <col min="9" max="9" width="12.7109375" style="1" bestFit="1" customWidth="1"/>
    <col min="10" max="10" width="2.7109375" customWidth="1"/>
    <col min="11" max="11" width="6.7109375" style="2" bestFit="1" customWidth="1"/>
    <col min="12" max="12" width="6.85546875" style="2" bestFit="1" customWidth="1"/>
    <col min="13" max="14" width="6.7109375" style="2" bestFit="1" customWidth="1"/>
    <col min="15" max="15" width="7" style="2" bestFit="1" customWidth="1"/>
    <col min="16" max="16" width="6.85546875" style="2" bestFit="1" customWidth="1"/>
    <col min="17" max="17" width="7" style="2" bestFit="1" customWidth="1"/>
    <col min="18" max="19" width="6.85546875" style="2" bestFit="1" customWidth="1"/>
    <col min="20" max="20" width="7.140625" style="2" bestFit="1" customWidth="1"/>
    <col min="21" max="21" width="10.140625" style="2" bestFit="1" customWidth="1"/>
    <col min="22" max="23" width="8.5703125" style="2" bestFit="1" customWidth="1"/>
    <col min="24" max="25" width="7.5703125" style="2" bestFit="1" customWidth="1"/>
    <col min="26" max="26" width="10.7109375" style="2" customWidth="1"/>
    <col min="27" max="27" width="10.140625" bestFit="1" customWidth="1"/>
    <col min="29" max="29" width="10.7109375" style="45" customWidth="1"/>
    <col min="30" max="30" width="2.7109375" customWidth="1"/>
    <col min="31" max="31" width="11.7109375" customWidth="1"/>
  </cols>
  <sheetData>
    <row r="1" spans="1:31" ht="105">
      <c r="A1" s="35"/>
      <c r="B1" s="36" t="s">
        <v>71</v>
      </c>
      <c r="C1" s="36" t="s">
        <v>0</v>
      </c>
      <c r="D1" s="36" t="s">
        <v>8</v>
      </c>
      <c r="F1" s="36" t="s">
        <v>87</v>
      </c>
      <c r="G1" s="36" t="s">
        <v>86</v>
      </c>
      <c r="I1" s="49" t="s">
        <v>92</v>
      </c>
      <c r="K1" s="37" t="s">
        <v>112</v>
      </c>
      <c r="L1" s="37" t="s">
        <v>113</v>
      </c>
      <c r="M1" s="37" t="s">
        <v>114</v>
      </c>
      <c r="N1" s="37" t="s">
        <v>115</v>
      </c>
      <c r="O1" s="37" t="s">
        <v>116</v>
      </c>
      <c r="P1" s="37" t="s">
        <v>117</v>
      </c>
      <c r="Q1" s="37" t="s">
        <v>118</v>
      </c>
      <c r="R1" s="37" t="s">
        <v>119</v>
      </c>
      <c r="S1" s="37" t="s">
        <v>120</v>
      </c>
      <c r="T1" s="37" t="s">
        <v>121</v>
      </c>
      <c r="U1" s="37" t="s">
        <v>122</v>
      </c>
      <c r="V1" s="37" t="s">
        <v>123</v>
      </c>
      <c r="W1" s="37" t="s">
        <v>124</v>
      </c>
      <c r="X1" s="37" t="s">
        <v>125</v>
      </c>
      <c r="Y1" s="37" t="s">
        <v>126</v>
      </c>
      <c r="Z1" s="36" t="s">
        <v>127</v>
      </c>
      <c r="AA1" s="37" t="s">
        <v>128</v>
      </c>
      <c r="AB1" s="37" t="s">
        <v>129</v>
      </c>
      <c r="AC1" s="53" t="s">
        <v>131</v>
      </c>
      <c r="AE1" s="53" t="s">
        <v>130</v>
      </c>
    </row>
    <row r="2" spans="1:31">
      <c r="A2">
        <v>2012</v>
      </c>
      <c r="B2" s="6">
        <f>70%*10.6+30%*21.2</f>
        <v>13.779999999999998</v>
      </c>
      <c r="C2" s="4">
        <v>1.2</v>
      </c>
      <c r="D2" s="9">
        <v>9.6000000000000002E-2</v>
      </c>
      <c r="F2" s="47">
        <v>252.14</v>
      </c>
      <c r="G2" s="7">
        <f>F2*365</f>
        <v>92031.099999999991</v>
      </c>
      <c r="I2" s="1">
        <f>$B$2*$C$2*G2+$D$2*G2</f>
        <v>1530661.2551999998</v>
      </c>
      <c r="K2" s="52">
        <v>0</v>
      </c>
      <c r="L2" s="52">
        <v>0.1</v>
      </c>
      <c r="M2" s="52">
        <v>0.1</v>
      </c>
      <c r="N2" s="52">
        <v>0.2</v>
      </c>
      <c r="O2" s="52">
        <v>1.2</v>
      </c>
      <c r="P2" s="52">
        <v>0</v>
      </c>
      <c r="Q2" s="52">
        <v>0.12</v>
      </c>
      <c r="R2" s="52">
        <v>0.12</v>
      </c>
      <c r="S2" s="52">
        <v>0.32</v>
      </c>
      <c r="T2" s="52">
        <v>7.6</v>
      </c>
      <c r="U2" s="3">
        <v>7100000</v>
      </c>
      <c r="V2" s="3">
        <v>415000</v>
      </c>
      <c r="W2" s="3">
        <v>137000</v>
      </c>
      <c r="X2" s="3">
        <v>91000</v>
      </c>
      <c r="Y2" s="3">
        <v>12000</v>
      </c>
      <c r="Z2" s="15">
        <v>0.02</v>
      </c>
      <c r="AA2" s="1">
        <f>SUMPRODUCT($K$2:$O$2,$U$2:$Y$2)*(1+$Z$2)^($A2-2010)</f>
        <v>91347.12</v>
      </c>
      <c r="AB2" s="1">
        <f>SUMPRODUCT($P$2:$T$2,$U$2:$Y$2)*(1+$Z$2)^($A2-2010)</f>
        <v>194097.024</v>
      </c>
      <c r="AC2" s="45">
        <f>AA2-AB2</f>
        <v>-102749.90400000001</v>
      </c>
      <c r="AE2" s="1">
        <f>I2+AC2</f>
        <v>1427911.3511999997</v>
      </c>
    </row>
    <row r="3" spans="1:31">
      <c r="A3">
        <v>2013</v>
      </c>
      <c r="F3" s="47">
        <f t="shared" ref="F3:F11" si="0">($F$12-$F$2)/(11-1)*($A3-$A$2)+$F$2</f>
        <v>267.06</v>
      </c>
      <c r="G3" s="7">
        <f t="shared" ref="G3:G21" si="1">F3*365</f>
        <v>97476.9</v>
      </c>
      <c r="I3" s="1">
        <f t="shared" ref="I3:I21" si="2">$B$2*$C$2*G3+$D$2*G3</f>
        <v>1621235.8007999996</v>
      </c>
      <c r="AA3" s="1">
        <f t="shared" ref="AA3:AA21" si="3">SUMPRODUCT($K$2:$O$2,$U$2:$Y$2)*(1+$Z$2)^($A3-2010)</f>
        <v>93174.062399999995</v>
      </c>
      <c r="AB3" s="1">
        <f t="shared" ref="AB3:AB21" si="4">SUMPRODUCT($P$2:$T$2,$U$2:$Y$2)*(1+$Z$2)^($A3-2010)</f>
        <v>197978.96448</v>
      </c>
      <c r="AC3" s="45">
        <f t="shared" ref="AC3:AC21" si="5">AA3-AB3</f>
        <v>-104804.90208</v>
      </c>
      <c r="AE3" s="1">
        <f t="shared" ref="AE3:AE21" si="6">I3+AC3</f>
        <v>1516430.8987199997</v>
      </c>
    </row>
    <row r="4" spans="1:31">
      <c r="A4">
        <v>2014</v>
      </c>
      <c r="F4" s="47">
        <f t="shared" si="0"/>
        <v>281.97999999999996</v>
      </c>
      <c r="G4" s="7">
        <f t="shared" si="1"/>
        <v>102922.69999999998</v>
      </c>
      <c r="I4" s="1">
        <f t="shared" si="2"/>
        <v>1711810.3463999995</v>
      </c>
      <c r="AA4" s="1">
        <f t="shared" si="3"/>
        <v>95037.543647999992</v>
      </c>
      <c r="AB4" s="1">
        <f t="shared" si="4"/>
        <v>201938.54376959999</v>
      </c>
      <c r="AC4" s="45">
        <f t="shared" si="5"/>
        <v>-106901.00012159999</v>
      </c>
      <c r="AE4" s="1">
        <f t="shared" si="6"/>
        <v>1604909.3462783995</v>
      </c>
    </row>
    <row r="5" spans="1:31">
      <c r="A5">
        <v>2015</v>
      </c>
      <c r="F5" s="47">
        <f t="shared" si="0"/>
        <v>296.89999999999998</v>
      </c>
      <c r="G5" s="7">
        <f t="shared" si="1"/>
        <v>108368.49999999999</v>
      </c>
      <c r="I5" s="1">
        <f t="shared" si="2"/>
        <v>1802384.8919999995</v>
      </c>
      <c r="AA5" s="1">
        <f t="shared" si="3"/>
        <v>96938.29452096</v>
      </c>
      <c r="AB5" s="1">
        <f t="shared" si="4"/>
        <v>205977.314644992</v>
      </c>
      <c r="AC5" s="45">
        <f t="shared" si="5"/>
        <v>-109039.020124032</v>
      </c>
      <c r="AE5" s="1">
        <f t="shared" si="6"/>
        <v>1693345.8718759676</v>
      </c>
    </row>
    <row r="6" spans="1:31">
      <c r="A6">
        <v>2016</v>
      </c>
      <c r="F6" s="47">
        <f t="shared" si="0"/>
        <v>311.82</v>
      </c>
      <c r="G6" s="7">
        <f t="shared" si="1"/>
        <v>113814.3</v>
      </c>
      <c r="I6" s="1">
        <f t="shared" si="2"/>
        <v>1892959.4375999998</v>
      </c>
      <c r="AA6" s="1">
        <f t="shared" si="3"/>
        <v>98877.060411379207</v>
      </c>
      <c r="AB6" s="1">
        <f t="shared" si="4"/>
        <v>210096.86093789185</v>
      </c>
      <c r="AC6" s="45">
        <f t="shared" si="5"/>
        <v>-111219.80052651264</v>
      </c>
      <c r="AE6" s="1">
        <f t="shared" si="6"/>
        <v>1781739.6370734873</v>
      </c>
    </row>
    <row r="7" spans="1:31">
      <c r="A7">
        <v>2017</v>
      </c>
      <c r="F7" s="47">
        <f t="shared" si="0"/>
        <v>326.74</v>
      </c>
      <c r="G7" s="7">
        <f t="shared" si="1"/>
        <v>119260.1</v>
      </c>
      <c r="I7" s="1">
        <f t="shared" si="2"/>
        <v>1983533.9831999999</v>
      </c>
      <c r="AA7" s="1">
        <f t="shared" si="3"/>
        <v>100854.60161960676</v>
      </c>
      <c r="AB7" s="1">
        <f t="shared" si="4"/>
        <v>214298.79815664963</v>
      </c>
      <c r="AC7" s="45">
        <f t="shared" si="5"/>
        <v>-113444.19653704287</v>
      </c>
      <c r="AE7" s="1">
        <f t="shared" si="6"/>
        <v>1870089.7866629569</v>
      </c>
    </row>
    <row r="8" spans="1:31">
      <c r="A8">
        <v>2018</v>
      </c>
      <c r="F8" s="47">
        <f t="shared" si="0"/>
        <v>341.65999999999997</v>
      </c>
      <c r="G8" s="7">
        <f t="shared" si="1"/>
        <v>124705.9</v>
      </c>
      <c r="I8" s="1">
        <f t="shared" si="2"/>
        <v>2074108.5287999997</v>
      </c>
      <c r="AA8" s="1">
        <f t="shared" si="3"/>
        <v>102871.69365199891</v>
      </c>
      <c r="AB8" s="1">
        <f t="shared" si="4"/>
        <v>218584.77411978267</v>
      </c>
      <c r="AC8" s="45">
        <f t="shared" si="5"/>
        <v>-115713.08046778376</v>
      </c>
      <c r="AE8" s="1">
        <f t="shared" si="6"/>
        <v>1958395.4483322159</v>
      </c>
    </row>
    <row r="9" spans="1:31">
      <c r="A9">
        <v>2019</v>
      </c>
      <c r="F9" s="47">
        <f t="shared" si="0"/>
        <v>356.58</v>
      </c>
      <c r="G9" s="7">
        <f t="shared" si="1"/>
        <v>130151.7</v>
      </c>
      <c r="I9" s="1">
        <f t="shared" si="2"/>
        <v>2164683.0743999998</v>
      </c>
      <c r="AA9" s="1">
        <f t="shared" si="3"/>
        <v>104929.12752503889</v>
      </c>
      <c r="AB9" s="1">
        <f t="shared" si="4"/>
        <v>222956.46960217832</v>
      </c>
      <c r="AC9" s="45">
        <f t="shared" si="5"/>
        <v>-118027.34207713943</v>
      </c>
      <c r="AE9" s="1">
        <f t="shared" si="6"/>
        <v>2046655.7323228603</v>
      </c>
    </row>
    <row r="10" spans="1:31">
      <c r="A10">
        <v>2020</v>
      </c>
      <c r="F10" s="47">
        <f t="shared" si="0"/>
        <v>371.5</v>
      </c>
      <c r="G10" s="7">
        <f t="shared" si="1"/>
        <v>135597.5</v>
      </c>
      <c r="I10" s="1">
        <f t="shared" si="2"/>
        <v>2255257.6199999996</v>
      </c>
      <c r="AA10" s="1">
        <f t="shared" si="3"/>
        <v>107027.71007553967</v>
      </c>
      <c r="AB10" s="1">
        <f t="shared" si="4"/>
        <v>227415.59899422189</v>
      </c>
      <c r="AC10" s="45">
        <f t="shared" si="5"/>
        <v>-120387.88891868222</v>
      </c>
      <c r="AE10" s="1">
        <f t="shared" si="6"/>
        <v>2134869.7310813176</v>
      </c>
    </row>
    <row r="11" spans="1:31">
      <c r="A11">
        <v>2021</v>
      </c>
      <c r="F11" s="47">
        <f t="shared" si="0"/>
        <v>386.41999999999996</v>
      </c>
      <c r="G11" s="7">
        <f t="shared" si="1"/>
        <v>141043.29999999999</v>
      </c>
      <c r="I11" s="1">
        <f t="shared" si="2"/>
        <v>2345832.1655999995</v>
      </c>
      <c r="AA11" s="1">
        <f t="shared" si="3"/>
        <v>109168.26427705045</v>
      </c>
      <c r="AB11" s="1">
        <f t="shared" si="4"/>
        <v>231963.91097410629</v>
      </c>
      <c r="AC11" s="45">
        <f t="shared" si="5"/>
        <v>-122795.64669705584</v>
      </c>
      <c r="AE11" s="1">
        <f t="shared" si="6"/>
        <v>2223036.5189029435</v>
      </c>
    </row>
    <row r="12" spans="1:31">
      <c r="A12">
        <v>2022</v>
      </c>
      <c r="F12" s="47">
        <v>401.34</v>
      </c>
      <c r="G12" s="7">
        <f t="shared" si="1"/>
        <v>146489.09999999998</v>
      </c>
      <c r="I12" s="1">
        <f t="shared" si="2"/>
        <v>2436406.7111999993</v>
      </c>
      <c r="AA12" s="1">
        <f t="shared" si="3"/>
        <v>111351.62956259148</v>
      </c>
      <c r="AB12" s="1">
        <f t="shared" si="4"/>
        <v>236603.18919358845</v>
      </c>
      <c r="AC12" s="45">
        <f t="shared" si="5"/>
        <v>-125251.55963099697</v>
      </c>
      <c r="AE12" s="1">
        <f t="shared" si="6"/>
        <v>2311155.1515690023</v>
      </c>
    </row>
    <row r="13" spans="1:31">
      <c r="A13">
        <v>2023</v>
      </c>
      <c r="F13" s="47">
        <f>F12+(F12-F11)</f>
        <v>416.26</v>
      </c>
      <c r="G13" s="7">
        <f t="shared" si="1"/>
        <v>151934.9</v>
      </c>
      <c r="I13" s="1">
        <f t="shared" si="2"/>
        <v>2526981.2567999992</v>
      </c>
      <c r="AA13" s="1">
        <f t="shared" si="3"/>
        <v>113578.6621538433</v>
      </c>
      <c r="AB13" s="1">
        <f t="shared" si="4"/>
        <v>241335.25297746019</v>
      </c>
      <c r="AC13" s="45">
        <f t="shared" si="5"/>
        <v>-127756.59082361689</v>
      </c>
      <c r="AE13" s="1">
        <f t="shared" si="6"/>
        <v>2399224.6659763823</v>
      </c>
    </row>
    <row r="14" spans="1:31">
      <c r="A14">
        <v>2024</v>
      </c>
      <c r="F14" s="47">
        <f t="shared" ref="F14:F21" si="7">F13+(F13-F12)</f>
        <v>431.18</v>
      </c>
      <c r="G14" s="7">
        <f t="shared" si="1"/>
        <v>157380.70000000001</v>
      </c>
      <c r="I14" s="1">
        <f t="shared" si="2"/>
        <v>2617555.8023999999</v>
      </c>
      <c r="AA14" s="1">
        <f t="shared" si="3"/>
        <v>115850.23539692018</v>
      </c>
      <c r="AB14" s="1">
        <f t="shared" si="4"/>
        <v>246161.95803700943</v>
      </c>
      <c r="AC14" s="45">
        <f t="shared" si="5"/>
        <v>-130311.72264008925</v>
      </c>
      <c r="AE14" s="1">
        <f t="shared" si="6"/>
        <v>2487244.0797599107</v>
      </c>
    </row>
    <row r="15" spans="1:31">
      <c r="A15">
        <v>2025</v>
      </c>
      <c r="F15" s="47">
        <f t="shared" si="7"/>
        <v>446.1</v>
      </c>
      <c r="G15" s="7">
        <f t="shared" si="1"/>
        <v>162826.5</v>
      </c>
      <c r="I15" s="1">
        <f t="shared" si="2"/>
        <v>2708130.3479999998</v>
      </c>
      <c r="AA15" s="1">
        <f t="shared" si="3"/>
        <v>118167.24010485855</v>
      </c>
      <c r="AB15" s="1">
        <f t="shared" si="4"/>
        <v>251085.19719774954</v>
      </c>
      <c r="AC15" s="45">
        <f t="shared" si="5"/>
        <v>-132917.95709289098</v>
      </c>
      <c r="AE15" s="1">
        <f t="shared" si="6"/>
        <v>2575212.3909071088</v>
      </c>
    </row>
    <row r="16" spans="1:31">
      <c r="A16">
        <v>2026</v>
      </c>
      <c r="F16" s="47">
        <f t="shared" si="7"/>
        <v>461.02000000000004</v>
      </c>
      <c r="G16" s="7">
        <f t="shared" si="1"/>
        <v>168272.30000000002</v>
      </c>
      <c r="I16" s="1">
        <f t="shared" si="2"/>
        <v>2798704.8936000001</v>
      </c>
      <c r="AA16" s="1">
        <f t="shared" si="3"/>
        <v>120530.58490695574</v>
      </c>
      <c r="AB16" s="1">
        <f t="shared" si="4"/>
        <v>256106.90114170458</v>
      </c>
      <c r="AC16" s="45">
        <f t="shared" si="5"/>
        <v>-135576.31623474884</v>
      </c>
      <c r="AE16" s="1">
        <f t="shared" si="6"/>
        <v>2663128.5773652513</v>
      </c>
    </row>
    <row r="17" spans="1:31">
      <c r="A17">
        <v>2027</v>
      </c>
      <c r="F17" s="47">
        <f t="shared" si="7"/>
        <v>475.94000000000005</v>
      </c>
      <c r="G17" s="7">
        <f t="shared" si="1"/>
        <v>173718.1</v>
      </c>
      <c r="I17" s="1">
        <f t="shared" si="2"/>
        <v>2889279.4391999994</v>
      </c>
      <c r="AA17" s="1">
        <f t="shared" si="3"/>
        <v>122941.19660509487</v>
      </c>
      <c r="AB17" s="1">
        <f t="shared" si="4"/>
        <v>261229.0391645387</v>
      </c>
      <c r="AC17" s="45">
        <f t="shared" si="5"/>
        <v>-138287.84255944384</v>
      </c>
      <c r="AE17" s="1">
        <f t="shared" si="6"/>
        <v>2750991.5966405557</v>
      </c>
    </row>
    <row r="18" spans="1:31">
      <c r="A18">
        <v>2028</v>
      </c>
      <c r="F18" s="47">
        <f t="shared" si="7"/>
        <v>490.86000000000007</v>
      </c>
      <c r="G18" s="7">
        <f t="shared" si="1"/>
        <v>179163.90000000002</v>
      </c>
      <c r="I18" s="1">
        <f t="shared" si="2"/>
        <v>2979853.9847999997</v>
      </c>
      <c r="AA18" s="1">
        <f t="shared" si="3"/>
        <v>125400.02053719675</v>
      </c>
      <c r="AB18" s="1">
        <f t="shared" si="4"/>
        <v>266453.61994782946</v>
      </c>
      <c r="AC18" s="45">
        <f t="shared" si="5"/>
        <v>-141053.59941063271</v>
      </c>
      <c r="AE18" s="1">
        <f t="shared" si="6"/>
        <v>2838800.3853893671</v>
      </c>
    </row>
    <row r="19" spans="1:31">
      <c r="A19">
        <v>2029</v>
      </c>
      <c r="F19" s="47">
        <f t="shared" si="7"/>
        <v>505.78000000000009</v>
      </c>
      <c r="G19" s="7">
        <f t="shared" si="1"/>
        <v>184609.70000000004</v>
      </c>
      <c r="I19" s="1">
        <f t="shared" si="2"/>
        <v>3070428.5304000005</v>
      </c>
      <c r="AA19" s="1">
        <f t="shared" si="3"/>
        <v>127908.02094794068</v>
      </c>
      <c r="AB19" s="1">
        <f t="shared" si="4"/>
        <v>271782.69234678603</v>
      </c>
      <c r="AC19" s="45">
        <f t="shared" si="5"/>
        <v>-143874.67139884536</v>
      </c>
      <c r="AE19" s="1">
        <f t="shared" si="6"/>
        <v>2926553.859001155</v>
      </c>
    </row>
    <row r="20" spans="1:31">
      <c r="A20">
        <v>2030</v>
      </c>
      <c r="F20" s="47">
        <f t="shared" si="7"/>
        <v>520.70000000000005</v>
      </c>
      <c r="G20" s="7">
        <f t="shared" si="1"/>
        <v>190055.50000000003</v>
      </c>
      <c r="I20" s="1">
        <f t="shared" si="2"/>
        <v>3161003.0760000004</v>
      </c>
      <c r="AA20" s="1">
        <f t="shared" si="3"/>
        <v>130466.1813668995</v>
      </c>
      <c r="AB20" s="1">
        <f t="shared" si="4"/>
        <v>277218.34619372175</v>
      </c>
      <c r="AC20" s="45">
        <f t="shared" si="5"/>
        <v>-146752.16482682223</v>
      </c>
      <c r="AE20" s="1">
        <f t="shared" si="6"/>
        <v>3014250.9111731779</v>
      </c>
    </row>
    <row r="21" spans="1:31">
      <c r="A21">
        <v>2031</v>
      </c>
      <c r="F21" s="47">
        <f t="shared" si="7"/>
        <v>535.62</v>
      </c>
      <c r="G21" s="7">
        <f t="shared" si="1"/>
        <v>195501.3</v>
      </c>
      <c r="I21" s="1">
        <f t="shared" si="2"/>
        <v>3251577.6215999993</v>
      </c>
      <c r="AA21" s="1">
        <f t="shared" si="3"/>
        <v>133075.50499423748</v>
      </c>
      <c r="AB21" s="1">
        <f t="shared" si="4"/>
        <v>282762.71311759617</v>
      </c>
      <c r="AC21" s="45">
        <f t="shared" si="5"/>
        <v>-149687.20812335869</v>
      </c>
      <c r="AE21" s="1">
        <f t="shared" si="6"/>
        <v>3101890.4134766404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2" max="2" width="14.7109375" customWidth="1"/>
    <col min="3" max="3" width="10.7109375" style="4" customWidth="1"/>
    <col min="4" max="4" width="14.7109375" style="4" customWidth="1"/>
    <col min="5" max="5" width="2.7109375" customWidth="1"/>
    <col min="6" max="7" width="10.7109375" style="7" customWidth="1"/>
    <col min="8" max="9" width="10.7109375" customWidth="1"/>
    <col min="10" max="10" width="2.7109375" customWidth="1"/>
    <col min="11" max="11" width="12.7109375" style="1" bestFit="1" customWidth="1"/>
  </cols>
  <sheetData>
    <row r="1" spans="1:11" ht="90">
      <c r="A1" s="35"/>
      <c r="B1" s="36" t="s">
        <v>111</v>
      </c>
      <c r="C1" s="36" t="s">
        <v>101</v>
      </c>
      <c r="D1" s="36" t="s">
        <v>102</v>
      </c>
      <c r="F1" s="50" t="s">
        <v>103</v>
      </c>
      <c r="G1" s="50" t="s">
        <v>104</v>
      </c>
      <c r="H1" s="50" t="s">
        <v>105</v>
      </c>
      <c r="I1" s="50" t="s">
        <v>106</v>
      </c>
      <c r="K1" s="49" t="s">
        <v>107</v>
      </c>
    </row>
    <row r="2" spans="1:11">
      <c r="A2">
        <v>2012</v>
      </c>
      <c r="B2" s="6">
        <v>15.76</v>
      </c>
      <c r="C2" s="6">
        <v>1.45</v>
      </c>
      <c r="D2" s="6">
        <v>7.0000000000000007E-2</v>
      </c>
      <c r="F2" s="7">
        <v>18000</v>
      </c>
      <c r="G2" s="7">
        <v>6000</v>
      </c>
      <c r="H2" s="7">
        <v>230100</v>
      </c>
      <c r="I2" s="7">
        <v>72600</v>
      </c>
      <c r="K2" s="1">
        <f>$B$2*(F2-G2)+($C$2+$D$2)*(H2-I2)</f>
        <v>428520</v>
      </c>
    </row>
    <row r="3" spans="1:11">
      <c r="A3">
        <v>2013</v>
      </c>
      <c r="F3" s="7">
        <f>F2*1.02</f>
        <v>18360</v>
      </c>
      <c r="G3" s="7">
        <f>G2*1.02</f>
        <v>6120</v>
      </c>
      <c r="H3" s="7">
        <f t="shared" ref="H3:I3" si="0">H2*1.02</f>
        <v>234702</v>
      </c>
      <c r="I3" s="7">
        <f t="shared" si="0"/>
        <v>74052</v>
      </c>
      <c r="K3" s="1">
        <f t="shared" ref="K3:K21" si="1">$B$2*(F3-G3)+($C$2+$D$2)*(H3-I3)</f>
        <v>437090.4</v>
      </c>
    </row>
    <row r="4" spans="1:11">
      <c r="A4">
        <v>2014</v>
      </c>
      <c r="F4" s="7">
        <f t="shared" ref="F4:F21" si="2">F3*1.02</f>
        <v>18727.2</v>
      </c>
      <c r="G4" s="7">
        <f t="shared" ref="G4:G21" si="3">G3*1.02</f>
        <v>6242.4000000000005</v>
      </c>
      <c r="H4" s="7">
        <f t="shared" ref="H4:H21" si="4">H3*1.02</f>
        <v>239396.04</v>
      </c>
      <c r="I4" s="7">
        <f t="shared" ref="I4:I21" si="5">I3*1.02</f>
        <v>75533.040000000008</v>
      </c>
      <c r="K4" s="1">
        <f t="shared" si="1"/>
        <v>445832.20799999998</v>
      </c>
    </row>
    <row r="5" spans="1:11">
      <c r="A5">
        <v>2015</v>
      </c>
      <c r="F5" s="7">
        <f t="shared" si="2"/>
        <v>19101.744000000002</v>
      </c>
      <c r="G5" s="7">
        <f t="shared" si="3"/>
        <v>6367.2480000000005</v>
      </c>
      <c r="H5" s="7">
        <f t="shared" si="4"/>
        <v>244183.9608</v>
      </c>
      <c r="I5" s="7">
        <f t="shared" si="5"/>
        <v>77043.700800000006</v>
      </c>
      <c r="K5" s="1">
        <f t="shared" si="1"/>
        <v>454748.85216000007</v>
      </c>
    </row>
    <row r="6" spans="1:11">
      <c r="A6">
        <v>2016</v>
      </c>
      <c r="F6" s="7">
        <f t="shared" si="2"/>
        <v>19483.778880000002</v>
      </c>
      <c r="G6" s="7">
        <f t="shared" si="3"/>
        <v>6494.5929600000009</v>
      </c>
      <c r="H6" s="7">
        <f t="shared" si="4"/>
        <v>249067.64001600002</v>
      </c>
      <c r="I6" s="7">
        <f t="shared" si="5"/>
        <v>78584.574816000008</v>
      </c>
      <c r="K6" s="1">
        <f t="shared" si="1"/>
        <v>463843.82920320006</v>
      </c>
    </row>
    <row r="7" spans="1:11">
      <c r="A7">
        <v>2017</v>
      </c>
      <c r="F7" s="7">
        <f t="shared" si="2"/>
        <v>19873.454457600001</v>
      </c>
      <c r="G7" s="7">
        <f t="shared" si="3"/>
        <v>6624.4848192000009</v>
      </c>
      <c r="H7" s="7">
        <f t="shared" si="4"/>
        <v>254048.99281632004</v>
      </c>
      <c r="I7" s="7">
        <f t="shared" si="5"/>
        <v>80156.266312320004</v>
      </c>
      <c r="K7" s="1">
        <f t="shared" si="1"/>
        <v>473120.70578726404</v>
      </c>
    </row>
    <row r="8" spans="1:11">
      <c r="A8">
        <v>2018</v>
      </c>
      <c r="F8" s="7">
        <f t="shared" si="2"/>
        <v>20270.923546752001</v>
      </c>
      <c r="G8" s="7">
        <f t="shared" si="3"/>
        <v>6756.974515584001</v>
      </c>
      <c r="H8" s="7">
        <f t="shared" si="4"/>
        <v>259129.97267264646</v>
      </c>
      <c r="I8" s="7">
        <f t="shared" si="5"/>
        <v>81759.391638566405</v>
      </c>
      <c r="K8" s="1">
        <f t="shared" si="1"/>
        <v>482583.11990300938</v>
      </c>
    </row>
    <row r="9" spans="1:11">
      <c r="A9">
        <v>2019</v>
      </c>
      <c r="F9" s="7">
        <f t="shared" si="2"/>
        <v>20676.342017687042</v>
      </c>
      <c r="G9" s="7">
        <f t="shared" si="3"/>
        <v>6892.1140058956807</v>
      </c>
      <c r="H9" s="7">
        <f t="shared" si="4"/>
        <v>264312.57212609937</v>
      </c>
      <c r="I9" s="7">
        <f t="shared" si="5"/>
        <v>83394.57947133774</v>
      </c>
      <c r="K9" s="1">
        <f t="shared" si="1"/>
        <v>492234.78230106959</v>
      </c>
    </row>
    <row r="10" spans="1:11">
      <c r="A10">
        <v>2020</v>
      </c>
      <c r="F10" s="7">
        <f t="shared" si="2"/>
        <v>21089.868858040783</v>
      </c>
      <c r="G10" s="7">
        <f t="shared" si="3"/>
        <v>7029.9562860135948</v>
      </c>
      <c r="H10" s="7">
        <f t="shared" si="4"/>
        <v>269598.82356862136</v>
      </c>
      <c r="I10" s="7">
        <f t="shared" si="5"/>
        <v>85062.471060764496</v>
      </c>
      <c r="K10" s="1">
        <f t="shared" si="1"/>
        <v>502079.47794709087</v>
      </c>
    </row>
    <row r="11" spans="1:11">
      <c r="A11">
        <v>2021</v>
      </c>
      <c r="F11" s="7">
        <f t="shared" si="2"/>
        <v>21511.666235201599</v>
      </c>
      <c r="G11" s="7">
        <f t="shared" si="3"/>
        <v>7170.555411733867</v>
      </c>
      <c r="H11" s="7">
        <f t="shared" si="4"/>
        <v>274990.80003999377</v>
      </c>
      <c r="I11" s="7">
        <f t="shared" si="5"/>
        <v>86763.720481979792</v>
      </c>
      <c r="K11" s="1">
        <f t="shared" si="1"/>
        <v>512121.0675060327</v>
      </c>
    </row>
    <row r="12" spans="1:11">
      <c r="A12">
        <v>2022</v>
      </c>
      <c r="F12" s="7">
        <f t="shared" si="2"/>
        <v>21941.899559905632</v>
      </c>
      <c r="G12" s="7">
        <f t="shared" si="3"/>
        <v>7313.9665199685442</v>
      </c>
      <c r="H12" s="7">
        <f t="shared" si="4"/>
        <v>280490.61604079365</v>
      </c>
      <c r="I12" s="7">
        <f t="shared" si="5"/>
        <v>88498.994891619383</v>
      </c>
      <c r="K12" s="1">
        <f t="shared" si="1"/>
        <v>522363.48885615345</v>
      </c>
    </row>
    <row r="13" spans="1:11">
      <c r="A13">
        <v>2023</v>
      </c>
      <c r="F13" s="7">
        <f t="shared" si="2"/>
        <v>22380.737551103746</v>
      </c>
      <c r="G13" s="7">
        <f t="shared" si="3"/>
        <v>7460.2458503679154</v>
      </c>
      <c r="H13" s="7">
        <f t="shared" si="4"/>
        <v>286100.42836160952</v>
      </c>
      <c r="I13" s="7">
        <f t="shared" si="5"/>
        <v>90268.974789451779</v>
      </c>
      <c r="K13" s="1">
        <f t="shared" si="1"/>
        <v>532810.75863327645</v>
      </c>
    </row>
    <row r="14" spans="1:11">
      <c r="A14">
        <v>2024</v>
      </c>
      <c r="F14" s="7">
        <f t="shared" si="2"/>
        <v>22828.352302125822</v>
      </c>
      <c r="G14" s="7">
        <f t="shared" si="3"/>
        <v>7609.4507673752742</v>
      </c>
      <c r="H14" s="7">
        <f t="shared" si="4"/>
        <v>291822.43692884169</v>
      </c>
      <c r="I14" s="7">
        <f t="shared" si="5"/>
        <v>92074.354285240814</v>
      </c>
      <c r="K14" s="1">
        <f t="shared" si="1"/>
        <v>543466.97380594199</v>
      </c>
    </row>
    <row r="15" spans="1:11">
      <c r="A15">
        <v>2025</v>
      </c>
      <c r="F15" s="7">
        <f t="shared" si="2"/>
        <v>23284.91934816834</v>
      </c>
      <c r="G15" s="7">
        <f t="shared" si="3"/>
        <v>7761.6397827227802</v>
      </c>
      <c r="H15" s="7">
        <f t="shared" si="4"/>
        <v>297658.88566741854</v>
      </c>
      <c r="I15" s="7">
        <f t="shared" si="5"/>
        <v>93915.841370945636</v>
      </c>
      <c r="K15" s="1">
        <f t="shared" si="1"/>
        <v>554336.3132820609</v>
      </c>
    </row>
    <row r="16" spans="1:11">
      <c r="A16">
        <v>2026</v>
      </c>
      <c r="F16" s="7">
        <f t="shared" si="2"/>
        <v>23750.617735131706</v>
      </c>
      <c r="G16" s="7">
        <f t="shared" si="3"/>
        <v>7916.8725783772361</v>
      </c>
      <c r="H16" s="7">
        <f t="shared" si="4"/>
        <v>303612.06338076689</v>
      </c>
      <c r="I16" s="7">
        <f t="shared" si="5"/>
        <v>95794.158198364545</v>
      </c>
      <c r="K16" s="1">
        <f t="shared" si="1"/>
        <v>565423.03954770206</v>
      </c>
    </row>
    <row r="17" spans="1:11">
      <c r="A17">
        <v>2027</v>
      </c>
      <c r="F17" s="7">
        <f t="shared" si="2"/>
        <v>24225.63008983434</v>
      </c>
      <c r="G17" s="7">
        <f t="shared" si="3"/>
        <v>8075.2100299447811</v>
      </c>
      <c r="H17" s="7">
        <f t="shared" si="4"/>
        <v>309684.30464838224</v>
      </c>
      <c r="I17" s="7">
        <f t="shared" si="5"/>
        <v>97710.041362331831</v>
      </c>
      <c r="K17" s="1">
        <f t="shared" si="1"/>
        <v>576731.50033865601</v>
      </c>
    </row>
    <row r="18" spans="1:11">
      <c r="A18">
        <v>2028</v>
      </c>
      <c r="F18" s="7">
        <f t="shared" si="2"/>
        <v>24710.142691631027</v>
      </c>
      <c r="G18" s="7">
        <f t="shared" si="3"/>
        <v>8236.7142305436773</v>
      </c>
      <c r="H18" s="7">
        <f t="shared" si="4"/>
        <v>315877.99074134987</v>
      </c>
      <c r="I18" s="7">
        <f t="shared" si="5"/>
        <v>99664.242189578465</v>
      </c>
      <c r="K18" s="1">
        <f t="shared" si="1"/>
        <v>588266.13034542918</v>
      </c>
    </row>
    <row r="19" spans="1:11">
      <c r="A19">
        <v>2029</v>
      </c>
      <c r="F19" s="7">
        <f t="shared" si="2"/>
        <v>25204.345545463646</v>
      </c>
      <c r="G19" s="7">
        <f t="shared" si="3"/>
        <v>8401.4485151545505</v>
      </c>
      <c r="H19" s="7">
        <f t="shared" si="4"/>
        <v>322195.55055617687</v>
      </c>
      <c r="I19" s="7">
        <f t="shared" si="5"/>
        <v>101657.52703337003</v>
      </c>
      <c r="K19" s="1">
        <f t="shared" si="1"/>
        <v>600031.45295233768</v>
      </c>
    </row>
    <row r="20" spans="1:11">
      <c r="A20">
        <v>2030</v>
      </c>
      <c r="F20" s="7">
        <f t="shared" si="2"/>
        <v>25708.432456372921</v>
      </c>
      <c r="G20" s="7">
        <f t="shared" si="3"/>
        <v>8569.4774854576408</v>
      </c>
      <c r="H20" s="7">
        <f t="shared" si="4"/>
        <v>328639.46156730043</v>
      </c>
      <c r="I20" s="7">
        <f t="shared" si="5"/>
        <v>103690.67757403743</v>
      </c>
      <c r="K20" s="1">
        <f t="shared" si="1"/>
        <v>612032.08201138454</v>
      </c>
    </row>
    <row r="21" spans="1:11">
      <c r="A21">
        <v>2031</v>
      </c>
      <c r="F21" s="7">
        <f t="shared" si="2"/>
        <v>26222.60110550038</v>
      </c>
      <c r="G21" s="7">
        <f t="shared" si="3"/>
        <v>8740.8670351667934</v>
      </c>
      <c r="H21" s="7">
        <f t="shared" si="4"/>
        <v>335212.25079864642</v>
      </c>
      <c r="I21" s="7">
        <f t="shared" si="5"/>
        <v>105764.49112551818</v>
      </c>
      <c r="K21" s="1">
        <f t="shared" si="1"/>
        <v>624272.72365161218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check</vt:lpstr>
      <vt:lpstr>notes</vt:lpstr>
      <vt:lpstr>costs</vt:lpstr>
      <vt:lpstr>benefits &amp; sum</vt:lpstr>
      <vt:lpstr>ma</vt:lpstr>
      <vt:lpstr>r22</vt:lpstr>
      <vt:lpstr>tf</vt:lpstr>
    </vt:vector>
  </TitlesOfParts>
  <Company>MNDOT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wils1joh</dc:creator>
  <cp:lastModifiedBy>wils1joh</cp:lastModifiedBy>
  <cp:lastPrinted>2010-07-30T20:01:25Z</cp:lastPrinted>
  <dcterms:created xsi:type="dcterms:W3CDTF">2010-07-26T16:29:06Z</dcterms:created>
  <dcterms:modified xsi:type="dcterms:W3CDTF">2010-08-17T19:57:01Z</dcterms:modified>
</cp:coreProperties>
</file>