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5" yWindow="-15" windowWidth="15420" windowHeight="4110" activeTab="4"/>
  </bookViews>
  <sheets>
    <sheet name="check" sheetId="5" r:id="rId1"/>
    <sheet name="notes" sheetId="6" r:id="rId2"/>
    <sheet name="costs" sheetId="1" r:id="rId3"/>
    <sheet name="benefits &amp; sum" sheetId="9" r:id="rId4"/>
    <sheet name="benefitDetail" sheetId="8" r:id="rId5"/>
  </sheets>
  <definedNames>
    <definedName name="_xlnm.Print_Area" localSheetId="2">costs!$A$1:$P$31</definedName>
  </definedNames>
  <calcPr calcId="125725"/>
</workbook>
</file>

<file path=xl/calcChain.xml><?xml version="1.0" encoding="utf-8"?>
<calcChain xmlns="http://schemas.openxmlformats.org/spreadsheetml/2006/main">
  <c r="J22" i="1"/>
  <c r="I22"/>
  <c r="H22"/>
  <c r="G22"/>
  <c r="J3"/>
  <c r="I3"/>
  <c r="H3"/>
  <c r="G3"/>
  <c r="C5" l="1"/>
  <c r="C6" s="1"/>
  <c r="C7" s="1"/>
  <c r="C8" s="1"/>
  <c r="C9" s="1"/>
  <c r="C10" s="1"/>
  <c r="C11" s="1"/>
  <c r="C12" s="1"/>
  <c r="C13" s="1"/>
  <c r="C14" s="1"/>
  <c r="C15" s="1"/>
  <c r="C16" s="1"/>
  <c r="C17" s="1"/>
  <c r="C18" s="1"/>
  <c r="C19" s="1"/>
  <c r="C20" s="1"/>
  <c r="C4"/>
  <c r="C22" l="1"/>
  <c r="B5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4"/>
  <c r="B22"/>
  <c r="X21" i="8"/>
  <c r="Y21" s="1"/>
  <c r="AA21" s="1"/>
  <c r="B21" i="9" s="1"/>
  <c r="D21" s="1"/>
  <c r="E21" s="1"/>
  <c r="X20" i="8"/>
  <c r="Y20" s="1"/>
  <c r="AA20" s="1"/>
  <c r="B20" i="9" s="1"/>
  <c r="D20" s="1"/>
  <c r="E20" s="1"/>
  <c r="X16" i="8"/>
  <c r="Y16" s="1"/>
  <c r="AA16" s="1"/>
  <c r="B16" i="9" s="1"/>
  <c r="D16" s="1"/>
  <c r="E16" s="1"/>
  <c r="X17" i="8"/>
  <c r="Y17" s="1"/>
  <c r="AA17" s="1"/>
  <c r="B17" i="9" s="1"/>
  <c r="D17" s="1"/>
  <c r="E17" s="1"/>
  <c r="X18" i="8"/>
  <c r="Y18" s="1"/>
  <c r="AA18" s="1"/>
  <c r="B18" i="9" s="1"/>
  <c r="D18" s="1"/>
  <c r="E18" s="1"/>
  <c r="X19" i="8"/>
  <c r="Y19" s="1"/>
  <c r="AA19" s="1"/>
  <c r="B19" i="9" s="1"/>
  <c r="D19" s="1"/>
  <c r="E19" s="1"/>
  <c r="X15" i="8"/>
  <c r="Y15" s="1"/>
  <c r="AA15" s="1"/>
  <c r="B15" i="9" s="1"/>
  <c r="D15" s="1"/>
  <c r="E15" s="1"/>
  <c r="X11" i="8"/>
  <c r="Y11" s="1"/>
  <c r="AA11" s="1"/>
  <c r="B11" i="9" s="1"/>
  <c r="D11" s="1"/>
  <c r="E11" s="1"/>
  <c r="X12" i="8"/>
  <c r="Y12" s="1"/>
  <c r="AA12" s="1"/>
  <c r="B12" i="9" s="1"/>
  <c r="D12" s="1"/>
  <c r="E12" s="1"/>
  <c r="X13" i="8"/>
  <c r="Y13" s="1"/>
  <c r="AA13" s="1"/>
  <c r="B13" i="9" s="1"/>
  <c r="D13" s="1"/>
  <c r="E13" s="1"/>
  <c r="X14" i="8"/>
  <c r="Y14" s="1"/>
  <c r="AA14" s="1"/>
  <c r="B14" i="9" s="1"/>
  <c r="D14" s="1"/>
  <c r="E14" s="1"/>
  <c r="X10" i="8"/>
  <c r="Y10" s="1"/>
  <c r="AA10" s="1"/>
  <c r="B10" i="9" s="1"/>
  <c r="D10" s="1"/>
  <c r="E10" s="1"/>
  <c r="X6" i="8"/>
  <c r="Y6" s="1"/>
  <c r="AA6" s="1"/>
  <c r="B6" i="9" s="1"/>
  <c r="D6" s="1"/>
  <c r="E6" s="1"/>
  <c r="X7" i="8"/>
  <c r="Y7" s="1"/>
  <c r="AA7" s="1"/>
  <c r="B7" i="9" s="1"/>
  <c r="X8" i="8"/>
  <c r="Y8" s="1"/>
  <c r="AA8" s="1"/>
  <c r="B8" i="9" s="1"/>
  <c r="D8" s="1"/>
  <c r="E8" s="1"/>
  <c r="X9" i="8"/>
  <c r="Y9" s="1"/>
  <c r="AA9" s="1"/>
  <c r="B9" i="9" s="1"/>
  <c r="D9" s="1"/>
  <c r="E9" s="1"/>
  <c r="X5" i="8"/>
  <c r="Y5" s="1"/>
  <c r="AA5" s="1"/>
  <c r="B5" i="9" s="1"/>
  <c r="X4" i="8"/>
  <c r="Y4" s="1"/>
  <c r="AA4" s="1"/>
  <c r="B4" i="9" s="1"/>
  <c r="D4" s="1"/>
  <c r="E4" s="1"/>
  <c r="X3" i="8"/>
  <c r="Y3" s="1"/>
  <c r="AA3" s="1"/>
  <c r="B3" i="9" s="1"/>
  <c r="X2" i="8"/>
  <c r="Y2" s="1"/>
  <c r="AA2" s="1"/>
  <c r="B2" i="9" s="1"/>
  <c r="D2" s="1"/>
  <c r="E2" s="1"/>
  <c r="T2" i="8"/>
  <c r="R2"/>
  <c r="S2"/>
  <c r="Q2"/>
  <c r="M2"/>
  <c r="O2" s="1"/>
  <c r="B2"/>
  <c r="D7" i="9" l="1"/>
  <c r="E7" s="1"/>
  <c r="D5"/>
  <c r="E5" s="1"/>
  <c r="D3"/>
  <c r="E3" s="1"/>
  <c r="E23" s="1"/>
  <c r="J2" i="8" l="1"/>
  <c r="U2" s="1"/>
  <c r="J11" i="1" l="1"/>
  <c r="J21"/>
  <c r="J20"/>
  <c r="J19"/>
  <c r="J18"/>
  <c r="J17"/>
  <c r="J16"/>
  <c r="J15"/>
  <c r="J14"/>
  <c r="J13"/>
  <c r="J12"/>
  <c r="J10"/>
  <c r="J9"/>
  <c r="J8"/>
  <c r="J7"/>
  <c r="J6"/>
  <c r="J5"/>
  <c r="J4"/>
  <c r="L22"/>
  <c r="M22" s="1"/>
  <c r="E22"/>
  <c r="E21"/>
  <c r="E20"/>
  <c r="E19"/>
  <c r="E18"/>
  <c r="E17"/>
  <c r="E16"/>
  <c r="E15"/>
  <c r="E14"/>
  <c r="E13"/>
  <c r="E12"/>
  <c r="E11"/>
  <c r="E10"/>
  <c r="E9"/>
  <c r="E8"/>
  <c r="E7"/>
  <c r="E6"/>
  <c r="E5"/>
  <c r="E4"/>
  <c r="E3"/>
  <c r="I15" l="1"/>
  <c r="L21"/>
  <c r="M21" s="1"/>
  <c r="L20"/>
  <c r="M20" s="1"/>
  <c r="L19"/>
  <c r="M19" s="1"/>
  <c r="L18"/>
  <c r="M18" s="1"/>
  <c r="L17"/>
  <c r="M17" s="1"/>
  <c r="L16"/>
  <c r="M16" s="1"/>
  <c r="L15"/>
  <c r="M15" s="1"/>
  <c r="L14"/>
  <c r="M14" s="1"/>
  <c r="L13"/>
  <c r="M13" s="1"/>
  <c r="L12"/>
  <c r="M12" s="1"/>
  <c r="L11"/>
  <c r="M11" s="1"/>
  <c r="L10"/>
  <c r="M10" s="1"/>
  <c r="L9"/>
  <c r="M9" s="1"/>
  <c r="L8"/>
  <c r="M8" s="1"/>
  <c r="L7"/>
  <c r="M7" s="1"/>
  <c r="L6"/>
  <c r="M6" s="1"/>
  <c r="L5"/>
  <c r="M5" s="1"/>
  <c r="L4"/>
  <c r="M4" s="1"/>
  <c r="L3"/>
  <c r="M3" s="1"/>
  <c r="M24" l="1"/>
  <c r="E24" i="9" s="1"/>
  <c r="E25" s="1"/>
</calcChain>
</file>

<file path=xl/sharedStrings.xml><?xml version="1.0" encoding="utf-8"?>
<sst xmlns="http://schemas.openxmlformats.org/spreadsheetml/2006/main" count="116" uniqueCount="72">
  <si>
    <t>BL - WF</t>
  </si>
  <si>
    <t>BL - GPU</t>
  </si>
  <si>
    <t>BL - GC</t>
  </si>
  <si>
    <t>BL - TH169</t>
  </si>
  <si>
    <t>Total (Constant 2010$)</t>
  </si>
  <si>
    <t>Total (Present Value)</t>
  </si>
  <si>
    <t>Discount Rate (copied from &lt;benefits&gt;)</t>
  </si>
  <si>
    <t>2012 - 2031</t>
  </si>
  <si>
    <t>WF = Whitefish Creek Bridge (3355)</t>
  </si>
  <si>
    <t>GPU = Garrison Pedestrian Underpass (5265)</t>
  </si>
  <si>
    <t>GC = Garrison Concourse</t>
  </si>
  <si>
    <t>Garrison Main Street Project-  All Elements</t>
  </si>
  <si>
    <t xml:space="preserve">    </t>
  </si>
  <si>
    <t>CS - GC</t>
  </si>
  <si>
    <t>TH169 = Trunk Highway 169 (Garrison Main/Complete Street)</t>
  </si>
  <si>
    <t>CS - TH169</t>
  </si>
  <si>
    <t>Benefit-Cost Item</t>
  </si>
  <si>
    <t>Initial (construction/design/land acquisition)</t>
  </si>
  <si>
    <t>ü</t>
  </si>
  <si>
    <t>Annual (operating and maintenance)</t>
  </si>
  <si>
    <t>Salvage Value</t>
  </si>
  <si>
    <t>Safety</t>
  </si>
  <si>
    <t>?</t>
  </si>
  <si>
    <t>-</t>
  </si>
  <si>
    <t>Auto VHT (value of time + environmental benefits)</t>
  </si>
  <si>
    <t>Auto VMT (operating costs + environmental benefits)</t>
  </si>
  <si>
    <t>Transit VHT</t>
  </si>
  <si>
    <t>Transit VMT</t>
  </si>
  <si>
    <t>Bicycle/Pedestrian Health</t>
  </si>
  <si>
    <t>Key</t>
  </si>
  <si>
    <t>Legend</t>
  </si>
  <si>
    <r>
      <rPr>
        <sz val="11"/>
        <color theme="1"/>
        <rFont val="Wingdings"/>
        <charset val="2"/>
      </rPr>
      <t>ü</t>
    </r>
    <r>
      <rPr>
        <sz val="11"/>
        <color theme="1"/>
        <rFont val="Calibri"/>
        <family val="2"/>
        <scheme val="minor"/>
      </rPr>
      <t>: currently reflected in BCA</t>
    </r>
  </si>
  <si>
    <t>? : not yet shown in BCA… estimate possible?</t>
  </si>
  <si>
    <t>- : not applicable</t>
  </si>
  <si>
    <t>assumed:</t>
  </si>
  <si>
    <t>mode-switching activity analyzed only on local corridor (conservative)</t>
  </si>
  <si>
    <t>Discount Rate</t>
  </si>
  <si>
    <t>Benefit : Cost Ratio</t>
  </si>
  <si>
    <t>Passengers per Vehicle [Assumed]</t>
  </si>
  <si>
    <t>Auto Variable Operating Costs ($/mi) [Mn/DOT Standard]</t>
  </si>
  <si>
    <t>Auto Environmental Cost ($/mi) [TREDIS, Free Flow]</t>
  </si>
  <si>
    <t>Bicycle / Pedestrian Health Benefit ($/New Cyclist or Pedestrian) [NCHRP]</t>
  </si>
  <si>
    <t>Bicycle Recreation (Non-Commuting) Benefit ($/hr) [BicyclingInfo.org]</t>
  </si>
  <si>
    <t>Annual Travel Time Penalty for Pedestrian Mode Shift (hrs), Quarter of Vehicle Speed [Assumed]</t>
  </si>
  <si>
    <t>Annual Reduction in Auto Per-Mile Costs</t>
  </si>
  <si>
    <r>
      <t xml:space="preserve">Annual Bicycle Recreation Benefit, </t>
    </r>
    <r>
      <rPr>
        <b/>
        <sz val="11"/>
        <color theme="1"/>
        <rFont val="Calibri"/>
        <family val="2"/>
      </rPr>
      <t>½-hour Trip [Assumed]</t>
    </r>
  </si>
  <si>
    <t>Annual Increase in Travel Time Costs for Pedestrian Mode Shift</t>
  </si>
  <si>
    <t>CS Benefit $</t>
  </si>
  <si>
    <t>Benefits: 2012 - 2031</t>
  </si>
  <si>
    <t>Costs: 2012 - 2031</t>
  </si>
  <si>
    <t>Checklist of TIGER II Project Components &amp; Benefit-Cost Analysis Categories: Garrison</t>
  </si>
  <si>
    <t>Passenger Cost Factor ($/hr), 100% Personal/Rec [TREDIS]</t>
  </si>
  <si>
    <t>Annual Auto VMT Reduction from Bicycle Mode Shift, 1-Mile Corridor [Proposal]</t>
  </si>
  <si>
    <t>Annual Auto VHT Reduction from Bicycle Mode Shift, 15 MPH [Proposal]</t>
  </si>
  <si>
    <t>Annual Auto VMT Reduction from Pedestrian Mode Shift, 1-Mile Corridor [Proposal]</t>
  </si>
  <si>
    <t>Annual Auto VHT Reduction from Pedestrian Mode Shift, 15 MPH [Proposal]</t>
  </si>
  <si>
    <t>Annual Bicycle Health Benefit, 24 Weeks of Usage [Assumed]</t>
  </si>
  <si>
    <t>Annual Pedestrian Health Benefit, 24 Weeks of Usage [Assumed]</t>
  </si>
  <si>
    <r>
      <t>Per Ton Social Cost of CO</t>
    </r>
    <r>
      <rPr>
        <b/>
        <vertAlign val="sub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[National Center for Environmental Economics]</t>
    </r>
  </si>
  <si>
    <t>Annual Environmental Benefit from Lowered Greenhouse Gas Emissions</t>
  </si>
  <si>
    <t>CS - WF</t>
  </si>
  <si>
    <t>CS - GPU</t>
  </si>
  <si>
    <t>WF</t>
  </si>
  <si>
    <t>GPU</t>
  </si>
  <si>
    <t>GC</t>
  </si>
  <si>
    <t>TH169</t>
  </si>
  <si>
    <t>Other Environmental</t>
  </si>
  <si>
    <t>cars/bicycles traverse the local corridor at the same speed; pedestrians travel at quarter-speed</t>
  </si>
  <si>
    <t>all new bicycle/pedestrian trips are modeled as shifted from auto (no induced travel) (conservative)</t>
  </si>
  <si>
    <r>
      <t>Annual CO</t>
    </r>
    <r>
      <rPr>
        <b/>
        <vertAlign val="sub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Emission Reduction with Solar-Powered Truck Shop, Tons [Proposal, see &lt;notes&gt; for document link]</t>
    </r>
  </si>
  <si>
    <t>estimate of CO2 emission reduction after conversion of Mn/DOT truck station to solar power:</t>
  </si>
  <si>
    <t>Solar Power Cost Benefit, p. 10</t>
  </si>
</sst>
</file>

<file path=xl/styles.xml><?xml version="1.0" encoding="utf-8"?>
<styleSheet xmlns="http://schemas.openxmlformats.org/spreadsheetml/2006/main">
  <numFmts count="6">
    <numFmt numFmtId="6" formatCode="&quot;$&quot;#,##0_);[Red]\(&quot;$&quot;#,##0\)"/>
    <numFmt numFmtId="164" formatCode="&quot;$&quot;#,##0"/>
    <numFmt numFmtId="165" formatCode="&quot;$&quot;#,##0.00"/>
    <numFmt numFmtId="166" formatCode="0.0"/>
    <numFmt numFmtId="167" formatCode="&quot;$&quot;#,##0.000"/>
    <numFmt numFmtId="168" formatCode="&quot;$&quot;#,##0.0"/>
  </numFmts>
  <fonts count="1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theme="1"/>
      <name val="Wingdings"/>
      <charset val="2"/>
    </font>
    <font>
      <b/>
      <sz val="11"/>
      <color theme="1"/>
      <name val="Calibri"/>
      <family val="2"/>
    </font>
    <font>
      <b/>
      <vertAlign val="subscript"/>
      <sz val="11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</cellStyleXfs>
  <cellXfs count="47">
    <xf numFmtId="0" fontId="0" fillId="0" borderId="0" xfId="0"/>
    <xf numFmtId="0" fontId="1" fillId="0" borderId="0" xfId="0" applyFont="1" applyAlignment="1">
      <alignment horizontal="right"/>
    </xf>
    <xf numFmtId="0" fontId="1" fillId="0" borderId="0" xfId="0" applyFont="1"/>
    <xf numFmtId="0" fontId="1" fillId="0" borderId="0" xfId="0" applyFont="1" applyAlignment="1">
      <alignment horizontal="right" wrapText="1"/>
    </xf>
    <xf numFmtId="0" fontId="0" fillId="0" borderId="0" xfId="0" applyAlignment="1">
      <alignment horizontal="right" wrapText="1"/>
    </xf>
    <xf numFmtId="9" fontId="0" fillId="0" borderId="0" xfId="0" applyNumberFormat="1"/>
    <xf numFmtId="164" fontId="0" fillId="0" borderId="0" xfId="0" applyNumberFormat="1" applyAlignment="1">
      <alignment horizontal="right"/>
    </xf>
    <xf numFmtId="164" fontId="0" fillId="0" borderId="0" xfId="0" applyNumberFormat="1"/>
    <xf numFmtId="6" fontId="2" fillId="0" borderId="0" xfId="0" applyNumberFormat="1" applyFont="1" applyAlignment="1">
      <alignment horizontal="right"/>
    </xf>
    <xf numFmtId="0" fontId="0" fillId="0" borderId="0" xfId="0" applyAlignment="1">
      <alignment horizontal="right"/>
    </xf>
    <xf numFmtId="0" fontId="0" fillId="0" borderId="1" xfId="0" applyBorder="1"/>
    <xf numFmtId="0" fontId="0" fillId="0" borderId="0" xfId="0" applyAlignment="1">
      <alignment horizontal="left"/>
    </xf>
    <xf numFmtId="0" fontId="0" fillId="0" borderId="2" xfId="0" applyBorder="1"/>
    <xf numFmtId="164" fontId="0" fillId="0" borderId="0" xfId="0" applyNumberFormat="1" applyAlignment="1">
      <alignment wrapText="1"/>
    </xf>
    <xf numFmtId="0" fontId="0" fillId="0" borderId="0" xfId="0" applyAlignment="1">
      <alignment horizontal="center"/>
    </xf>
    <xf numFmtId="0" fontId="4" fillId="0" borderId="0" xfId="0" applyFont="1"/>
    <xf numFmtId="6" fontId="0" fillId="0" borderId="0" xfId="0" applyNumberFormat="1"/>
    <xf numFmtId="0" fontId="5" fillId="0" borderId="0" xfId="0" applyFont="1"/>
    <xf numFmtId="0" fontId="6" fillId="0" borderId="0" xfId="0" applyFo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3" xfId="0" applyFont="1" applyBorder="1"/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0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2" xfId="0" quotePrefix="1" applyBorder="1"/>
    <xf numFmtId="0" fontId="0" fillId="0" borderId="8" xfId="0" applyBorder="1"/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0" fillId="0" borderId="11" xfId="0" applyBorder="1" applyAlignment="1">
      <alignment horizontal="right"/>
    </xf>
    <xf numFmtId="0" fontId="1" fillId="0" borderId="0" xfId="0" applyFont="1" applyAlignment="1">
      <alignment wrapText="1"/>
    </xf>
    <xf numFmtId="165" fontId="0" fillId="0" borderId="0" xfId="0" applyNumberFormat="1"/>
    <xf numFmtId="166" fontId="0" fillId="0" borderId="0" xfId="0" applyNumberFormat="1" applyAlignment="1">
      <alignment wrapText="1"/>
    </xf>
    <xf numFmtId="167" fontId="0" fillId="0" borderId="0" xfId="0" applyNumberFormat="1" applyAlignment="1">
      <alignment wrapText="1"/>
    </xf>
    <xf numFmtId="3" fontId="0" fillId="0" borderId="0" xfId="0" applyNumberFormat="1" applyAlignment="1">
      <alignment horizontal="right"/>
    </xf>
    <xf numFmtId="38" fontId="0" fillId="0" borderId="0" xfId="0" applyNumberFormat="1" applyAlignment="1">
      <alignment horizontal="right"/>
    </xf>
    <xf numFmtId="6" fontId="0" fillId="0" borderId="0" xfId="0" applyNumberFormat="1" applyAlignment="1">
      <alignment horizontal="right"/>
    </xf>
    <xf numFmtId="0" fontId="0" fillId="0" borderId="0" xfId="0" applyAlignment="1">
      <alignment wrapText="1"/>
    </xf>
    <xf numFmtId="3" fontId="0" fillId="0" borderId="0" xfId="0" applyNumberFormat="1"/>
    <xf numFmtId="168" fontId="0" fillId="0" borderId="0" xfId="0" applyNumberFormat="1" applyAlignment="1">
      <alignment horizontal="right"/>
    </xf>
    <xf numFmtId="0" fontId="10" fillId="0" borderId="0" xfId="1" applyAlignment="1" applyProtection="1"/>
    <xf numFmtId="0" fontId="3" fillId="0" borderId="0" xfId="0" applyFont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file:///\\Ad\co\OIM\Data\Statewide%20Planning%20and%20Analysis%20Section\Investment%20Analysis\TIGER%202\Benefit-Cost\Results\Garrison_Solar_Power_Cost_Benefit.pdf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0"/>
  <sheetViews>
    <sheetView zoomScaleNormal="100" workbookViewId="0">
      <selection activeCell="A2" sqref="A2"/>
    </sheetView>
  </sheetViews>
  <sheetFormatPr defaultRowHeight="15"/>
  <cols>
    <col min="1" max="1" width="49.140625" bestFit="1" customWidth="1"/>
    <col min="2" max="4" width="9.140625" style="14"/>
  </cols>
  <sheetData>
    <row r="1" spans="1:8" ht="18.75">
      <c r="A1" s="17" t="s">
        <v>50</v>
      </c>
    </row>
    <row r="3" spans="1:8">
      <c r="A3" s="18" t="s">
        <v>16</v>
      </c>
      <c r="B3" s="19" t="s">
        <v>62</v>
      </c>
      <c r="C3" s="19" t="s">
        <v>63</v>
      </c>
      <c r="D3" s="19" t="s">
        <v>64</v>
      </c>
      <c r="E3" s="19" t="s">
        <v>65</v>
      </c>
    </row>
    <row r="4" spans="1:8">
      <c r="A4" t="s">
        <v>17</v>
      </c>
      <c r="B4" s="20" t="s">
        <v>18</v>
      </c>
      <c r="C4" s="20" t="s">
        <v>18</v>
      </c>
      <c r="D4" s="20" t="s">
        <v>18</v>
      </c>
      <c r="E4" s="20" t="s">
        <v>18</v>
      </c>
    </row>
    <row r="5" spans="1:8">
      <c r="A5" t="s">
        <v>19</v>
      </c>
      <c r="B5" s="20" t="s">
        <v>18</v>
      </c>
      <c r="C5" s="20" t="s">
        <v>18</v>
      </c>
      <c r="D5" s="20" t="s">
        <v>18</v>
      </c>
      <c r="E5" s="20" t="s">
        <v>18</v>
      </c>
    </row>
    <row r="6" spans="1:8">
      <c r="A6" t="s">
        <v>20</v>
      </c>
      <c r="B6" s="14" t="s">
        <v>23</v>
      </c>
      <c r="C6" s="14" t="s">
        <v>23</v>
      </c>
      <c r="D6" s="14" t="s">
        <v>23</v>
      </c>
      <c r="E6" s="14" t="s">
        <v>23</v>
      </c>
    </row>
    <row r="8" spans="1:8">
      <c r="A8" t="s">
        <v>21</v>
      </c>
      <c r="B8" s="14" t="s">
        <v>23</v>
      </c>
      <c r="C8" s="14" t="s">
        <v>23</v>
      </c>
      <c r="D8" s="14" t="s">
        <v>23</v>
      </c>
      <c r="E8" s="14" t="s">
        <v>22</v>
      </c>
    </row>
    <row r="9" spans="1:8">
      <c r="A9" t="s">
        <v>24</v>
      </c>
      <c r="B9" s="14" t="s">
        <v>23</v>
      </c>
      <c r="C9" s="14" t="s">
        <v>23</v>
      </c>
      <c r="D9" s="14" t="s">
        <v>23</v>
      </c>
      <c r="E9" s="20" t="s">
        <v>18</v>
      </c>
    </row>
    <row r="10" spans="1:8">
      <c r="A10" t="s">
        <v>25</v>
      </c>
      <c r="B10" s="14" t="s">
        <v>23</v>
      </c>
      <c r="C10" s="14" t="s">
        <v>23</v>
      </c>
      <c r="D10" s="14" t="s">
        <v>23</v>
      </c>
      <c r="E10" s="20" t="s">
        <v>18</v>
      </c>
    </row>
    <row r="11" spans="1:8">
      <c r="A11" t="s">
        <v>26</v>
      </c>
      <c r="B11" s="14" t="s">
        <v>23</v>
      </c>
      <c r="C11" s="14" t="s">
        <v>23</v>
      </c>
      <c r="D11" s="14" t="s">
        <v>23</v>
      </c>
      <c r="E11" s="14" t="s">
        <v>23</v>
      </c>
    </row>
    <row r="12" spans="1:8">
      <c r="A12" t="s">
        <v>27</v>
      </c>
      <c r="B12" s="14" t="s">
        <v>23</v>
      </c>
      <c r="C12" s="14" t="s">
        <v>23</v>
      </c>
      <c r="D12" s="14" t="s">
        <v>23</v>
      </c>
      <c r="E12" s="14" t="s">
        <v>23</v>
      </c>
    </row>
    <row r="13" spans="1:8">
      <c r="A13" t="s">
        <v>28</v>
      </c>
      <c r="B13" s="14" t="s">
        <v>23</v>
      </c>
      <c r="C13" s="14" t="s">
        <v>23</v>
      </c>
      <c r="D13" s="14" t="s">
        <v>23</v>
      </c>
      <c r="E13" s="20" t="s">
        <v>18</v>
      </c>
    </row>
    <row r="14" spans="1:8">
      <c r="A14" t="s">
        <v>66</v>
      </c>
      <c r="B14" s="20" t="s">
        <v>18</v>
      </c>
      <c r="C14" s="14" t="s">
        <v>23</v>
      </c>
      <c r="D14" s="20" t="s">
        <v>18</v>
      </c>
      <c r="E14" s="20" t="s">
        <v>18</v>
      </c>
    </row>
    <row r="16" spans="1:8">
      <c r="A16" s="21" t="s">
        <v>29</v>
      </c>
      <c r="B16" s="22"/>
      <c r="D16" s="21" t="s">
        <v>30</v>
      </c>
      <c r="E16" s="23"/>
      <c r="F16" s="23"/>
      <c r="G16" s="23"/>
      <c r="H16" s="24"/>
    </row>
    <row r="17" spans="1:8">
      <c r="A17" s="10" t="s">
        <v>8</v>
      </c>
      <c r="B17" s="25"/>
      <c r="D17" s="10" t="s">
        <v>31</v>
      </c>
      <c r="E17" s="26"/>
      <c r="F17" s="26"/>
      <c r="G17" s="26"/>
      <c r="H17" s="27"/>
    </row>
    <row r="18" spans="1:8">
      <c r="A18" s="10" t="s">
        <v>9</v>
      </c>
      <c r="B18" s="25"/>
      <c r="D18" s="10" t="s">
        <v>32</v>
      </c>
      <c r="E18" s="26"/>
      <c r="F18" s="26"/>
      <c r="G18" s="26"/>
      <c r="H18" s="27"/>
    </row>
    <row r="19" spans="1:8">
      <c r="A19" s="10" t="s">
        <v>10</v>
      </c>
      <c r="B19" s="25"/>
      <c r="D19" s="29" t="s">
        <v>33</v>
      </c>
      <c r="E19" s="30"/>
      <c r="F19" s="30"/>
      <c r="G19" s="30"/>
      <c r="H19" s="31"/>
    </row>
    <row r="20" spans="1:8">
      <c r="A20" s="12" t="s">
        <v>14</v>
      </c>
      <c r="B20" s="28"/>
    </row>
  </sheetData>
  <pageMargins left="0.7" right="0.7" top="0.75" bottom="0.75" header="0.3" footer="0.3"/>
  <pageSetup orientation="landscape" r:id="rId1"/>
  <headerFooter>
    <oddFooter>&amp;L&amp;A&amp;CPage &amp;P of &amp;N&amp;R&amp;D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5"/>
  <sheetViews>
    <sheetView zoomScaleNormal="100" workbookViewId="0"/>
  </sheetViews>
  <sheetFormatPr defaultRowHeight="15"/>
  <sheetData>
    <row r="1" spans="1:10">
      <c r="A1" s="2" t="s">
        <v>34</v>
      </c>
    </row>
    <row r="2" spans="1:10">
      <c r="A2" t="s">
        <v>35</v>
      </c>
    </row>
    <row r="3" spans="1:10">
      <c r="A3" t="s">
        <v>67</v>
      </c>
    </row>
    <row r="4" spans="1:10">
      <c r="A4" t="s">
        <v>68</v>
      </c>
    </row>
    <row r="5" spans="1:10">
      <c r="A5" t="s">
        <v>70</v>
      </c>
      <c r="J5" s="45" t="s">
        <v>71</v>
      </c>
    </row>
  </sheetData>
  <hyperlinks>
    <hyperlink ref="J5" r:id="rId1"/>
  </hyperlinks>
  <pageMargins left="0.7" right="0.7" top="0.75" bottom="0.75" header="0.3" footer="0.3"/>
  <pageSetup orientation="landscape" r:id="rId2"/>
  <headerFooter>
    <oddFooter>&amp;L&amp;A&amp;CPage &amp;P of &amp;N&amp;R&amp;D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32"/>
  <sheetViews>
    <sheetView workbookViewId="0">
      <selection activeCell="A2" sqref="A2"/>
    </sheetView>
  </sheetViews>
  <sheetFormatPr defaultRowHeight="15"/>
  <cols>
    <col min="2" max="4" width="10.140625" bestFit="1" customWidth="1"/>
    <col min="5" max="5" width="12.5703125" customWidth="1"/>
    <col min="7" max="7" width="11.5703125" customWidth="1"/>
    <col min="8" max="8" width="13.42578125" customWidth="1"/>
    <col min="9" max="9" width="13.140625" customWidth="1"/>
    <col min="10" max="10" width="12.7109375" customWidth="1"/>
    <col min="12" max="12" width="12.7109375" customWidth="1"/>
    <col min="13" max="13" width="14" customWidth="1"/>
    <col min="15" max="15" width="11.7109375" customWidth="1"/>
  </cols>
  <sheetData>
    <row r="1" spans="1:16" ht="23.25">
      <c r="A1" s="15" t="s">
        <v>11</v>
      </c>
    </row>
    <row r="2" spans="1:16" ht="75">
      <c r="A2" t="s">
        <v>12</v>
      </c>
      <c r="B2" s="1" t="s">
        <v>0</v>
      </c>
      <c r="C2" s="1" t="s">
        <v>1</v>
      </c>
      <c r="D2" s="1" t="s">
        <v>2</v>
      </c>
      <c r="E2" s="1" t="s">
        <v>3</v>
      </c>
      <c r="F2" s="1"/>
      <c r="G2" s="1" t="s">
        <v>60</v>
      </c>
      <c r="H2" s="1" t="s">
        <v>61</v>
      </c>
      <c r="I2" s="1" t="s">
        <v>13</v>
      </c>
      <c r="J2" s="1" t="s">
        <v>15</v>
      </c>
      <c r="K2" s="2"/>
      <c r="L2" s="3" t="s">
        <v>4</v>
      </c>
      <c r="M2" s="3" t="s">
        <v>5</v>
      </c>
      <c r="O2" s="4" t="s">
        <v>6</v>
      </c>
      <c r="P2" s="5">
        <v>0.03</v>
      </c>
    </row>
    <row r="3" spans="1:16">
      <c r="A3">
        <v>2012</v>
      </c>
      <c r="B3" s="6">
        <v>300</v>
      </c>
      <c r="C3" s="6">
        <v>300</v>
      </c>
      <c r="D3" s="6">
        <v>3275</v>
      </c>
      <c r="E3" s="6">
        <f>2109+3002+1036+2100</f>
        <v>8247</v>
      </c>
      <c r="F3" s="6"/>
      <c r="G3" s="7">
        <f>1383043+150000</f>
        <v>1533043</v>
      </c>
      <c r="H3" s="7">
        <f>2141220+250000</f>
        <v>2391220</v>
      </c>
      <c r="I3" s="7">
        <f>2876900+300000</f>
        <v>3176900</v>
      </c>
      <c r="J3" s="7">
        <f>871475+138000+422+3100</f>
        <v>1012997</v>
      </c>
      <c r="L3" s="16">
        <f t="shared" ref="L3:L21" si="0">SUM(G3:K3)-SUM(B3:F3)</f>
        <v>8102038</v>
      </c>
      <c r="M3" s="16">
        <f t="shared" ref="M3:M21" si="1">L3/((1+$P$2)^(A3-2010))</f>
        <v>7636947.8744462254</v>
      </c>
    </row>
    <row r="4" spans="1:16">
      <c r="A4">
        <v>2013</v>
      </c>
      <c r="B4" s="6">
        <f>B3+($B$21-$B$3)/18</f>
        <v>1116.6666666666665</v>
      </c>
      <c r="C4" s="6">
        <f>C3+($C$21-$C$3)/18</f>
        <v>1394.4444444444443</v>
      </c>
      <c r="D4" s="6">
        <v>3275</v>
      </c>
      <c r="E4" s="6">
        <f>2109+2100</f>
        <v>4209</v>
      </c>
      <c r="F4" s="6"/>
      <c r="G4" s="6">
        <v>1000</v>
      </c>
      <c r="H4" s="6">
        <v>1000</v>
      </c>
      <c r="I4" s="6">
        <v>2400</v>
      </c>
      <c r="J4" s="6">
        <f t="shared" ref="J4:J9" si="2">522+3100</f>
        <v>3622</v>
      </c>
      <c r="L4" s="16">
        <f t="shared" si="0"/>
        <v>-1973.1111111111113</v>
      </c>
      <c r="M4" s="16">
        <f t="shared" si="1"/>
        <v>-1805.6761763103789</v>
      </c>
    </row>
    <row r="5" spans="1:16">
      <c r="A5">
        <v>2014</v>
      </c>
      <c r="B5" s="6">
        <f t="shared" ref="B5:B20" si="3">B4+($B$21-$B$3)/18</f>
        <v>1933.333333333333</v>
      </c>
      <c r="C5" s="6">
        <f t="shared" ref="C5:C20" si="4">C4+($C$21-$C$3)/18</f>
        <v>2488.8888888888887</v>
      </c>
      <c r="D5" s="6">
        <v>3275</v>
      </c>
      <c r="E5" s="6">
        <f>2109+3002+2100</f>
        <v>7211</v>
      </c>
      <c r="F5" s="6"/>
      <c r="G5" s="6">
        <v>1000</v>
      </c>
      <c r="H5" s="6">
        <v>1000</v>
      </c>
      <c r="I5" s="6">
        <v>2400</v>
      </c>
      <c r="J5" s="6">
        <f t="shared" si="2"/>
        <v>3622</v>
      </c>
      <c r="L5" s="16">
        <f t="shared" si="0"/>
        <v>-6886.2222222222226</v>
      </c>
      <c r="M5" s="16">
        <f t="shared" si="1"/>
        <v>-6118.3192535136377</v>
      </c>
    </row>
    <row r="6" spans="1:16">
      <c r="A6">
        <v>2015</v>
      </c>
      <c r="B6" s="6">
        <f t="shared" si="3"/>
        <v>2749.9999999999995</v>
      </c>
      <c r="C6" s="6">
        <f t="shared" si="4"/>
        <v>3583.333333333333</v>
      </c>
      <c r="D6" s="6">
        <v>3275</v>
      </c>
      <c r="E6" s="6">
        <f>2109+1036+2100</f>
        <v>5245</v>
      </c>
      <c r="F6" s="6"/>
      <c r="G6" s="6">
        <v>1000</v>
      </c>
      <c r="H6" s="6">
        <v>1000</v>
      </c>
      <c r="I6" s="6">
        <v>2400</v>
      </c>
      <c r="J6" s="6">
        <f t="shared" si="2"/>
        <v>3622</v>
      </c>
      <c r="L6" s="16">
        <f t="shared" si="0"/>
        <v>-6831.3333333333321</v>
      </c>
      <c r="M6" s="16">
        <f t="shared" si="1"/>
        <v>-5892.7681423896856</v>
      </c>
    </row>
    <row r="7" spans="1:16">
      <c r="A7">
        <v>2016</v>
      </c>
      <c r="B7" s="6">
        <f t="shared" si="3"/>
        <v>3566.6666666666661</v>
      </c>
      <c r="C7" s="6">
        <f t="shared" si="4"/>
        <v>4677.7777777777774</v>
      </c>
      <c r="D7" s="6">
        <v>3275</v>
      </c>
      <c r="E7" s="6">
        <f>2109+3002+2100</f>
        <v>7211</v>
      </c>
      <c r="F7" s="6"/>
      <c r="G7" s="6">
        <v>1000</v>
      </c>
      <c r="H7" s="6">
        <v>1000</v>
      </c>
      <c r="I7" s="6">
        <v>2400</v>
      </c>
      <c r="J7" s="6">
        <f t="shared" si="2"/>
        <v>3622</v>
      </c>
      <c r="L7" s="16">
        <f t="shared" si="0"/>
        <v>-10708.444444444445</v>
      </c>
      <c r="M7" s="16">
        <f t="shared" si="1"/>
        <v>-8968.1536357937657</v>
      </c>
    </row>
    <row r="8" spans="1:16">
      <c r="A8">
        <v>2017</v>
      </c>
      <c r="B8" s="6">
        <f t="shared" si="3"/>
        <v>4383.333333333333</v>
      </c>
      <c r="C8" s="6">
        <f t="shared" si="4"/>
        <v>5772.2222222222217</v>
      </c>
      <c r="D8" s="6">
        <v>3275</v>
      </c>
      <c r="E8" s="6">
        <f>2109+2100</f>
        <v>4209</v>
      </c>
      <c r="F8" s="6"/>
      <c r="G8" s="6">
        <v>1000</v>
      </c>
      <c r="H8" s="6">
        <v>1000</v>
      </c>
      <c r="I8" s="6">
        <v>2400</v>
      </c>
      <c r="J8" s="6">
        <f t="shared" si="2"/>
        <v>3622</v>
      </c>
      <c r="L8" s="16">
        <f t="shared" si="0"/>
        <v>-9617.5555555555547</v>
      </c>
      <c r="M8" s="16">
        <f t="shared" si="1"/>
        <v>-7819.9527820953344</v>
      </c>
    </row>
    <row r="9" spans="1:16">
      <c r="A9">
        <v>2018</v>
      </c>
      <c r="B9" s="6">
        <f t="shared" si="3"/>
        <v>5200</v>
      </c>
      <c r="C9" s="6">
        <f t="shared" si="4"/>
        <v>6866.6666666666661</v>
      </c>
      <c r="D9" s="6">
        <v>3275</v>
      </c>
      <c r="E9" s="6">
        <f>2109+3002+1036+2100</f>
        <v>8247</v>
      </c>
      <c r="F9" s="6"/>
      <c r="G9" s="6">
        <v>1000</v>
      </c>
      <c r="H9" s="6">
        <v>1000</v>
      </c>
      <c r="I9" s="6">
        <v>2400</v>
      </c>
      <c r="J9" s="6">
        <f t="shared" si="2"/>
        <v>3622</v>
      </c>
      <c r="L9" s="16">
        <f t="shared" si="0"/>
        <v>-15566.666666666664</v>
      </c>
      <c r="M9" s="16">
        <f t="shared" si="1"/>
        <v>-12288.470414153599</v>
      </c>
    </row>
    <row r="10" spans="1:16">
      <c r="A10">
        <v>2019</v>
      </c>
      <c r="B10" s="6">
        <f t="shared" si="3"/>
        <v>6016.666666666667</v>
      </c>
      <c r="C10" s="6">
        <f t="shared" si="4"/>
        <v>7961.1111111111104</v>
      </c>
      <c r="D10" s="6">
        <v>3275</v>
      </c>
      <c r="E10" s="6">
        <f>2109+2100</f>
        <v>4209</v>
      </c>
      <c r="F10" s="6"/>
      <c r="G10" s="6">
        <v>1000</v>
      </c>
      <c r="H10" s="6">
        <v>1000</v>
      </c>
      <c r="I10" s="6">
        <v>2400</v>
      </c>
      <c r="J10" s="6">
        <f>522+4000+3100</f>
        <v>7622</v>
      </c>
      <c r="L10" s="16">
        <f t="shared" si="0"/>
        <v>-9439.7777777777774</v>
      </c>
      <c r="M10" s="16">
        <f t="shared" si="1"/>
        <v>-7234.803638494428</v>
      </c>
    </row>
    <row r="11" spans="1:16">
      <c r="A11">
        <v>2020</v>
      </c>
      <c r="B11" s="6">
        <f t="shared" si="3"/>
        <v>6833.3333333333339</v>
      </c>
      <c r="C11" s="6">
        <f t="shared" si="4"/>
        <v>9055.5555555555547</v>
      </c>
      <c r="D11" s="6">
        <v>3275</v>
      </c>
      <c r="E11" s="6">
        <f>11400+2109+3002+2100</f>
        <v>18611</v>
      </c>
      <c r="F11" s="6"/>
      <c r="G11" s="6">
        <v>1000</v>
      </c>
      <c r="H11" s="6">
        <v>1000</v>
      </c>
      <c r="I11" s="6">
        <v>2400</v>
      </c>
      <c r="J11" s="6">
        <f>522+1000+3100+4560</f>
        <v>9182</v>
      </c>
      <c r="L11" s="16">
        <f t="shared" si="0"/>
        <v>-24192.888888888891</v>
      </c>
      <c r="M11" s="16">
        <f t="shared" si="1"/>
        <v>-18001.781405994818</v>
      </c>
    </row>
    <row r="12" spans="1:16">
      <c r="A12">
        <v>2021</v>
      </c>
      <c r="B12" s="6">
        <f t="shared" si="3"/>
        <v>7650.0000000000009</v>
      </c>
      <c r="C12" s="6">
        <f t="shared" si="4"/>
        <v>10150</v>
      </c>
      <c r="D12" s="6">
        <v>3275</v>
      </c>
      <c r="E12" s="6">
        <f>2109+1036+2100</f>
        <v>5245</v>
      </c>
      <c r="F12" s="6"/>
      <c r="G12" s="6">
        <v>1000</v>
      </c>
      <c r="H12" s="6">
        <v>1000</v>
      </c>
      <c r="I12" s="6">
        <v>2400</v>
      </c>
      <c r="J12" s="6">
        <f>522+3100</f>
        <v>3622</v>
      </c>
      <c r="L12" s="16">
        <f t="shared" si="0"/>
        <v>-18298</v>
      </c>
      <c r="M12" s="16">
        <f t="shared" si="1"/>
        <v>-13218.864519204153</v>
      </c>
    </row>
    <row r="13" spans="1:16">
      <c r="A13">
        <v>2022</v>
      </c>
      <c r="B13" s="6">
        <f t="shared" si="3"/>
        <v>8466.6666666666679</v>
      </c>
      <c r="C13" s="6">
        <f t="shared" si="4"/>
        <v>11244.444444444445</v>
      </c>
      <c r="D13" s="6">
        <v>3275</v>
      </c>
      <c r="E13" s="6">
        <f>2109+3002+2100</f>
        <v>7211</v>
      </c>
      <c r="F13" s="6"/>
      <c r="G13" s="6">
        <v>1000</v>
      </c>
      <c r="H13" s="6">
        <v>1000</v>
      </c>
      <c r="I13" s="6">
        <v>2400</v>
      </c>
      <c r="J13" s="6">
        <f>522+3100</f>
        <v>3622</v>
      </c>
      <c r="L13" s="16">
        <f t="shared" si="0"/>
        <v>-22175.111111111113</v>
      </c>
      <c r="M13" s="16">
        <f t="shared" si="1"/>
        <v>-15553.176774376981</v>
      </c>
    </row>
    <row r="14" spans="1:16">
      <c r="A14">
        <v>2023</v>
      </c>
      <c r="B14" s="6">
        <f t="shared" si="3"/>
        <v>9283.3333333333339</v>
      </c>
      <c r="C14" s="6">
        <f t="shared" si="4"/>
        <v>12338.888888888891</v>
      </c>
      <c r="D14" s="6">
        <v>3275</v>
      </c>
      <c r="E14" s="6">
        <f>45600+2109+2100</f>
        <v>49809</v>
      </c>
      <c r="F14" s="6"/>
      <c r="G14" s="6">
        <v>1000</v>
      </c>
      <c r="H14" s="6">
        <v>1000</v>
      </c>
      <c r="I14" s="6">
        <v>2400</v>
      </c>
      <c r="J14" s="6">
        <f>522+3100</f>
        <v>3622</v>
      </c>
      <c r="L14" s="16">
        <f t="shared" si="0"/>
        <v>-66684.222222222219</v>
      </c>
      <c r="M14" s="16">
        <f t="shared" si="1"/>
        <v>-45408.710478625071</v>
      </c>
    </row>
    <row r="15" spans="1:16">
      <c r="A15">
        <v>2024</v>
      </c>
      <c r="B15" s="6">
        <f t="shared" si="3"/>
        <v>10100</v>
      </c>
      <c r="C15" s="6">
        <f t="shared" si="4"/>
        <v>13433.333333333336</v>
      </c>
      <c r="D15" s="6">
        <v>22170</v>
      </c>
      <c r="E15" s="6">
        <f>2109+3002+2100</f>
        <v>7211</v>
      </c>
      <c r="F15" s="6"/>
      <c r="G15" s="6">
        <v>1000</v>
      </c>
      <c r="H15" s="6">
        <v>1000</v>
      </c>
      <c r="I15" s="6">
        <f>2400+32000</f>
        <v>34400</v>
      </c>
      <c r="J15" s="6">
        <f>522+3100</f>
        <v>3622</v>
      </c>
      <c r="L15" s="16">
        <f t="shared" si="0"/>
        <v>-12892.333333333336</v>
      </c>
      <c r="M15" s="16">
        <f t="shared" si="1"/>
        <v>-8523.3511252155804</v>
      </c>
    </row>
    <row r="16" spans="1:16">
      <c r="A16">
        <v>2025</v>
      </c>
      <c r="B16" s="6">
        <f t="shared" si="3"/>
        <v>10916.666666666666</v>
      </c>
      <c r="C16" s="6">
        <f t="shared" si="4"/>
        <v>14527.777777777781</v>
      </c>
      <c r="D16" s="6">
        <v>3275</v>
      </c>
      <c r="E16" s="6">
        <f>51800+2109+2100</f>
        <v>56009</v>
      </c>
      <c r="F16" s="6"/>
      <c r="G16" s="6">
        <v>1000</v>
      </c>
      <c r="H16" s="6">
        <v>1000</v>
      </c>
      <c r="I16" s="6">
        <v>2400</v>
      </c>
      <c r="J16" s="6">
        <f>522+3100</f>
        <v>3622</v>
      </c>
      <c r="L16" s="16">
        <f t="shared" si="0"/>
        <v>-76706.444444444438</v>
      </c>
      <c r="M16" s="16">
        <f t="shared" si="1"/>
        <v>-49234.947808989244</v>
      </c>
    </row>
    <row r="17" spans="1:13">
      <c r="A17">
        <v>2026</v>
      </c>
      <c r="B17" s="6">
        <f t="shared" si="3"/>
        <v>11733.333333333332</v>
      </c>
      <c r="C17" s="6">
        <f t="shared" si="4"/>
        <v>15622.222222222226</v>
      </c>
      <c r="D17" s="6">
        <v>3275</v>
      </c>
      <c r="E17" s="6">
        <f>2109+3002+2100</f>
        <v>7211</v>
      </c>
      <c r="F17" s="6"/>
      <c r="G17" s="6">
        <v>1000</v>
      </c>
      <c r="H17" s="6">
        <v>1000</v>
      </c>
      <c r="I17" s="6">
        <v>2400</v>
      </c>
      <c r="J17" s="6">
        <f>522+4000+3100</f>
        <v>7622</v>
      </c>
      <c r="L17" s="16">
        <f t="shared" si="0"/>
        <v>-25819.555555555562</v>
      </c>
      <c r="M17" s="16">
        <f t="shared" si="1"/>
        <v>-16089.893407579259</v>
      </c>
    </row>
    <row r="18" spans="1:13">
      <c r="A18">
        <v>2027</v>
      </c>
      <c r="B18" s="6">
        <f t="shared" si="3"/>
        <v>12549.999999999998</v>
      </c>
      <c r="C18" s="6">
        <f t="shared" si="4"/>
        <v>16716.666666666672</v>
      </c>
      <c r="D18" s="6">
        <v>3275</v>
      </c>
      <c r="E18" s="6">
        <f>2109+2100</f>
        <v>4209</v>
      </c>
      <c r="F18" s="6"/>
      <c r="G18" s="6">
        <v>1000</v>
      </c>
      <c r="H18" s="6">
        <v>1000</v>
      </c>
      <c r="I18" s="6">
        <v>2400</v>
      </c>
      <c r="J18" s="6">
        <f>522+1052+3100</f>
        <v>4674</v>
      </c>
      <c r="L18" s="16">
        <f t="shared" si="0"/>
        <v>-27676.666666666672</v>
      </c>
      <c r="M18" s="16">
        <f t="shared" si="1"/>
        <v>-16744.83849949712</v>
      </c>
    </row>
    <row r="19" spans="1:13">
      <c r="A19">
        <v>2028</v>
      </c>
      <c r="B19" s="6">
        <f t="shared" si="3"/>
        <v>13366.666666666664</v>
      </c>
      <c r="C19" s="6">
        <f t="shared" si="4"/>
        <v>17811.111111111117</v>
      </c>
      <c r="D19" s="6">
        <v>3275</v>
      </c>
      <c r="E19" s="6">
        <f>2109+3002+2100</f>
        <v>7211</v>
      </c>
      <c r="F19" s="6"/>
      <c r="G19" s="6">
        <v>1000</v>
      </c>
      <c r="H19" s="6">
        <v>1000</v>
      </c>
      <c r="I19" s="6">
        <v>2400</v>
      </c>
      <c r="J19" s="6">
        <f>522+3100</f>
        <v>3622</v>
      </c>
      <c r="L19" s="16">
        <f t="shared" si="0"/>
        <v>-33641.777777777781</v>
      </c>
      <c r="M19" s="16">
        <f t="shared" si="1"/>
        <v>-19760.998857291961</v>
      </c>
    </row>
    <row r="20" spans="1:13">
      <c r="A20">
        <v>2029</v>
      </c>
      <c r="B20" s="6">
        <f t="shared" si="3"/>
        <v>14183.33333333333</v>
      </c>
      <c r="C20" s="6">
        <f t="shared" si="4"/>
        <v>18905.555555555562</v>
      </c>
      <c r="D20" s="6">
        <v>3275</v>
      </c>
      <c r="E20" s="6">
        <f>2109+2100</f>
        <v>4209</v>
      </c>
      <c r="F20" s="6"/>
      <c r="G20" s="6">
        <v>1000</v>
      </c>
      <c r="H20" s="6">
        <v>1000</v>
      </c>
      <c r="I20" s="6">
        <v>2400</v>
      </c>
      <c r="J20" s="6">
        <f>522+3100</f>
        <v>3622</v>
      </c>
      <c r="L20" s="16">
        <f t="shared" si="0"/>
        <v>-32550.888888888891</v>
      </c>
      <c r="M20" s="16">
        <f t="shared" si="1"/>
        <v>-18563.317093640882</v>
      </c>
    </row>
    <row r="21" spans="1:13">
      <c r="A21">
        <v>2030</v>
      </c>
      <c r="B21" s="6">
        <v>15000</v>
      </c>
      <c r="C21" s="6">
        <v>20000</v>
      </c>
      <c r="D21" s="6">
        <v>3275</v>
      </c>
      <c r="E21" s="6">
        <f>2109+3002+2100</f>
        <v>7211</v>
      </c>
      <c r="F21" s="6"/>
      <c r="G21" s="6">
        <v>1000</v>
      </c>
      <c r="H21" s="6">
        <v>1000</v>
      </c>
      <c r="I21" s="6">
        <v>2400</v>
      </c>
      <c r="J21" s="6">
        <f>522+3100</f>
        <v>3622</v>
      </c>
      <c r="L21" s="16">
        <f t="shared" si="0"/>
        <v>-37464</v>
      </c>
      <c r="M21" s="16">
        <f t="shared" si="1"/>
        <v>-20742.908454836852</v>
      </c>
    </row>
    <row r="22" spans="1:13">
      <c r="A22">
        <v>2031</v>
      </c>
      <c r="B22" s="6">
        <f>1610000+185000</f>
        <v>1795000</v>
      </c>
      <c r="C22" s="6">
        <f>2462400+300000</f>
        <v>2762400</v>
      </c>
      <c r="D22" s="6">
        <v>4035135</v>
      </c>
      <c r="E22" s="6">
        <f>2109+2100</f>
        <v>4209</v>
      </c>
      <c r="F22" s="6"/>
      <c r="G22" s="16">
        <f>1000</f>
        <v>1000</v>
      </c>
      <c r="H22" s="16">
        <f>1000</f>
        <v>1000</v>
      </c>
      <c r="I22" s="16">
        <f>2400</f>
        <v>2400</v>
      </c>
      <c r="J22" s="16">
        <f>522+3100</f>
        <v>3622</v>
      </c>
      <c r="K22" s="8"/>
      <c r="L22" s="16">
        <f t="shared" ref="L22" si="5">SUM(G22:K22)-SUM(B22:F22)</f>
        <v>-8588722</v>
      </c>
      <c r="M22" s="16">
        <f t="shared" ref="M22" si="6">L22/((1+$P$2)^(A22-2010))</f>
        <v>-4616861.2920842404</v>
      </c>
    </row>
    <row r="23" spans="1:13">
      <c r="B23" s="6"/>
      <c r="C23" s="6"/>
      <c r="D23" s="6"/>
      <c r="E23" s="6"/>
      <c r="F23" s="46"/>
      <c r="G23" s="46"/>
      <c r="H23" s="46"/>
      <c r="I23" s="46"/>
      <c r="J23" s="46"/>
      <c r="K23" s="46"/>
    </row>
    <row r="24" spans="1:13">
      <c r="B24" t="s">
        <v>7</v>
      </c>
      <c r="C24" s="9"/>
      <c r="D24" s="9"/>
      <c r="E24" s="9"/>
      <c r="F24" s="9"/>
      <c r="G24" s="9"/>
      <c r="M24" s="7">
        <f>SUM(M3:M23)</f>
        <v>2728115.6498939823</v>
      </c>
    </row>
    <row r="25" spans="1:13">
      <c r="B25" s="9"/>
      <c r="C25" s="9"/>
      <c r="D25" s="9"/>
      <c r="E25" s="9"/>
      <c r="F25" s="9"/>
      <c r="G25" s="9"/>
    </row>
    <row r="26" spans="1:13">
      <c r="B26" s="9"/>
      <c r="C26" s="9"/>
      <c r="D26" s="9"/>
      <c r="E26" s="9"/>
      <c r="F26" s="9"/>
      <c r="G26" s="9"/>
    </row>
    <row r="27" spans="1:13">
      <c r="A27" s="10" t="s">
        <v>8</v>
      </c>
      <c r="B27" s="9"/>
      <c r="C27" s="9"/>
      <c r="D27" s="9"/>
      <c r="E27" s="9"/>
      <c r="F27" s="9"/>
      <c r="G27" s="11"/>
    </row>
    <row r="28" spans="1:13">
      <c r="A28" s="10" t="s">
        <v>9</v>
      </c>
      <c r="B28" s="9"/>
      <c r="C28" s="9"/>
      <c r="D28" s="9"/>
      <c r="E28" s="9"/>
      <c r="F28" s="9"/>
      <c r="G28" s="11"/>
    </row>
    <row r="29" spans="1:13">
      <c r="A29" s="10" t="s">
        <v>10</v>
      </c>
      <c r="B29" s="9"/>
      <c r="C29" s="9"/>
      <c r="D29" s="9"/>
      <c r="E29" s="9"/>
      <c r="F29" s="9"/>
      <c r="G29" s="11"/>
    </row>
    <row r="30" spans="1:13">
      <c r="A30" s="10" t="s">
        <v>14</v>
      </c>
      <c r="B30" s="9"/>
      <c r="C30" s="9"/>
      <c r="D30" s="9"/>
      <c r="E30" s="9"/>
      <c r="F30" s="9"/>
      <c r="G30" s="11"/>
    </row>
    <row r="31" spans="1:13">
      <c r="B31" s="9"/>
      <c r="C31" s="9"/>
      <c r="D31" s="9"/>
      <c r="E31" s="9"/>
      <c r="F31" s="9"/>
      <c r="G31" s="9"/>
    </row>
    <row r="32" spans="1:13">
      <c r="B32" s="9"/>
      <c r="C32" s="9"/>
      <c r="D32" s="9"/>
      <c r="E32" s="9"/>
      <c r="F32" s="9"/>
      <c r="G32" s="9"/>
    </row>
  </sheetData>
  <mergeCells count="1">
    <mergeCell ref="F23:K23"/>
  </mergeCells>
  <printOptions gridLines="1"/>
  <pageMargins left="0.7" right="0.7" top="0.75" bottom="0.75" header="0.3" footer="0.3"/>
  <pageSetup paperSize="17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5"/>
  <sheetViews>
    <sheetView zoomScaleNormal="100" workbookViewId="0"/>
  </sheetViews>
  <sheetFormatPr defaultRowHeight="15"/>
  <cols>
    <col min="2" max="2" width="10.140625" style="9" bestFit="1" customWidth="1"/>
    <col min="4" max="4" width="10.7109375" customWidth="1"/>
    <col min="5" max="5" width="11.140625" bestFit="1" customWidth="1"/>
  </cols>
  <sheetData>
    <row r="1" spans="1:8" ht="45">
      <c r="B1" s="1" t="s">
        <v>15</v>
      </c>
      <c r="C1" s="2"/>
      <c r="D1" s="3" t="s">
        <v>4</v>
      </c>
      <c r="E1" s="3" t="s">
        <v>5</v>
      </c>
      <c r="G1" s="4" t="s">
        <v>36</v>
      </c>
      <c r="H1" s="5">
        <v>0.03</v>
      </c>
    </row>
    <row r="2" spans="1:8">
      <c r="A2">
        <v>2012</v>
      </c>
      <c r="B2" s="6">
        <f>benefitDetail!AA2</f>
        <v>1397339.8493333333</v>
      </c>
      <c r="D2" s="7">
        <f>SUM(B2:C2)</f>
        <v>1397339.8493333333</v>
      </c>
      <c r="E2" s="7">
        <f t="shared" ref="E2:E21" si="0">D2/((1+$H$1)^(A2-2010))</f>
        <v>1317126.8256511767</v>
      </c>
    </row>
    <row r="3" spans="1:8">
      <c r="A3">
        <v>2013</v>
      </c>
      <c r="B3" s="6">
        <f>benefitDetail!AA3</f>
        <v>1397339.8493333333</v>
      </c>
      <c r="D3" s="7">
        <f t="shared" ref="D3:D21" si="1">SUM(B3:C3)</f>
        <v>1397339.8493333333</v>
      </c>
      <c r="E3" s="7">
        <f t="shared" si="0"/>
        <v>1278763.9083992005</v>
      </c>
    </row>
    <row r="4" spans="1:8">
      <c r="A4">
        <v>2014</v>
      </c>
      <c r="B4" s="6">
        <f>benefitDetail!AA4</f>
        <v>1397339.8493333333</v>
      </c>
      <c r="D4" s="7">
        <f t="shared" si="1"/>
        <v>1397339.8493333333</v>
      </c>
      <c r="E4" s="7">
        <f t="shared" si="0"/>
        <v>1241518.3576691269</v>
      </c>
    </row>
    <row r="5" spans="1:8">
      <c r="A5">
        <v>2015</v>
      </c>
      <c r="B5" s="6">
        <f>benefitDetail!AA5</f>
        <v>1553339.8493333333</v>
      </c>
      <c r="D5" s="7">
        <f t="shared" si="1"/>
        <v>1553339.8493333333</v>
      </c>
      <c r="E5" s="7">
        <f t="shared" si="0"/>
        <v>1339924.5991689074</v>
      </c>
    </row>
    <row r="6" spans="1:8">
      <c r="A6">
        <v>2016</v>
      </c>
      <c r="B6" s="6">
        <f>benefitDetail!AA6</f>
        <v>1553339.8493333333</v>
      </c>
      <c r="D6" s="7">
        <f t="shared" si="1"/>
        <v>1553339.8493333333</v>
      </c>
      <c r="E6" s="7">
        <f t="shared" si="0"/>
        <v>1300897.6690960263</v>
      </c>
    </row>
    <row r="7" spans="1:8">
      <c r="A7">
        <v>2017</v>
      </c>
      <c r="B7" s="6">
        <f>benefitDetail!AA7</f>
        <v>1553339.8493333333</v>
      </c>
      <c r="D7" s="7">
        <f t="shared" si="1"/>
        <v>1553339.8493333333</v>
      </c>
      <c r="E7" s="7">
        <f t="shared" si="0"/>
        <v>1263007.4457242973</v>
      </c>
    </row>
    <row r="8" spans="1:8">
      <c r="A8">
        <v>2018</v>
      </c>
      <c r="B8" s="6">
        <f>benefitDetail!AA8</f>
        <v>1553339.8493333333</v>
      </c>
      <c r="D8" s="7">
        <f t="shared" si="1"/>
        <v>1553339.8493333333</v>
      </c>
      <c r="E8" s="7">
        <f t="shared" si="0"/>
        <v>1226220.8210915511</v>
      </c>
    </row>
    <row r="9" spans="1:8">
      <c r="A9">
        <v>2019</v>
      </c>
      <c r="B9" s="6">
        <f>benefitDetail!AA9</f>
        <v>1553339.8493333333</v>
      </c>
      <c r="D9" s="7">
        <f t="shared" si="1"/>
        <v>1553339.8493333333</v>
      </c>
      <c r="E9" s="7">
        <f t="shared" si="0"/>
        <v>1190505.6515451951</v>
      </c>
    </row>
    <row r="10" spans="1:8">
      <c r="A10">
        <v>2020</v>
      </c>
      <c r="B10" s="6">
        <f>benefitDetail!AA10</f>
        <v>1715839.8493333333</v>
      </c>
      <c r="D10" s="7">
        <f t="shared" si="1"/>
        <v>1715839.8493333333</v>
      </c>
      <c r="E10" s="7">
        <f t="shared" si="0"/>
        <v>1276745.990826247</v>
      </c>
    </row>
    <row r="11" spans="1:8">
      <c r="A11">
        <v>2021</v>
      </c>
      <c r="B11" s="6">
        <f>benefitDetail!AA11</f>
        <v>1715839.8493333333</v>
      </c>
      <c r="D11" s="7">
        <f t="shared" si="1"/>
        <v>1715839.8493333333</v>
      </c>
      <c r="E11" s="7">
        <f t="shared" si="0"/>
        <v>1239559.2143944146</v>
      </c>
    </row>
    <row r="12" spans="1:8">
      <c r="A12">
        <v>2022</v>
      </c>
      <c r="B12" s="6">
        <f>benefitDetail!AA12</f>
        <v>1715839.8493333333</v>
      </c>
      <c r="D12" s="7">
        <f t="shared" si="1"/>
        <v>1715839.8493333333</v>
      </c>
      <c r="E12" s="7">
        <f t="shared" si="0"/>
        <v>1203455.5479557426</v>
      </c>
    </row>
    <row r="13" spans="1:8">
      <c r="A13">
        <v>2023</v>
      </c>
      <c r="B13" s="6">
        <f>benefitDetail!AA13</f>
        <v>1715839.8493333333</v>
      </c>
      <c r="D13" s="7">
        <f t="shared" si="1"/>
        <v>1715839.8493333333</v>
      </c>
      <c r="E13" s="7">
        <f t="shared" si="0"/>
        <v>1168403.4446172258</v>
      </c>
    </row>
    <row r="14" spans="1:8">
      <c r="A14">
        <v>2024</v>
      </c>
      <c r="B14" s="6">
        <f>benefitDetail!AA14</f>
        <v>1715839.8493333333</v>
      </c>
      <c r="D14" s="7">
        <f t="shared" si="1"/>
        <v>1715839.8493333333</v>
      </c>
      <c r="E14" s="7">
        <f t="shared" si="0"/>
        <v>1134372.2763274035</v>
      </c>
    </row>
    <row r="15" spans="1:8">
      <c r="A15">
        <v>2025</v>
      </c>
      <c r="B15" s="6">
        <f>benefitDetail!AA15</f>
        <v>1930339.8493333333</v>
      </c>
      <c r="D15" s="7">
        <f t="shared" si="1"/>
        <v>1930339.8493333333</v>
      </c>
      <c r="E15" s="7">
        <f t="shared" si="0"/>
        <v>1239011.6948305799</v>
      </c>
    </row>
    <row r="16" spans="1:8">
      <c r="A16">
        <v>2026</v>
      </c>
      <c r="B16" s="6">
        <f>benefitDetail!AA16</f>
        <v>1930339.8493333333</v>
      </c>
      <c r="D16" s="7">
        <f t="shared" si="1"/>
        <v>1930339.8493333333</v>
      </c>
      <c r="E16" s="7">
        <f t="shared" si="0"/>
        <v>1202923.97556367</v>
      </c>
    </row>
    <row r="17" spans="1:5">
      <c r="A17">
        <v>2027</v>
      </c>
      <c r="B17" s="6">
        <f>benefitDetail!AA17</f>
        <v>1930339.8493333333</v>
      </c>
      <c r="D17" s="7">
        <f t="shared" si="1"/>
        <v>1930339.8493333333</v>
      </c>
      <c r="E17" s="7">
        <f t="shared" si="0"/>
        <v>1167887.3549161844</v>
      </c>
    </row>
    <row r="18" spans="1:5">
      <c r="A18">
        <v>2028</v>
      </c>
      <c r="B18" s="6">
        <f>benefitDetail!AA18</f>
        <v>1930339.8493333333</v>
      </c>
      <c r="D18" s="7">
        <f t="shared" si="1"/>
        <v>1930339.8493333333</v>
      </c>
      <c r="E18" s="7">
        <f t="shared" si="0"/>
        <v>1133871.2183652276</v>
      </c>
    </row>
    <row r="19" spans="1:5">
      <c r="A19">
        <v>2029</v>
      </c>
      <c r="B19" s="6">
        <f>benefitDetail!AA19</f>
        <v>1930339.8493333333</v>
      </c>
      <c r="D19" s="7">
        <f t="shared" si="1"/>
        <v>1930339.8493333333</v>
      </c>
      <c r="E19" s="7">
        <f t="shared" si="0"/>
        <v>1100845.8430730365</v>
      </c>
    </row>
    <row r="20" spans="1:5">
      <c r="A20">
        <v>2030</v>
      </c>
      <c r="B20" s="6">
        <f>benefitDetail!AA20</f>
        <v>2138339.8493333333</v>
      </c>
      <c r="D20" s="7">
        <f t="shared" si="1"/>
        <v>2138339.8493333333</v>
      </c>
      <c r="E20" s="7">
        <f t="shared" si="0"/>
        <v>1183946.9287863271</v>
      </c>
    </row>
    <row r="21" spans="1:5">
      <c r="A21">
        <v>2031</v>
      </c>
      <c r="B21" s="6">
        <f>benefitDetail!AA21</f>
        <v>2138339.8493333333</v>
      </c>
      <c r="D21" s="7">
        <f t="shared" si="1"/>
        <v>2138339.8493333333</v>
      </c>
      <c r="E21" s="7">
        <f t="shared" si="0"/>
        <v>1149463.0376566285</v>
      </c>
    </row>
    <row r="23" spans="1:5">
      <c r="B23" t="s">
        <v>48</v>
      </c>
      <c r="E23" s="7">
        <f>SUM(E2:E22)</f>
        <v>24358451.805658169</v>
      </c>
    </row>
    <row r="24" spans="1:5" ht="15.75" thickBot="1">
      <c r="B24" t="s">
        <v>49</v>
      </c>
      <c r="E24" s="7">
        <f>costs!M24</f>
        <v>2728115.6498939823</v>
      </c>
    </row>
    <row r="25" spans="1:5" ht="15.75" thickBot="1">
      <c r="B25" s="32" t="s">
        <v>37</v>
      </c>
      <c r="C25" s="33"/>
      <c r="D25" s="33"/>
      <c r="E25" s="34" t="str">
        <f>TEXT(E23/E24,"0.0")&amp;" : 1"</f>
        <v>8.9 : 1</v>
      </c>
    </row>
  </sheetData>
  <dataValidations count="1">
    <dataValidation type="list" allowBlank="1" showInputMessage="1" showErrorMessage="1" sqref="H1">
      <formula1>"3%,7%"</formula1>
    </dataValidation>
  </dataValidations>
  <pageMargins left="0.7" right="0.7" top="0.75" bottom="0.75" header="0.3" footer="0.3"/>
  <pageSetup orientation="landscape" r:id="rId1"/>
  <headerFooter>
    <oddFooter>&amp;L&amp;A&amp;CPage &amp;P of &amp;N&amp;R&amp;D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21"/>
  <sheetViews>
    <sheetView tabSelected="1" zoomScaleNormal="100" workbookViewId="0"/>
  </sheetViews>
  <sheetFormatPr defaultRowHeight="15"/>
  <cols>
    <col min="2" max="2" width="14.7109375" customWidth="1"/>
    <col min="3" max="4" width="10.7109375" style="42" customWidth="1"/>
    <col min="5" max="6" width="14.7109375" style="42" customWidth="1"/>
    <col min="7" max="7" width="17.7109375" style="42" customWidth="1"/>
    <col min="8" max="8" width="2.7109375" style="42" customWidth="1"/>
    <col min="9" max="10" width="10.7109375" style="9" customWidth="1"/>
    <col min="11" max="11" width="2.7109375" style="9" customWidth="1"/>
    <col min="12" max="13" width="10.7109375" style="9" customWidth="1"/>
    <col min="14" max="14" width="2.7109375" style="9" customWidth="1"/>
    <col min="15" max="15" width="10.7109375" style="9" customWidth="1"/>
    <col min="16" max="16" width="2.7109375" style="9" customWidth="1"/>
    <col min="17" max="17" width="10.7109375" style="9" customWidth="1"/>
    <col min="18" max="20" width="14.7109375" style="9" customWidth="1"/>
    <col min="21" max="21" width="10.7109375" style="9" customWidth="1"/>
    <col min="22" max="22" width="2.7109375" style="9" customWidth="1"/>
    <col min="23" max="23" width="10.7109375" style="9" customWidth="1"/>
    <col min="24" max="25" width="13.7109375" style="9" customWidth="1"/>
    <col min="26" max="26" width="2.7109375" style="9" customWidth="1"/>
    <col min="27" max="27" width="12.7109375" bestFit="1" customWidth="1"/>
  </cols>
  <sheetData>
    <row r="1" spans="1:28" s="35" customFormat="1" ht="213">
      <c r="B1" s="3" t="s">
        <v>51</v>
      </c>
      <c r="C1" s="3" t="s">
        <v>38</v>
      </c>
      <c r="D1" s="3" t="s">
        <v>39</v>
      </c>
      <c r="E1" s="3" t="s">
        <v>40</v>
      </c>
      <c r="F1" s="3" t="s">
        <v>41</v>
      </c>
      <c r="G1" s="3" t="s">
        <v>42</v>
      </c>
      <c r="H1" s="3"/>
      <c r="I1" s="3" t="s">
        <v>52</v>
      </c>
      <c r="J1" s="3" t="s">
        <v>53</v>
      </c>
      <c r="K1" s="3"/>
      <c r="L1" s="3" t="s">
        <v>54</v>
      </c>
      <c r="M1" s="3" t="s">
        <v>55</v>
      </c>
      <c r="N1" s="3"/>
      <c r="O1" s="3" t="s">
        <v>43</v>
      </c>
      <c r="P1" s="3"/>
      <c r="Q1" s="3" t="s">
        <v>44</v>
      </c>
      <c r="R1" s="3" t="s">
        <v>56</v>
      </c>
      <c r="S1" s="3" t="s">
        <v>45</v>
      </c>
      <c r="T1" s="3" t="s">
        <v>57</v>
      </c>
      <c r="U1" s="3" t="s">
        <v>46</v>
      </c>
      <c r="V1" s="3"/>
      <c r="W1" s="3" t="s">
        <v>69</v>
      </c>
      <c r="X1" s="3" t="s">
        <v>58</v>
      </c>
      <c r="Y1" s="3" t="s">
        <v>59</v>
      </c>
      <c r="Z1" s="3"/>
      <c r="AA1" s="3" t="s">
        <v>47</v>
      </c>
    </row>
    <row r="2" spans="1:28">
      <c r="A2">
        <v>2012</v>
      </c>
      <c r="B2" s="36">
        <f>10.6</f>
        <v>10.6</v>
      </c>
      <c r="C2" s="37">
        <v>1.3</v>
      </c>
      <c r="D2" s="36">
        <v>0.28000000000000003</v>
      </c>
      <c r="E2" s="38">
        <v>2.8000000000000001E-2</v>
      </c>
      <c r="F2" s="13">
        <v>128</v>
      </c>
      <c r="G2" s="13">
        <v>10</v>
      </c>
      <c r="H2" s="38"/>
      <c r="I2" s="39">
        <v>355</v>
      </c>
      <c r="J2" s="39">
        <f>I2/15</f>
        <v>23.666666666666668</v>
      </c>
      <c r="K2" s="39"/>
      <c r="L2" s="39">
        <v>888</v>
      </c>
      <c r="M2" s="39">
        <f>L2/15</f>
        <v>59.2</v>
      </c>
      <c r="N2" s="39"/>
      <c r="O2" s="40">
        <f>-$M$2*$C$2*(4-1)</f>
        <v>-230.88000000000002</v>
      </c>
      <c r="P2" s="39"/>
      <c r="Q2" s="7">
        <f>($D$2+$E$2)*($I$2+$L$2)</f>
        <v>382.84400000000005</v>
      </c>
      <c r="R2" s="6">
        <f>$I$2/24*$F$2</f>
        <v>1893.3333333333333</v>
      </c>
      <c r="S2" s="6">
        <f>$I$2*$G$2/2</f>
        <v>1775</v>
      </c>
      <c r="T2" s="6">
        <f>$L$2/24*$F$2</f>
        <v>4736</v>
      </c>
      <c r="U2" s="41">
        <f>O2*10.6</f>
        <v>-2447.328</v>
      </c>
      <c r="V2" s="39"/>
      <c r="W2" s="39">
        <v>65000</v>
      </c>
      <c r="X2" s="44">
        <f>IF('benefits &amp; sum'!$H$1=0.03,21.4,4.7)</f>
        <v>21.4</v>
      </c>
      <c r="Y2" s="6">
        <f>$W$2*X2</f>
        <v>1391000</v>
      </c>
      <c r="Z2" s="39"/>
      <c r="AA2" s="41">
        <f>SUM($Q$2:$V$2)+Y2</f>
        <v>1397339.8493333333</v>
      </c>
    </row>
    <row r="3" spans="1:28">
      <c r="A3">
        <v>2013</v>
      </c>
      <c r="I3" s="39"/>
      <c r="J3" s="39"/>
      <c r="K3" s="39"/>
      <c r="L3" s="39"/>
      <c r="M3" s="39"/>
      <c r="N3" s="39"/>
      <c r="O3" s="40"/>
      <c r="P3" s="39"/>
      <c r="Q3" s="7"/>
      <c r="R3" s="6"/>
      <c r="S3" s="6"/>
      <c r="T3" s="6"/>
      <c r="U3" s="41"/>
      <c r="V3" s="39"/>
      <c r="W3" s="39"/>
      <c r="X3" s="44">
        <f>IF('benefits &amp; sum'!$H$1=0.03,21.4,4.7)</f>
        <v>21.4</v>
      </c>
      <c r="Y3" s="6">
        <f t="shared" ref="Y3:Y21" si="0">$W$2*X3</f>
        <v>1391000</v>
      </c>
      <c r="Z3" s="39"/>
      <c r="AA3" s="41">
        <f t="shared" ref="AA3:AA21" si="1">SUM($Q$2:$V$2)+Y3</f>
        <v>1397339.8493333333</v>
      </c>
      <c r="AB3" s="43"/>
    </row>
    <row r="4" spans="1:28">
      <c r="A4">
        <v>2014</v>
      </c>
      <c r="I4" s="39"/>
      <c r="J4" s="39"/>
      <c r="K4" s="39"/>
      <c r="L4" s="39"/>
      <c r="M4" s="39"/>
      <c r="N4" s="39"/>
      <c r="O4" s="40"/>
      <c r="P4" s="39"/>
      <c r="Q4" s="7"/>
      <c r="R4" s="6"/>
      <c r="S4" s="6"/>
      <c r="T4" s="6"/>
      <c r="U4" s="41"/>
      <c r="V4" s="39"/>
      <c r="W4" s="39"/>
      <c r="X4" s="44">
        <f>IF('benefits &amp; sum'!$H$1=0.03,21.4,4.7)</f>
        <v>21.4</v>
      </c>
      <c r="Y4" s="6">
        <f t="shared" si="0"/>
        <v>1391000</v>
      </c>
      <c r="Z4" s="39"/>
      <c r="AA4" s="41">
        <f t="shared" si="1"/>
        <v>1397339.8493333333</v>
      </c>
      <c r="AB4" s="43"/>
    </row>
    <row r="5" spans="1:28">
      <c r="A5">
        <v>2015</v>
      </c>
      <c r="I5" s="39"/>
      <c r="J5" s="39"/>
      <c r="K5" s="39"/>
      <c r="L5" s="39"/>
      <c r="M5" s="39"/>
      <c r="N5" s="39"/>
      <c r="O5" s="40"/>
      <c r="P5" s="39"/>
      <c r="Q5" s="7"/>
      <c r="R5" s="6"/>
      <c r="S5" s="6"/>
      <c r="T5" s="6"/>
      <c r="U5" s="41"/>
      <c r="V5" s="39"/>
      <c r="W5" s="39"/>
      <c r="X5" s="44">
        <f>IF('benefits &amp; sum'!$H$1=0.03,23.8,5.7)</f>
        <v>23.8</v>
      </c>
      <c r="Y5" s="6">
        <f t="shared" si="0"/>
        <v>1547000</v>
      </c>
      <c r="Z5" s="39"/>
      <c r="AA5" s="41">
        <f t="shared" si="1"/>
        <v>1553339.8493333333</v>
      </c>
      <c r="AB5" s="43"/>
    </row>
    <row r="6" spans="1:28">
      <c r="A6">
        <v>2016</v>
      </c>
      <c r="I6" s="39"/>
      <c r="J6" s="39"/>
      <c r="K6" s="39"/>
      <c r="L6" s="39"/>
      <c r="M6" s="39"/>
      <c r="N6" s="39"/>
      <c r="O6" s="40"/>
      <c r="P6" s="39"/>
      <c r="Q6" s="7"/>
      <c r="R6" s="6"/>
      <c r="S6" s="6"/>
      <c r="T6" s="6"/>
      <c r="U6" s="41"/>
      <c r="V6" s="39"/>
      <c r="W6" s="39"/>
      <c r="X6" s="44">
        <f>IF('benefits &amp; sum'!$H$1=0.03,23.8,5.7)</f>
        <v>23.8</v>
      </c>
      <c r="Y6" s="6">
        <f t="shared" si="0"/>
        <v>1547000</v>
      </c>
      <c r="Z6" s="39"/>
      <c r="AA6" s="41">
        <f t="shared" si="1"/>
        <v>1553339.8493333333</v>
      </c>
      <c r="AB6" s="43"/>
    </row>
    <row r="7" spans="1:28">
      <c r="A7">
        <v>2017</v>
      </c>
      <c r="I7" s="39"/>
      <c r="J7" s="39"/>
      <c r="K7" s="39"/>
      <c r="L7" s="39"/>
      <c r="M7" s="39"/>
      <c r="N7" s="39"/>
      <c r="O7" s="40"/>
      <c r="P7" s="39"/>
      <c r="Q7" s="7"/>
      <c r="R7" s="6"/>
      <c r="S7" s="6"/>
      <c r="T7" s="6"/>
      <c r="U7" s="41"/>
      <c r="V7" s="39"/>
      <c r="W7" s="39"/>
      <c r="X7" s="44">
        <f>IF('benefits &amp; sum'!$H$1=0.03,23.8,5.7)</f>
        <v>23.8</v>
      </c>
      <c r="Y7" s="6">
        <f t="shared" si="0"/>
        <v>1547000</v>
      </c>
      <c r="Z7" s="39"/>
      <c r="AA7" s="41">
        <f t="shared" si="1"/>
        <v>1553339.8493333333</v>
      </c>
      <c r="AB7" s="43"/>
    </row>
    <row r="8" spans="1:28">
      <c r="A8">
        <v>2018</v>
      </c>
      <c r="I8" s="39"/>
      <c r="J8" s="39"/>
      <c r="K8" s="39"/>
      <c r="L8" s="39"/>
      <c r="M8" s="39"/>
      <c r="N8" s="39"/>
      <c r="O8" s="40"/>
      <c r="P8" s="39"/>
      <c r="Q8" s="7"/>
      <c r="R8" s="6"/>
      <c r="S8" s="6"/>
      <c r="T8" s="6"/>
      <c r="U8" s="41"/>
      <c r="V8" s="39"/>
      <c r="W8" s="39"/>
      <c r="X8" s="44">
        <f>IF('benefits &amp; sum'!$H$1=0.03,23.8,5.7)</f>
        <v>23.8</v>
      </c>
      <c r="Y8" s="6">
        <f t="shared" si="0"/>
        <v>1547000</v>
      </c>
      <c r="Z8" s="39"/>
      <c r="AA8" s="41">
        <f t="shared" si="1"/>
        <v>1553339.8493333333</v>
      </c>
      <c r="AB8" s="43"/>
    </row>
    <row r="9" spans="1:28">
      <c r="A9">
        <v>2019</v>
      </c>
      <c r="I9" s="39"/>
      <c r="J9" s="39"/>
      <c r="K9" s="39"/>
      <c r="L9" s="39"/>
      <c r="M9" s="39"/>
      <c r="N9" s="39"/>
      <c r="O9" s="40"/>
      <c r="P9" s="39"/>
      <c r="Q9" s="7"/>
      <c r="R9" s="6"/>
      <c r="S9" s="6"/>
      <c r="T9" s="6"/>
      <c r="U9" s="41"/>
      <c r="V9" s="39"/>
      <c r="W9" s="39"/>
      <c r="X9" s="44">
        <f>IF('benefits &amp; sum'!$H$1=0.03,23.8,5.7)</f>
        <v>23.8</v>
      </c>
      <c r="Y9" s="6">
        <f t="shared" si="0"/>
        <v>1547000</v>
      </c>
      <c r="Z9" s="39"/>
      <c r="AA9" s="41">
        <f t="shared" si="1"/>
        <v>1553339.8493333333</v>
      </c>
      <c r="AB9" s="43"/>
    </row>
    <row r="10" spans="1:28">
      <c r="A10">
        <v>2020</v>
      </c>
      <c r="I10" s="39"/>
      <c r="J10" s="39"/>
      <c r="K10" s="39"/>
      <c r="L10" s="39"/>
      <c r="M10" s="39"/>
      <c r="N10" s="39"/>
      <c r="O10" s="40"/>
      <c r="P10" s="39"/>
      <c r="Q10" s="7"/>
      <c r="R10" s="6"/>
      <c r="S10" s="6"/>
      <c r="T10" s="6"/>
      <c r="U10" s="41"/>
      <c r="V10" s="39"/>
      <c r="W10" s="39"/>
      <c r="X10" s="44">
        <f>IF('benefits &amp; sum'!$H$1=0.03,26.3,6.8)</f>
        <v>26.3</v>
      </c>
      <c r="Y10" s="6">
        <f t="shared" si="0"/>
        <v>1709500</v>
      </c>
      <c r="Z10" s="39"/>
      <c r="AA10" s="41">
        <f t="shared" si="1"/>
        <v>1715839.8493333333</v>
      </c>
      <c r="AB10" s="43"/>
    </row>
    <row r="11" spans="1:28">
      <c r="A11">
        <v>2021</v>
      </c>
      <c r="I11" s="39"/>
      <c r="J11" s="39"/>
      <c r="K11" s="39"/>
      <c r="L11" s="39"/>
      <c r="M11" s="39"/>
      <c r="N11" s="39"/>
      <c r="O11" s="40"/>
      <c r="P11" s="39"/>
      <c r="Q11" s="7"/>
      <c r="R11" s="6"/>
      <c r="S11" s="6"/>
      <c r="T11" s="6"/>
      <c r="U11" s="41"/>
      <c r="V11" s="39"/>
      <c r="W11" s="39"/>
      <c r="X11" s="44">
        <f>IF('benefits &amp; sum'!$H$1=0.03,26.3,6.8)</f>
        <v>26.3</v>
      </c>
      <c r="Y11" s="6">
        <f t="shared" si="0"/>
        <v>1709500</v>
      </c>
      <c r="Z11" s="39"/>
      <c r="AA11" s="41">
        <f t="shared" si="1"/>
        <v>1715839.8493333333</v>
      </c>
      <c r="AB11" s="43"/>
    </row>
    <row r="12" spans="1:28">
      <c r="A12">
        <v>2022</v>
      </c>
      <c r="I12" s="39"/>
      <c r="J12" s="39"/>
      <c r="K12" s="39"/>
      <c r="L12" s="39"/>
      <c r="M12" s="39"/>
      <c r="N12" s="39"/>
      <c r="O12" s="40"/>
      <c r="P12" s="39"/>
      <c r="Q12" s="7"/>
      <c r="R12" s="6"/>
      <c r="S12" s="6"/>
      <c r="T12" s="6"/>
      <c r="U12" s="41"/>
      <c r="V12" s="39"/>
      <c r="W12" s="39"/>
      <c r="X12" s="44">
        <f>IF('benefits &amp; sum'!$H$1=0.03,26.3,6.8)</f>
        <v>26.3</v>
      </c>
      <c r="Y12" s="6">
        <f t="shared" si="0"/>
        <v>1709500</v>
      </c>
      <c r="Z12" s="39"/>
      <c r="AA12" s="41">
        <f t="shared" si="1"/>
        <v>1715839.8493333333</v>
      </c>
      <c r="AB12" s="43"/>
    </row>
    <row r="13" spans="1:28">
      <c r="A13">
        <v>2023</v>
      </c>
      <c r="I13" s="39"/>
      <c r="J13" s="39"/>
      <c r="K13" s="39"/>
      <c r="L13" s="39"/>
      <c r="M13" s="39"/>
      <c r="N13" s="39"/>
      <c r="O13" s="40"/>
      <c r="P13" s="39"/>
      <c r="Q13" s="7"/>
      <c r="R13" s="6"/>
      <c r="S13" s="6"/>
      <c r="T13" s="6"/>
      <c r="U13" s="41"/>
      <c r="V13" s="39"/>
      <c r="W13" s="39"/>
      <c r="X13" s="44">
        <f>IF('benefits &amp; sum'!$H$1=0.03,26.3,6.8)</f>
        <v>26.3</v>
      </c>
      <c r="Y13" s="6">
        <f t="shared" si="0"/>
        <v>1709500</v>
      </c>
      <c r="Z13" s="39"/>
      <c r="AA13" s="41">
        <f t="shared" si="1"/>
        <v>1715839.8493333333</v>
      </c>
      <c r="AB13" s="43"/>
    </row>
    <row r="14" spans="1:28">
      <c r="A14">
        <v>2024</v>
      </c>
      <c r="I14" s="39"/>
      <c r="J14" s="39"/>
      <c r="K14" s="39"/>
      <c r="L14" s="39"/>
      <c r="M14" s="39"/>
      <c r="N14" s="39"/>
      <c r="O14" s="40"/>
      <c r="P14" s="39"/>
      <c r="Q14" s="7"/>
      <c r="R14" s="6"/>
      <c r="S14" s="6"/>
      <c r="T14" s="6"/>
      <c r="U14" s="41"/>
      <c r="V14" s="39"/>
      <c r="W14" s="39"/>
      <c r="X14" s="44">
        <f>IF('benefits &amp; sum'!$H$1=0.03,26.3,6.8)</f>
        <v>26.3</v>
      </c>
      <c r="Y14" s="6">
        <f t="shared" si="0"/>
        <v>1709500</v>
      </c>
      <c r="Z14" s="39"/>
      <c r="AA14" s="41">
        <f t="shared" si="1"/>
        <v>1715839.8493333333</v>
      </c>
      <c r="AB14" s="43"/>
    </row>
    <row r="15" spans="1:28">
      <c r="A15">
        <v>2025</v>
      </c>
      <c r="I15" s="39"/>
      <c r="J15" s="39"/>
      <c r="K15" s="39"/>
      <c r="L15" s="39"/>
      <c r="M15" s="39"/>
      <c r="N15" s="39"/>
      <c r="O15" s="40"/>
      <c r="P15" s="39"/>
      <c r="Q15" s="7"/>
      <c r="R15" s="6"/>
      <c r="S15" s="6"/>
      <c r="T15" s="6"/>
      <c r="U15" s="41"/>
      <c r="V15" s="39"/>
      <c r="W15" s="39"/>
      <c r="X15" s="44">
        <f>IF('benefits &amp; sum'!$H$1=0.03,29.6,8.2)</f>
        <v>29.6</v>
      </c>
      <c r="Y15" s="6">
        <f t="shared" si="0"/>
        <v>1924000</v>
      </c>
      <c r="Z15" s="39"/>
      <c r="AA15" s="41">
        <f t="shared" si="1"/>
        <v>1930339.8493333333</v>
      </c>
      <c r="AB15" s="43"/>
    </row>
    <row r="16" spans="1:28">
      <c r="A16">
        <v>2026</v>
      </c>
      <c r="I16" s="39"/>
      <c r="J16" s="39"/>
      <c r="K16" s="39"/>
      <c r="L16" s="39"/>
      <c r="M16" s="39"/>
      <c r="N16" s="39"/>
      <c r="O16" s="40"/>
      <c r="P16" s="39"/>
      <c r="Q16" s="7"/>
      <c r="R16" s="6"/>
      <c r="S16" s="6"/>
      <c r="T16" s="6"/>
      <c r="U16" s="41"/>
      <c r="V16" s="39"/>
      <c r="W16" s="39"/>
      <c r="X16" s="44">
        <f>IF('benefits &amp; sum'!$H$1=0.03,29.6,8.2)</f>
        <v>29.6</v>
      </c>
      <c r="Y16" s="6">
        <f t="shared" si="0"/>
        <v>1924000</v>
      </c>
      <c r="Z16" s="39"/>
      <c r="AA16" s="41">
        <f t="shared" si="1"/>
        <v>1930339.8493333333</v>
      </c>
      <c r="AB16" s="43"/>
    </row>
    <row r="17" spans="1:28">
      <c r="A17">
        <v>2027</v>
      </c>
      <c r="I17" s="39"/>
      <c r="J17" s="39"/>
      <c r="K17" s="39"/>
      <c r="L17" s="39"/>
      <c r="M17" s="39"/>
      <c r="N17" s="39"/>
      <c r="O17" s="40"/>
      <c r="P17" s="39"/>
      <c r="Q17" s="7"/>
      <c r="R17" s="6"/>
      <c r="S17" s="6"/>
      <c r="T17" s="6"/>
      <c r="U17" s="41"/>
      <c r="V17" s="39"/>
      <c r="W17" s="39"/>
      <c r="X17" s="44">
        <f>IF('benefits &amp; sum'!$H$1=0.03,29.6,8.2)</f>
        <v>29.6</v>
      </c>
      <c r="Y17" s="6">
        <f t="shared" si="0"/>
        <v>1924000</v>
      </c>
      <c r="Z17" s="39"/>
      <c r="AA17" s="41">
        <f t="shared" si="1"/>
        <v>1930339.8493333333</v>
      </c>
      <c r="AB17" s="43"/>
    </row>
    <row r="18" spans="1:28">
      <c r="A18">
        <v>2028</v>
      </c>
      <c r="I18" s="39"/>
      <c r="J18" s="39"/>
      <c r="K18" s="39"/>
      <c r="L18" s="39"/>
      <c r="M18" s="39"/>
      <c r="N18" s="39"/>
      <c r="O18" s="40"/>
      <c r="P18" s="39"/>
      <c r="Q18" s="7"/>
      <c r="R18" s="6"/>
      <c r="S18" s="6"/>
      <c r="T18" s="6"/>
      <c r="U18" s="41"/>
      <c r="V18" s="39"/>
      <c r="W18" s="39"/>
      <c r="X18" s="44">
        <f>IF('benefits &amp; sum'!$H$1=0.03,29.6,8.2)</f>
        <v>29.6</v>
      </c>
      <c r="Y18" s="6">
        <f t="shared" si="0"/>
        <v>1924000</v>
      </c>
      <c r="Z18" s="39"/>
      <c r="AA18" s="41">
        <f t="shared" si="1"/>
        <v>1930339.8493333333</v>
      </c>
      <c r="AB18" s="43"/>
    </row>
    <row r="19" spans="1:28">
      <c r="A19">
        <v>2029</v>
      </c>
      <c r="I19" s="39"/>
      <c r="J19" s="39"/>
      <c r="K19" s="39"/>
      <c r="L19" s="39"/>
      <c r="M19" s="39"/>
      <c r="N19" s="39"/>
      <c r="O19" s="40"/>
      <c r="P19" s="39"/>
      <c r="Q19" s="7"/>
      <c r="R19" s="6"/>
      <c r="S19" s="6"/>
      <c r="T19" s="6"/>
      <c r="U19" s="41"/>
      <c r="V19" s="39"/>
      <c r="W19" s="39"/>
      <c r="X19" s="44">
        <f>IF('benefits &amp; sum'!$H$1=0.03,29.6,8.2)</f>
        <v>29.6</v>
      </c>
      <c r="Y19" s="6">
        <f t="shared" si="0"/>
        <v>1924000</v>
      </c>
      <c r="Z19" s="39"/>
      <c r="AA19" s="41">
        <f t="shared" si="1"/>
        <v>1930339.8493333333</v>
      </c>
      <c r="AB19" s="43"/>
    </row>
    <row r="20" spans="1:28">
      <c r="A20">
        <v>2030</v>
      </c>
      <c r="I20" s="39"/>
      <c r="J20" s="39"/>
      <c r="K20" s="39"/>
      <c r="L20" s="39"/>
      <c r="M20" s="39"/>
      <c r="N20" s="39"/>
      <c r="O20" s="40"/>
      <c r="P20" s="39"/>
      <c r="Q20" s="7"/>
      <c r="R20" s="6"/>
      <c r="S20" s="6"/>
      <c r="T20" s="6"/>
      <c r="U20" s="41"/>
      <c r="V20" s="39"/>
      <c r="W20" s="39"/>
      <c r="X20" s="44">
        <f>IF('benefits &amp; sum'!$H$1=0.03,32.8,9.7)</f>
        <v>32.799999999999997</v>
      </c>
      <c r="Y20" s="6">
        <f t="shared" si="0"/>
        <v>2132000</v>
      </c>
      <c r="Z20" s="39"/>
      <c r="AA20" s="41">
        <f t="shared" si="1"/>
        <v>2138339.8493333333</v>
      </c>
      <c r="AB20" s="43"/>
    </row>
    <row r="21" spans="1:28">
      <c r="A21">
        <v>2031</v>
      </c>
      <c r="I21" s="39"/>
      <c r="J21" s="39"/>
      <c r="K21" s="39"/>
      <c r="L21" s="39"/>
      <c r="M21" s="39"/>
      <c r="N21" s="39"/>
      <c r="O21" s="40"/>
      <c r="P21" s="39"/>
      <c r="Q21" s="7"/>
      <c r="R21" s="6"/>
      <c r="S21" s="6"/>
      <c r="T21" s="6"/>
      <c r="U21" s="41"/>
      <c r="V21" s="39"/>
      <c r="W21" s="39"/>
      <c r="X21" s="44">
        <f>IF('benefits &amp; sum'!$H$1=0.03,32.8,9.7)</f>
        <v>32.799999999999997</v>
      </c>
      <c r="Y21" s="6">
        <f t="shared" si="0"/>
        <v>2132000</v>
      </c>
      <c r="Z21" s="39"/>
      <c r="AA21" s="41">
        <f t="shared" si="1"/>
        <v>2138339.8493333333</v>
      </c>
      <c r="AB21" s="43"/>
    </row>
  </sheetData>
  <pageMargins left="0.7" right="0.7" top="0.75" bottom="0.75" header="0.3" footer="0.3"/>
  <pageSetup scale="33" fitToWidth="2" orientation="landscape" r:id="rId1"/>
  <headerFooter>
    <oddFooter>&amp;L&amp;A&amp;CPage &amp;P of &amp;N&amp;R&amp;D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check</vt:lpstr>
      <vt:lpstr>notes</vt:lpstr>
      <vt:lpstr>costs</vt:lpstr>
      <vt:lpstr>benefits &amp; sum</vt:lpstr>
      <vt:lpstr>benefitDetail</vt:lpstr>
      <vt:lpstr>costs!Print_Area</vt:lpstr>
    </vt:vector>
  </TitlesOfParts>
  <Company>MNDOT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Kathryn McFadden</dc:creator>
  <cp:lastModifiedBy>wils1joh</cp:lastModifiedBy>
  <cp:lastPrinted>2010-08-09T18:45:02Z</cp:lastPrinted>
  <dcterms:created xsi:type="dcterms:W3CDTF">2010-08-05T13:46:21Z</dcterms:created>
  <dcterms:modified xsi:type="dcterms:W3CDTF">2010-08-17T20:07:53Z</dcterms:modified>
</cp:coreProperties>
</file>