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90" windowWidth="17265" windowHeight="11850" tabRatio="950"/>
  </bookViews>
  <sheets>
    <sheet name="Project_Data" sheetId="3" r:id="rId1"/>
    <sheet name="Minimum_Parallel_Setbacks" sheetId="1" r:id="rId2"/>
    <sheet name="Number_of_Rows" sheetId="4" r:id="rId3"/>
    <sheet name="Ditch_Area_Reducing" sheetId="5" r:id="rId4"/>
    <sheet name="Reduced_Setback" sheetId="2" r:id="rId5"/>
    <sheet name="Planting_Steep_Slopes" sheetId="7" r:id="rId6"/>
    <sheet name="Data" sheetId="6" r:id="rId7"/>
    <sheet name="Greatest_Transport" sheetId="9" r:id="rId8"/>
    <sheet name="Mean_Snow_Transport" sheetId="8" r:id="rId9"/>
    <sheet name="Fence_Height" sheetId="10" r:id="rId10"/>
    <sheet name="UOFM_Data" sheetId="11" r:id="rId11"/>
  </sheets>
  <externalReferences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C64" i="3" l="1"/>
  <c r="Q67" i="3" l="1"/>
  <c r="W72" i="3"/>
  <c r="C10" i="5"/>
  <c r="W76" i="3"/>
  <c r="U40" i="3"/>
  <c r="A1" i="3"/>
  <c r="C16" i="10" l="1"/>
  <c r="C20" i="10"/>
  <c r="C18" i="10"/>
  <c r="C19" i="10"/>
  <c r="C17" i="10"/>
  <c r="C21" i="10" l="1"/>
  <c r="Q50" i="3"/>
  <c r="E17" i="1"/>
  <c r="E8" i="10"/>
  <c r="E7" i="10"/>
  <c r="E6" i="10"/>
  <c r="C11" i="8"/>
  <c r="C10" i="8"/>
  <c r="C9" i="8"/>
  <c r="C8" i="8"/>
  <c r="E11" i="7"/>
  <c r="D11" i="7"/>
  <c r="C11" i="7"/>
  <c r="C22" i="10" l="1"/>
  <c r="C23" i="10" s="1"/>
  <c r="F11" i="7"/>
  <c r="Q62" i="3" s="1"/>
  <c r="C12" i="8"/>
  <c r="Q49" i="3"/>
  <c r="Q61" i="3" l="1"/>
  <c r="E18" i="6" l="1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C12" i="2"/>
  <c r="B12" i="2"/>
  <c r="E15" i="5"/>
  <c r="H19" i="5"/>
  <c r="E11" i="5" s="1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O71" i="3" l="1"/>
  <c r="K71" i="3"/>
  <c r="H21" i="5"/>
  <c r="M71" i="3"/>
  <c r="D12" i="2"/>
  <c r="Q76" i="3" s="1"/>
  <c r="H23" i="5" l="1"/>
  <c r="Q71" i="3" s="1"/>
  <c r="Q72" i="3" s="1"/>
  <c r="C53" i="3"/>
  <c r="F53" i="3"/>
  <c r="C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F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C44" i="3"/>
  <c r="V45" i="3"/>
  <c r="X45" i="3"/>
  <c r="Z45" i="3"/>
  <c r="V46" i="3"/>
  <c r="X46" i="3"/>
  <c r="Z46" i="3"/>
  <c r="V47" i="3"/>
  <c r="X47" i="3"/>
  <c r="Z47" i="3"/>
  <c r="V48" i="3"/>
  <c r="X48" i="3"/>
  <c r="Z48" i="3"/>
  <c r="V49" i="3"/>
  <c r="X49" i="3"/>
  <c r="Z49" i="3"/>
  <c r="D17" i="1" l="1"/>
  <c r="C17" i="1"/>
  <c r="C9" i="4"/>
  <c r="Q42" i="3" s="1"/>
  <c r="B4" i="4"/>
  <c r="B3" i="4"/>
  <c r="Q77" i="3" l="1"/>
  <c r="Q68" i="3"/>
  <c r="Q73" i="3"/>
  <c r="F17" i="1"/>
  <c r="Q40" i="3" l="1"/>
</calcChain>
</file>

<file path=xl/sharedStrings.xml><?xml version="1.0" encoding="utf-8"?>
<sst xmlns="http://schemas.openxmlformats.org/spreadsheetml/2006/main" count="232" uniqueCount="160">
  <si>
    <t>Measured perpendicular to the road</t>
  </si>
  <si>
    <t>setbacks are on the order of 20 to35H pepending on porosity</t>
  </si>
  <si>
    <t>Minimum Setback for Parallel Fense to road</t>
  </si>
  <si>
    <t>H=Fence design height</t>
  </si>
  <si>
    <t>a= attack angle</t>
  </si>
  <si>
    <t>P=Porosity</t>
  </si>
  <si>
    <t>d=setback distance</t>
  </si>
  <si>
    <t>Fence Design Height</t>
  </si>
  <si>
    <t>Attack Angle</t>
  </si>
  <si>
    <t>Porosity</t>
  </si>
  <si>
    <t>What is the Fence Disgn Height?</t>
  </si>
  <si>
    <t>What is the Attack Angle?</t>
  </si>
  <si>
    <t>What is the Fence Design Porosity</t>
  </si>
  <si>
    <t>SetBack Distance from Shoulder PI</t>
  </si>
  <si>
    <t>L=length of the downwind drift</t>
  </si>
  <si>
    <t>H=Fence height</t>
  </si>
  <si>
    <t>A=Cross-sectional area of the downwind drift at a given time</t>
  </si>
  <si>
    <t>A€= Cross-sectional are of the equilibrium drift</t>
  </si>
  <si>
    <t>=</t>
  </si>
  <si>
    <t>A=</t>
  </si>
  <si>
    <t>L=</t>
  </si>
  <si>
    <t>feet</t>
  </si>
  <si>
    <t>H(10.5+6.6(A/Ae)+17.2((A/Ae)sq))</t>
  </si>
  <si>
    <t>Cross Section of equilibrium drift</t>
  </si>
  <si>
    <t>What is the Fence over Design Height?</t>
  </si>
  <si>
    <t>What is the shorten distance of an over Designed Snow Fence</t>
  </si>
  <si>
    <t>Project Data</t>
  </si>
  <si>
    <t>Project #</t>
  </si>
  <si>
    <t>Feet</t>
  </si>
  <si>
    <t>F=</t>
  </si>
  <si>
    <t>(F/Fp)sq=N</t>
  </si>
  <si>
    <t>UofM Fence Height</t>
  </si>
  <si>
    <t>Fp=</t>
  </si>
  <si>
    <t>Design proposed Height</t>
  </si>
  <si>
    <t>N=</t>
  </si>
  <si>
    <t>Number of Rows</t>
  </si>
  <si>
    <t>(8/5)sq=N=</t>
  </si>
  <si>
    <t>Rows</t>
  </si>
  <si>
    <t>Setbacks are from shoulder PI</t>
  </si>
  <si>
    <t>Page 200</t>
  </si>
  <si>
    <t>Reducing Setbacks by Over-Designing Height</t>
  </si>
  <si>
    <t>page 202</t>
  </si>
  <si>
    <t>What is the ditch depth?</t>
  </si>
  <si>
    <t>Rise</t>
  </si>
  <si>
    <t>Run</t>
  </si>
  <si>
    <t>What is the Inslope?</t>
  </si>
  <si>
    <t>What is the Backslope?</t>
  </si>
  <si>
    <t>Reducing Right-of-way taking by recalculating last row distance by adding a Snow Control graded ditch</t>
  </si>
  <si>
    <t>Area of Drift Downwind of Fence</t>
  </si>
  <si>
    <t>Area of Drift down wind of fence</t>
  </si>
  <si>
    <t>A=21.5(H)sq</t>
  </si>
  <si>
    <t>A</t>
  </si>
  <si>
    <t>Area of downwind drift</t>
  </si>
  <si>
    <t>H=</t>
  </si>
  <si>
    <t>Height of design fence</t>
  </si>
  <si>
    <t>A=21.5(</t>
  </si>
  <si>
    <t>)sq</t>
  </si>
  <si>
    <t>sqft</t>
  </si>
  <si>
    <t>SqFt</t>
  </si>
  <si>
    <t xml:space="preserve">Area of the Snow Control Graded Ditch </t>
  </si>
  <si>
    <t>length * Width</t>
  </si>
  <si>
    <t xml:space="preserve">Area of Downwind Drift = </t>
  </si>
  <si>
    <t>Area of Snow Control Ditch=</t>
  </si>
  <si>
    <t>Snow Storage of Drift with Snow Control Ditch =</t>
  </si>
  <si>
    <t xml:space="preserve">feet </t>
  </si>
  <si>
    <t>from Should PI</t>
  </si>
  <si>
    <t>+</t>
  </si>
  <si>
    <t>(</t>
  </si>
  <si>
    <t>/(</t>
  </si>
  <si>
    <t>))=</t>
  </si>
  <si>
    <t>What is the inslope of the Clear Recovery Zone?</t>
  </si>
  <si>
    <r>
      <t xml:space="preserve">What is the inslope </t>
    </r>
    <r>
      <rPr>
        <b/>
        <sz val="11"/>
        <rFont val="Calibri"/>
        <family val="2"/>
        <scheme val="minor"/>
      </rPr>
      <t xml:space="preserve">After </t>
    </r>
    <r>
      <rPr>
        <sz val="11"/>
        <rFont val="Calibri"/>
        <family val="2"/>
        <scheme val="minor"/>
      </rPr>
      <t>of the Clear Recovery Zone?</t>
    </r>
  </si>
  <si>
    <t>Page 145</t>
  </si>
  <si>
    <t>Recommended Planting Pattern for Shrubs on Steep Slopes</t>
  </si>
  <si>
    <t>Height of Maturity Plates</t>
  </si>
  <si>
    <t>a=</t>
  </si>
  <si>
    <t>Slope Angle  Rise/Run</t>
  </si>
  <si>
    <t>D=</t>
  </si>
  <si>
    <t xml:space="preserve">Distance between rows </t>
  </si>
  <si>
    <t>H/(Tan a)</t>
  </si>
  <si>
    <t>What is the Design Height of the Maturity Plates</t>
  </si>
  <si>
    <t>What is the angle of the Slope</t>
  </si>
  <si>
    <t>Tan of Angle</t>
  </si>
  <si>
    <t>Distance between Rows</t>
  </si>
  <si>
    <t>Page 235</t>
  </si>
  <si>
    <t>S  =  Snowfall over Snow Accumulation Seasonal</t>
  </si>
  <si>
    <t>:</t>
  </si>
  <si>
    <t>SWE = Snow Water Equivalent Ratio</t>
  </si>
  <si>
    <t>r = Relocation Coefficient</t>
  </si>
  <si>
    <t>Direction of greatest snow transport</t>
  </si>
  <si>
    <t>tons/foot</t>
  </si>
  <si>
    <t>P = Porosity</t>
  </si>
  <si>
    <t>Q = Mean seasonal snow transport</t>
  </si>
  <si>
    <t>H = Fence Height</t>
  </si>
  <si>
    <t>Hp = Fence Height of</t>
  </si>
  <si>
    <t>Pp = Porosity</t>
  </si>
  <si>
    <r>
      <t>Q</t>
    </r>
    <r>
      <rPr>
        <b/>
        <vertAlign val="subscript"/>
        <sz val="9"/>
        <color theme="1"/>
        <rFont val="Verdana"/>
        <family val="2"/>
      </rPr>
      <t>t</t>
    </r>
    <r>
      <rPr>
        <b/>
        <sz val="9"/>
        <color theme="1"/>
        <rFont val="Verdana"/>
        <family val="2"/>
      </rPr>
      <t xml:space="preserve"> = 1500 (S)(SWE)(r)(1-0.14</t>
    </r>
    <r>
      <rPr>
        <b/>
        <vertAlign val="superscript"/>
        <sz val="9"/>
        <color theme="1"/>
        <rFont val="Verdana"/>
        <family val="2"/>
      </rPr>
      <t>F/3000</t>
    </r>
    <r>
      <rPr>
        <b/>
        <sz val="9"/>
        <color theme="1"/>
        <rFont val="Verdana"/>
        <family val="2"/>
      </rPr>
      <t>)</t>
    </r>
  </si>
  <si>
    <t>Formula for Mean Seasonal Snow Transport</t>
  </si>
  <si>
    <t>S = mean snowfall over SAS (ft) =</t>
  </si>
  <si>
    <t>SWE = mean snow water equivalent =</t>
  </si>
  <si>
    <t>r = relocation factor =</t>
  </si>
  <si>
    <t>F = fetch distance in meters =</t>
  </si>
  <si>
    <r>
      <t>Q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= mean seasonal snow transport (t/m) =</t>
    </r>
  </si>
  <si>
    <r>
      <t>Q</t>
    </r>
    <r>
      <rPr>
        <vertAlign val="subscript"/>
        <sz val="9"/>
        <color theme="1"/>
        <rFont val="Verdana"/>
        <family val="2"/>
      </rPr>
      <t>upot</t>
    </r>
    <r>
      <rPr>
        <sz val="9"/>
        <color theme="1"/>
        <rFont val="Verdana"/>
        <family val="2"/>
      </rPr>
      <t xml:space="preserve"> = (</t>
    </r>
    <r>
      <rPr>
        <i/>
        <sz val="9"/>
        <color theme="1"/>
        <rFont val="Verdana"/>
        <family val="2"/>
      </rPr>
      <t>u</t>
    </r>
    <r>
      <rPr>
        <i/>
        <vertAlign val="subscript"/>
        <sz val="9"/>
        <color theme="1"/>
        <rFont val="Verdana"/>
        <family val="2"/>
      </rPr>
      <t>i</t>
    </r>
    <r>
      <rPr>
        <vertAlign val="superscript"/>
        <sz val="9"/>
        <color theme="1"/>
        <rFont val="Verdana"/>
        <family val="2"/>
      </rPr>
      <t>3.8</t>
    </r>
    <r>
      <rPr>
        <sz val="9"/>
        <color theme="1"/>
        <rFont val="Verdana"/>
        <family val="2"/>
      </rPr>
      <t>/233847)(</t>
    </r>
    <r>
      <rPr>
        <i/>
        <sz val="9"/>
        <color theme="1"/>
        <rFont val="Verdana"/>
        <family val="2"/>
      </rPr>
      <t>f</t>
    </r>
    <r>
      <rPr>
        <sz val="9"/>
        <color theme="1"/>
        <rFont val="Verdana"/>
        <family val="2"/>
      </rPr>
      <t>)(86400)(</t>
    </r>
    <r>
      <rPr>
        <i/>
        <sz val="9"/>
        <color theme="1"/>
        <rFont val="Verdana"/>
        <family val="2"/>
      </rPr>
      <t>n</t>
    </r>
    <r>
      <rPr>
        <sz val="9"/>
        <color theme="1"/>
        <rFont val="Verdana"/>
        <family val="2"/>
      </rPr>
      <t>)</t>
    </r>
  </si>
  <si>
    <r>
      <t>Q</t>
    </r>
    <r>
      <rPr>
        <vertAlign val="subscript"/>
        <sz val="9"/>
        <color theme="1"/>
        <rFont val="Verdana"/>
        <family val="2"/>
      </rPr>
      <t>upot</t>
    </r>
    <r>
      <rPr>
        <sz val="9"/>
        <color theme="1"/>
        <rFont val="Verdana"/>
        <family val="2"/>
      </rPr>
      <t xml:space="preserve"> is the potential snow transport in kg/m downwind from a fetch of infinite extent with an unlimited snow cover.</t>
    </r>
  </si>
  <si>
    <r>
      <t>u</t>
    </r>
    <r>
      <rPr>
        <i/>
        <vertAlign val="subscript"/>
        <sz val="9"/>
        <color theme="1"/>
        <rFont val="Verdana"/>
        <family val="2"/>
      </rPr>
      <t>i</t>
    </r>
    <r>
      <rPr>
        <sz val="9"/>
        <color theme="1"/>
        <rFont val="Verdana"/>
        <family val="2"/>
      </rPr>
      <t xml:space="preserve"> = is the midpoint of the </t>
    </r>
    <r>
      <rPr>
        <i/>
        <sz val="9"/>
        <color theme="1"/>
        <rFont val="Verdana"/>
        <family val="2"/>
      </rPr>
      <t>ith</t>
    </r>
    <r>
      <rPr>
        <sz val="9"/>
        <color theme="1"/>
        <rFont val="Verdana"/>
        <family val="2"/>
      </rPr>
      <t xml:space="preserve"> 10-m wind speed class.</t>
    </r>
  </si>
  <si>
    <r>
      <t>f</t>
    </r>
    <r>
      <rPr>
        <sz val="9"/>
        <color theme="1"/>
        <rFont val="Verdana"/>
        <family val="2"/>
      </rPr>
      <t xml:space="preserve">   = is the frequency of observations within the </t>
    </r>
    <r>
      <rPr>
        <i/>
        <sz val="9"/>
        <color theme="1"/>
        <rFont val="Verdana"/>
        <family val="2"/>
      </rPr>
      <t>u</t>
    </r>
    <r>
      <rPr>
        <i/>
        <vertAlign val="subscript"/>
        <sz val="9"/>
        <color theme="1"/>
        <rFont val="Verdana"/>
        <family val="2"/>
      </rPr>
      <t>i</t>
    </r>
    <r>
      <rPr>
        <sz val="9"/>
        <color theme="1"/>
        <rFont val="Verdana"/>
        <family val="2"/>
      </rPr>
      <t xml:space="preserve"> wind class over a month having </t>
    </r>
    <r>
      <rPr>
        <i/>
        <sz val="9"/>
        <color theme="1"/>
        <rFont val="Verdana"/>
        <family val="2"/>
      </rPr>
      <t>n</t>
    </r>
    <r>
      <rPr>
        <sz val="9"/>
        <color theme="1"/>
        <rFont val="Verdana"/>
        <family val="2"/>
      </rPr>
      <t xml:space="preserve"> days.</t>
    </r>
  </si>
  <si>
    <t>direction of greatest potential snow transport was calculated</t>
  </si>
  <si>
    <r>
      <rPr>
        <sz val="9"/>
        <color theme="1"/>
        <rFont val="Verdana"/>
        <family val="2"/>
      </rPr>
      <t xml:space="preserve">n  = a month having </t>
    </r>
    <r>
      <rPr>
        <i/>
        <sz val="9"/>
        <color theme="1"/>
        <rFont val="Verdana"/>
        <family val="2"/>
      </rPr>
      <t>n</t>
    </r>
    <r>
      <rPr>
        <sz val="9"/>
        <color theme="1"/>
        <rFont val="Verdana"/>
        <family val="2"/>
      </rPr>
      <t xml:space="preserve"> days.</t>
    </r>
  </si>
  <si>
    <t>Formula for Snow Fence Height</t>
  </si>
  <si>
    <r>
      <t>H = [Qt/(3+4P+44P</t>
    </r>
    <r>
      <rPr>
        <b/>
        <vertAlign val="superscript"/>
        <sz val="9"/>
        <color theme="1"/>
        <rFont val="Verdana"/>
        <family val="2"/>
      </rPr>
      <t>2</t>
    </r>
    <r>
      <rPr>
        <b/>
        <sz val="9"/>
        <color theme="1"/>
        <rFont val="Verdana"/>
        <family val="2"/>
      </rPr>
      <t>-60P</t>
    </r>
    <r>
      <rPr>
        <b/>
        <vertAlign val="superscript"/>
        <sz val="9"/>
        <color theme="1"/>
        <rFont val="Verdana"/>
        <family val="2"/>
      </rPr>
      <t>3</t>
    </r>
    <r>
      <rPr>
        <b/>
        <sz val="9"/>
        <color theme="1"/>
        <rFont val="Verdana"/>
        <family val="2"/>
      </rPr>
      <t>)]</t>
    </r>
    <r>
      <rPr>
        <b/>
        <vertAlign val="superscript"/>
        <sz val="9"/>
        <color theme="1"/>
        <rFont val="Verdana"/>
        <family val="2"/>
      </rPr>
      <t>0.455</t>
    </r>
  </si>
  <si>
    <t>P = porosity (decimal)</t>
  </si>
  <si>
    <t>H = Fence height (feet)</t>
  </si>
  <si>
    <t>Qt = snow transport (t/ft)</t>
  </si>
  <si>
    <t>F = Fetch Distance</t>
  </si>
  <si>
    <t>decimal</t>
  </si>
  <si>
    <t>degree</t>
  </si>
  <si>
    <r>
      <t>D = H (sin</t>
    </r>
    <r>
      <rPr>
        <b/>
        <i/>
        <sz val="9"/>
        <color theme="1"/>
        <rFont val="Symbol"/>
        <family val="1"/>
        <charset val="2"/>
      </rPr>
      <t>a</t>
    </r>
    <r>
      <rPr>
        <b/>
        <sz val="9"/>
        <color theme="1"/>
        <rFont val="Verdana"/>
        <family val="2"/>
      </rPr>
      <t>) (12 + 49P + 7P</t>
    </r>
    <r>
      <rPr>
        <b/>
        <vertAlign val="superscript"/>
        <sz val="9"/>
        <color theme="1"/>
        <rFont val="Verdana"/>
        <family val="2"/>
      </rPr>
      <t>2</t>
    </r>
    <r>
      <rPr>
        <b/>
        <sz val="9"/>
        <color theme="1"/>
        <rFont val="Verdana"/>
        <family val="2"/>
      </rPr>
      <t xml:space="preserve"> - 37P</t>
    </r>
    <r>
      <rPr>
        <b/>
        <vertAlign val="superscript"/>
        <sz val="9"/>
        <color theme="1"/>
        <rFont val="Verdana"/>
        <family val="2"/>
      </rPr>
      <t>3</t>
    </r>
    <r>
      <rPr>
        <b/>
        <sz val="9"/>
        <color theme="1"/>
        <rFont val="Verdana"/>
        <family val="2"/>
      </rPr>
      <t>)</t>
    </r>
  </si>
  <si>
    <t>Page 50</t>
  </si>
  <si>
    <r>
      <t>44P</t>
    </r>
    <r>
      <rPr>
        <b/>
        <vertAlign val="superscript"/>
        <sz val="9"/>
        <color theme="1"/>
        <rFont val="Verdana"/>
        <family val="2"/>
      </rPr>
      <t>2=</t>
    </r>
  </si>
  <si>
    <r>
      <t>P</t>
    </r>
    <r>
      <rPr>
        <b/>
        <vertAlign val="superscript"/>
        <sz val="9"/>
        <color theme="1"/>
        <rFont val="Verdana"/>
        <family val="2"/>
      </rPr>
      <t>3=</t>
    </r>
  </si>
  <si>
    <r>
      <t>60P</t>
    </r>
    <r>
      <rPr>
        <b/>
        <vertAlign val="superscript"/>
        <sz val="9"/>
        <color theme="1"/>
        <rFont val="Verdana"/>
        <family val="2"/>
      </rPr>
      <t>3=</t>
    </r>
  </si>
  <si>
    <r>
      <t>(3+4P+44P</t>
    </r>
    <r>
      <rPr>
        <b/>
        <vertAlign val="superscript"/>
        <sz val="9"/>
        <color theme="1"/>
        <rFont val="Verdana"/>
        <family val="2"/>
      </rPr>
      <t>2</t>
    </r>
    <r>
      <rPr>
        <b/>
        <sz val="9"/>
        <color theme="1"/>
        <rFont val="Verdana"/>
        <family val="2"/>
      </rPr>
      <t>-60P</t>
    </r>
    <r>
      <rPr>
        <b/>
        <vertAlign val="superscript"/>
        <sz val="9"/>
        <color theme="1"/>
        <rFont val="Verdana"/>
        <family val="2"/>
      </rPr>
      <t>3</t>
    </r>
    <r>
      <rPr>
        <b/>
        <sz val="9"/>
        <color theme="1"/>
        <rFont val="Verdana"/>
        <family val="2"/>
      </rPr>
      <t>)=</t>
    </r>
  </si>
  <si>
    <r>
      <t>[Qt/(3+4P+44P</t>
    </r>
    <r>
      <rPr>
        <b/>
        <vertAlign val="superscript"/>
        <sz val="9"/>
        <color theme="1"/>
        <rFont val="Verdana"/>
        <family val="2"/>
      </rPr>
      <t>2</t>
    </r>
    <r>
      <rPr>
        <b/>
        <sz val="9"/>
        <color theme="1"/>
        <rFont val="Verdana"/>
        <family val="2"/>
      </rPr>
      <t>-60P</t>
    </r>
    <r>
      <rPr>
        <b/>
        <vertAlign val="superscript"/>
        <sz val="9"/>
        <color theme="1"/>
        <rFont val="Verdana"/>
        <family val="2"/>
      </rPr>
      <t>3</t>
    </r>
    <r>
      <rPr>
        <b/>
        <sz val="9"/>
        <color theme="1"/>
        <rFont val="Verdana"/>
        <family val="2"/>
      </rPr>
      <t>)]=</t>
    </r>
  </si>
  <si>
    <r>
      <t>[Qt/(3+4P+44P</t>
    </r>
    <r>
      <rPr>
        <b/>
        <vertAlign val="superscript"/>
        <sz val="9"/>
        <color theme="1"/>
        <rFont val="Verdana"/>
        <family val="2"/>
      </rPr>
      <t>2</t>
    </r>
    <r>
      <rPr>
        <b/>
        <sz val="9"/>
        <color theme="1"/>
        <rFont val="Verdana"/>
        <family val="2"/>
      </rPr>
      <t>-60P</t>
    </r>
    <r>
      <rPr>
        <b/>
        <vertAlign val="superscript"/>
        <sz val="9"/>
        <color theme="1"/>
        <rFont val="Verdana"/>
        <family val="2"/>
      </rPr>
      <t>3</t>
    </r>
    <r>
      <rPr>
        <b/>
        <sz val="9"/>
        <color theme="1"/>
        <rFont val="Verdana"/>
        <family val="2"/>
      </rPr>
      <t>)]</t>
    </r>
    <r>
      <rPr>
        <b/>
        <vertAlign val="superscript"/>
        <sz val="9"/>
        <color theme="1"/>
        <rFont val="Verdana"/>
        <family val="2"/>
      </rPr>
      <t>0.455=</t>
    </r>
  </si>
  <si>
    <t>(3+4P) =</t>
  </si>
  <si>
    <r>
      <t>P</t>
    </r>
    <r>
      <rPr>
        <b/>
        <vertAlign val="superscript"/>
        <sz val="9"/>
        <color theme="1"/>
        <rFont val="Verdana"/>
        <family val="2"/>
      </rPr>
      <t>2 =</t>
    </r>
  </si>
  <si>
    <t>MnDOT Data</t>
  </si>
  <si>
    <t>Project Location</t>
  </si>
  <si>
    <t>Lane width</t>
  </si>
  <si>
    <t>Shoulder width</t>
  </si>
  <si>
    <t>Shoulder PI width</t>
  </si>
  <si>
    <t>U of M signal Fence Data</t>
  </si>
  <si>
    <t>A.)</t>
  </si>
  <si>
    <t>1.) What is the U of M's recommendated setback for a "Single Parallel Fence Placement" from Shoulder PI?</t>
  </si>
  <si>
    <t>B.)</t>
  </si>
  <si>
    <t>C.)</t>
  </si>
  <si>
    <t xml:space="preserve">1.) 1st row of Fencing (Living snow fence) setback is set by the chart at right.  </t>
  </si>
  <si>
    <t>2.) Setback starts at Should PI.</t>
  </si>
  <si>
    <t>3.) What is the 1st row setback by slope from chart?</t>
  </si>
  <si>
    <t>4.) What is the Maximum Height of Plant?</t>
  </si>
  <si>
    <t>A.)  Enter the data from the U of M's Analysis of Snow Climatology Web Site</t>
  </si>
  <si>
    <t>At a Height of</t>
  </si>
  <si>
    <t>Analysis of Snow Climatolory</t>
  </si>
  <si>
    <t>B.) Multiple fences</t>
  </si>
  <si>
    <t>C.) Reducing the setback distance of U of M recommendation by Snow Control Ditch Grading Ditch:</t>
  </si>
  <si>
    <t>1.) The height of the Mature Plant or Structural Fence is.</t>
  </si>
  <si>
    <t>2.) The distance between rows form chart is.</t>
  </si>
  <si>
    <t>1.) Orgininal Final Row Distance between last and final row is.</t>
  </si>
  <si>
    <t>2.) Right-of-Way need is first row + each row + final row + 2 feet is.</t>
  </si>
  <si>
    <t>1.) Precentage of final row length.</t>
  </si>
  <si>
    <t>2.) Final Snow Fence Length between last and final row is.</t>
  </si>
  <si>
    <t>3.) Right-of-Way need is first row + each row + final row + 2 feet is.</t>
  </si>
  <si>
    <t>1.) Reduced Final Snow Fence Length between last and final row is.</t>
  </si>
  <si>
    <t xml:space="preserve">Reducing Right-of-way further by Over-Designing Fence Height. </t>
  </si>
  <si>
    <t>Same for both living snow fence and structural snow fence</t>
  </si>
  <si>
    <t>Design enhancements to the Uof M Recommendation</t>
  </si>
  <si>
    <t>DISTANCE BETWEEN CONSECUTIVE ROWS, BUT NOT BETWEEN THE SECOND TO LAST ROW AND THE FINAL ROW</t>
  </si>
  <si>
    <t>2.) How many rows are needed?</t>
  </si>
  <si>
    <t>What is the ditch bottom width?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</si>
</sst>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vertAlign val="subscript"/>
      <sz val="9"/>
      <color theme="1"/>
      <name val="Verdana"/>
      <family val="2"/>
    </font>
    <font>
      <i/>
      <sz val="9"/>
      <color theme="1"/>
      <name val="Verdana"/>
      <family val="2"/>
    </font>
    <font>
      <sz val="14"/>
      <color rgb="FF333399"/>
      <name val="Verdana"/>
      <family val="2"/>
    </font>
    <font>
      <b/>
      <vertAlign val="subscript"/>
      <sz val="9"/>
      <color theme="1"/>
      <name val="Verdana"/>
      <family val="2"/>
    </font>
    <font>
      <b/>
      <vertAlign val="superscript"/>
      <sz val="9"/>
      <color theme="1"/>
      <name val="Verdana"/>
      <family val="2"/>
    </font>
    <font>
      <i/>
      <vertAlign val="subscript"/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i/>
      <sz val="9"/>
      <color theme="1"/>
      <name val="Symbol"/>
      <family val="1"/>
      <charset val="2"/>
    </font>
    <font>
      <sz val="14"/>
      <color rgb="FF0070C0"/>
      <name val="Verdana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17" xfId="0" applyBorder="1"/>
    <xf numFmtId="0" fontId="0" fillId="4" borderId="3" xfId="0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Border="1"/>
    <xf numFmtId="0" fontId="0" fillId="3" borderId="22" xfId="0" applyFill="1" applyBorder="1"/>
    <xf numFmtId="0" fontId="0" fillId="3" borderId="23" xfId="0" applyFill="1" applyBorder="1"/>
    <xf numFmtId="0" fontId="0" fillId="3" borderId="21" xfId="0" applyFill="1" applyBorder="1"/>
    <xf numFmtId="0" fontId="0" fillId="3" borderId="24" xfId="0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/>
    </xf>
    <xf numFmtId="0" fontId="0" fillId="5" borderId="26" xfId="0" applyFill="1" applyBorder="1"/>
    <xf numFmtId="0" fontId="0" fillId="5" borderId="28" xfId="0" applyFill="1" applyBorder="1"/>
    <xf numFmtId="1" fontId="1" fillId="3" borderId="29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/>
    <xf numFmtId="16" fontId="0" fillId="6" borderId="0" xfId="0" applyNumberFormat="1" applyFill="1"/>
    <xf numFmtId="0" fontId="0" fillId="4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4" borderId="17" xfId="0" applyFont="1" applyFill="1" applyBorder="1"/>
    <xf numFmtId="1" fontId="3" fillId="3" borderId="29" xfId="0" applyNumberFormat="1" applyFont="1" applyFill="1" applyBorder="1" applyAlignment="1">
      <alignment vertical="center"/>
    </xf>
    <xf numFmtId="0" fontId="2" fillId="4" borderId="32" xfId="0" applyFont="1" applyFill="1" applyBorder="1"/>
    <xf numFmtId="1" fontId="2" fillId="4" borderId="12" xfId="0" applyNumberFormat="1" applyFont="1" applyFill="1" applyBorder="1"/>
    <xf numFmtId="1" fontId="2" fillId="4" borderId="13" xfId="0" applyNumberFormat="1" applyFont="1" applyFill="1" applyBorder="1"/>
    <xf numFmtId="1" fontId="2" fillId="4" borderId="15" xfId="0" applyNumberFormat="1" applyFont="1" applyFill="1" applyBorder="1"/>
    <xf numFmtId="1" fontId="2" fillId="4" borderId="16" xfId="0" applyNumberFormat="1" applyFont="1" applyFill="1" applyBorder="1"/>
    <xf numFmtId="1" fontId="2" fillId="4" borderId="41" xfId="0" applyNumberFormat="1" applyFont="1" applyFill="1" applyBorder="1"/>
    <xf numFmtId="1" fontId="2" fillId="4" borderId="42" xfId="0" applyNumberFormat="1" applyFont="1" applyFill="1" applyBorder="1"/>
    <xf numFmtId="1" fontId="2" fillId="4" borderId="43" xfId="0" applyNumberFormat="1" applyFont="1" applyFill="1" applyBorder="1"/>
    <xf numFmtId="0" fontId="2" fillId="4" borderId="31" xfId="0" applyFont="1" applyFill="1" applyBorder="1" applyAlignment="1">
      <alignment horizontal="center" vertical="center"/>
    </xf>
    <xf numFmtId="1" fontId="3" fillId="3" borderId="29" xfId="0" applyNumberFormat="1" applyFont="1" applyFill="1" applyBorder="1" applyAlignment="1">
      <alignment horizontal="center" vertical="center"/>
    </xf>
    <xf numFmtId="0" fontId="3" fillId="4" borderId="35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2" fillId="4" borderId="31" xfId="0" applyFont="1" applyFill="1" applyBorder="1"/>
    <xf numFmtId="0" fontId="6" fillId="4" borderId="0" xfId="0" applyFont="1" applyFill="1" applyBorder="1"/>
    <xf numFmtId="0" fontId="5" fillId="4" borderId="29" xfId="0" applyFont="1" applyFill="1" applyBorder="1" applyAlignment="1">
      <alignment vertical="center" textRotation="90"/>
    </xf>
    <xf numFmtId="0" fontId="2" fillId="4" borderId="3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51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4" borderId="39" xfId="0" applyFont="1" applyFill="1" applyBorder="1"/>
    <xf numFmtId="1" fontId="2" fillId="4" borderId="39" xfId="0" applyNumberFormat="1" applyFont="1" applyFill="1" applyBorder="1"/>
    <xf numFmtId="0" fontId="2" fillId="4" borderId="44" xfId="0" applyFont="1" applyFill="1" applyBorder="1"/>
    <xf numFmtId="0" fontId="3" fillId="3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1" fontId="0" fillId="7" borderId="4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0" xfId="0" applyFill="1"/>
    <xf numFmtId="0" fontId="0" fillId="4" borderId="0" xfId="0" applyFill="1"/>
    <xf numFmtId="0" fontId="0" fillId="6" borderId="0" xfId="0" quotePrefix="1" applyFill="1" applyAlignment="1">
      <alignment horizontal="center" vertical="center"/>
    </xf>
    <xf numFmtId="1" fontId="0" fillId="6" borderId="0" xfId="0" applyNumberFormat="1" applyFill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12" fillId="6" borderId="0" xfId="0" applyFont="1" applyFill="1" applyAlignment="1">
      <alignment vertical="center"/>
    </xf>
    <xf numFmtId="0" fontId="9" fillId="6" borderId="0" xfId="0" applyFont="1" applyFill="1" applyAlignment="1">
      <alignment vertical="center" wrapText="1"/>
    </xf>
    <xf numFmtId="0" fontId="0" fillId="6" borderId="0" xfId="0" applyFill="1" applyAlignment="1">
      <alignment horizontal="left" vertical="center" wrapText="1" indent="1"/>
    </xf>
    <xf numFmtId="0" fontId="2" fillId="6" borderId="0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right" vertical="center" wrapText="1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8" fillId="5" borderId="0" xfId="0" applyFont="1" applyFill="1" applyAlignment="1">
      <alignment horizontal="right" vertical="center" wrapText="1" indent="1"/>
    </xf>
    <xf numFmtId="164" fontId="0" fillId="3" borderId="0" xfId="0" applyNumberFormat="1" applyFill="1" applyAlignment="1">
      <alignment horizontal="center"/>
    </xf>
    <xf numFmtId="2" fontId="8" fillId="0" borderId="0" xfId="0" applyNumberFormat="1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2" fontId="8" fillId="7" borderId="0" xfId="0" applyNumberFormat="1" applyFont="1" applyFill="1" applyAlignment="1">
      <alignment vertical="center" wrapText="1"/>
    </xf>
    <xf numFmtId="2" fontId="8" fillId="3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 wrapText="1"/>
    </xf>
    <xf numFmtId="1" fontId="3" fillId="7" borderId="7" xfId="0" applyNumberFormat="1" applyFont="1" applyFill="1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right" vertical="center"/>
    </xf>
    <xf numFmtId="0" fontId="2" fillId="4" borderId="53" xfId="0" applyFont="1" applyFill="1" applyBorder="1"/>
    <xf numFmtId="0" fontId="3" fillId="4" borderId="0" xfId="0" applyFont="1" applyFill="1" applyBorder="1" applyAlignment="1">
      <alignment horizontal="center" vertical="center"/>
    </xf>
    <xf numFmtId="1" fontId="3" fillId="4" borderId="54" xfId="0" applyNumberFormat="1" applyFont="1" applyFill="1" applyBorder="1" applyAlignment="1">
      <alignment horizontal="right" vertical="center"/>
    </xf>
    <xf numFmtId="0" fontId="3" fillId="4" borderId="54" xfId="0" applyFont="1" applyFill="1" applyBorder="1" applyAlignment="1">
      <alignment horizontal="center" vertical="center"/>
    </xf>
    <xf numFmtId="0" fontId="2" fillId="4" borderId="55" xfId="0" applyFont="1" applyFill="1" applyBorder="1"/>
    <xf numFmtId="0" fontId="3" fillId="4" borderId="32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/>
    </xf>
    <xf numFmtId="0" fontId="0" fillId="4" borderId="0" xfId="0" applyFill="1" applyBorder="1"/>
    <xf numFmtId="0" fontId="3" fillId="4" borderId="32" xfId="0" applyFont="1" applyFill="1" applyBorder="1"/>
    <xf numFmtId="1" fontId="1" fillId="4" borderId="32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2" fillId="4" borderId="34" xfId="0" applyFont="1" applyFill="1" applyBorder="1"/>
    <xf numFmtId="1" fontId="3" fillId="4" borderId="32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0" fontId="0" fillId="4" borderId="0" xfId="0" applyFill="1" applyBorder="1" applyAlignment="1">
      <alignment horizontal="right"/>
    </xf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3" fillId="4" borderId="3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/>
    </xf>
    <xf numFmtId="1" fontId="2" fillId="4" borderId="0" xfId="0" applyNumberFormat="1" applyFont="1" applyFill="1" applyBorder="1"/>
    <xf numFmtId="1" fontId="2" fillId="4" borderId="57" xfId="0" applyNumberFormat="1" applyFont="1" applyFill="1" applyBorder="1"/>
    <xf numFmtId="0" fontId="3" fillId="3" borderId="45" xfId="0" applyFont="1" applyFill="1" applyBorder="1" applyAlignment="1">
      <alignment horizontal="center" vertical="center"/>
    </xf>
    <xf numFmtId="0" fontId="9" fillId="6" borderId="0" xfId="0" applyFont="1" applyFill="1" applyAlignment="1"/>
    <xf numFmtId="0" fontId="8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 indent="1"/>
    </xf>
    <xf numFmtId="0" fontId="11" fillId="6" borderId="0" xfId="0" applyFont="1" applyFill="1" applyAlignment="1">
      <alignment horizontal="left" vertical="center"/>
    </xf>
    <xf numFmtId="0" fontId="0" fillId="6" borderId="58" xfId="0" applyFill="1" applyBorder="1" applyAlignment="1"/>
    <xf numFmtId="0" fontId="0" fillId="6" borderId="0" xfId="0" applyFill="1" applyBorder="1"/>
    <xf numFmtId="0" fontId="0" fillId="4" borderId="59" xfId="0" applyFill="1" applyBorder="1" applyAlignment="1"/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3" xfId="0" applyNumberFormat="1" applyFill="1" applyBorder="1"/>
    <xf numFmtId="0" fontId="0" fillId="4" borderId="14" xfId="0" applyFill="1" applyBorder="1" applyAlignment="1">
      <alignment horizontal="center" vertical="center"/>
    </xf>
    <xf numFmtId="2" fontId="0" fillId="4" borderId="16" xfId="0" applyNumberFormat="1" applyFill="1" applyBorder="1"/>
    <xf numFmtId="0" fontId="0" fillId="6" borderId="0" xfId="0" applyFill="1" applyBorder="1" applyAlignment="1">
      <alignment horizontal="center" vertical="center"/>
    </xf>
    <xf numFmtId="2" fontId="0" fillId="6" borderId="0" xfId="0" applyNumberFormat="1" applyFill="1" applyBorder="1"/>
    <xf numFmtId="0" fontId="0" fillId="6" borderId="56" xfId="0" applyFill="1" applyBorder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3" borderId="0" xfId="0" applyFill="1"/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6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indent="3"/>
    </xf>
    <xf numFmtId="0" fontId="2" fillId="4" borderId="0" xfId="0" applyFont="1" applyFill="1" applyBorder="1" applyAlignment="1" applyProtection="1">
      <alignment horizontal="left" vertical="center" indent="3"/>
    </xf>
    <xf numFmtId="0" fontId="2" fillId="4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4" borderId="0" xfId="0" applyFont="1" applyFill="1" applyBorder="1" applyProtection="1"/>
    <xf numFmtId="0" fontId="2" fillId="4" borderId="0" xfId="0" applyFont="1" applyFill="1" applyBorder="1" applyProtection="1"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/>
    <xf numFmtId="1" fontId="3" fillId="4" borderId="17" xfId="0" applyNumberFormat="1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vertical="center"/>
    </xf>
    <xf numFmtId="0" fontId="0" fillId="4" borderId="33" xfId="0" applyFill="1" applyBorder="1" applyProtection="1"/>
    <xf numFmtId="0" fontId="0" fillId="4" borderId="47" xfId="0" applyFill="1" applyBorder="1" applyProtection="1"/>
    <xf numFmtId="0" fontId="0" fillId="4" borderId="31" xfId="0" applyFill="1" applyBorder="1" applyProtection="1"/>
    <xf numFmtId="0" fontId="6" fillId="4" borderId="0" xfId="0" applyFont="1" applyFill="1" applyBorder="1" applyAlignment="1" applyProtection="1">
      <alignment horizontal="left" indent="2"/>
    </xf>
    <xf numFmtId="0" fontId="0" fillId="8" borderId="58" xfId="0" applyFill="1" applyBorder="1" applyProtection="1">
      <protection locked="0"/>
    </xf>
    <xf numFmtId="0" fontId="0" fillId="8" borderId="57" xfId="0" applyFill="1" applyBorder="1" applyProtection="1">
      <protection locked="0"/>
    </xf>
    <xf numFmtId="0" fontId="0" fillId="8" borderId="68" xfId="0" applyFill="1" applyBorder="1" applyProtection="1">
      <protection locked="0"/>
    </xf>
    <xf numFmtId="0" fontId="0" fillId="8" borderId="66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56" xfId="0" applyFill="1" applyBorder="1" applyProtection="1">
      <protection locked="0"/>
    </xf>
    <xf numFmtId="0" fontId="2" fillId="8" borderId="66" xfId="0" applyFont="1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0" fontId="2" fillId="8" borderId="56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Protection="1"/>
    <xf numFmtId="0" fontId="6" fillId="4" borderId="34" xfId="0" applyFont="1" applyFill="1" applyBorder="1" applyAlignment="1">
      <alignment horizontal="left" vertical="center" indent="2"/>
    </xf>
    <xf numFmtId="0" fontId="3" fillId="4" borderId="0" xfId="0" applyFont="1" applyFill="1" applyBorder="1" applyAlignment="1" applyProtection="1">
      <alignment horizontal="left" vertical="center" indent="4"/>
    </xf>
    <xf numFmtId="0" fontId="3" fillId="4" borderId="0" xfId="0" applyFont="1" applyFill="1" applyBorder="1" applyAlignment="1">
      <alignment horizontal="left" indent="2"/>
    </xf>
    <xf numFmtId="0" fontId="6" fillId="4" borderId="34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vertical="center" textRotation="90"/>
    </xf>
    <xf numFmtId="0" fontId="5" fillId="4" borderId="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 textRotation="90"/>
    </xf>
    <xf numFmtId="0" fontId="5" fillId="4" borderId="66" xfId="0" applyFont="1" applyFill="1" applyBorder="1" applyAlignment="1">
      <alignment horizontal="center" vertical="center"/>
    </xf>
    <xf numFmtId="0" fontId="2" fillId="4" borderId="34" xfId="0" applyFont="1" applyFill="1" applyBorder="1" applyAlignment="1" applyProtection="1"/>
    <xf numFmtId="0" fontId="0" fillId="4" borderId="66" xfId="0" applyFill="1" applyBorder="1"/>
    <xf numFmtId="0" fontId="5" fillId="4" borderId="66" xfId="0" applyFont="1" applyFill="1" applyBorder="1" applyAlignment="1">
      <alignment horizontal="center" vertical="center" wrapText="1"/>
    </xf>
    <xf numFmtId="0" fontId="2" fillId="4" borderId="72" xfId="0" applyFont="1" applyFill="1" applyBorder="1"/>
    <xf numFmtId="0" fontId="2" fillId="4" borderId="73" xfId="0" applyFont="1" applyFill="1" applyBorder="1"/>
    <xf numFmtId="0" fontId="2" fillId="4" borderId="75" xfId="0" applyFont="1" applyFill="1" applyBorder="1"/>
    <xf numFmtId="1" fontId="2" fillId="4" borderId="69" xfId="0" applyNumberFormat="1" applyFont="1" applyFill="1" applyBorder="1"/>
    <xf numFmtId="1" fontId="2" fillId="4" borderId="70" xfId="0" applyNumberFormat="1" applyFont="1" applyFill="1" applyBorder="1"/>
    <xf numFmtId="0" fontId="2" fillId="4" borderId="23" xfId="0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left" vertical="top"/>
    </xf>
    <xf numFmtId="1" fontId="2" fillId="4" borderId="8" xfId="0" applyNumberFormat="1" applyFont="1" applyFill="1" applyBorder="1"/>
    <xf numFmtId="1" fontId="2" fillId="4" borderId="9" xfId="0" applyNumberFormat="1" applyFont="1" applyFill="1" applyBorder="1"/>
    <xf numFmtId="1" fontId="2" fillId="4" borderId="10" xfId="0" applyNumberFormat="1" applyFont="1" applyFill="1" applyBorder="1"/>
    <xf numFmtId="0" fontId="4" fillId="4" borderId="4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2" fontId="3" fillId="3" borderId="29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3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 indent="2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indent="4"/>
    </xf>
    <xf numFmtId="0" fontId="2" fillId="4" borderId="0" xfId="0" applyFont="1" applyFill="1" applyBorder="1" applyAlignment="1">
      <alignment horizontal="left" indent="7"/>
    </xf>
    <xf numFmtId="0" fontId="3" fillId="0" borderId="0" xfId="0" applyFont="1" applyFill="1" applyBorder="1" applyAlignment="1" applyProtection="1">
      <alignment horizontal="left" vertical="center" wrapText="1" indent="2"/>
    </xf>
    <xf numFmtId="0" fontId="6" fillId="4" borderId="34" xfId="0" applyFont="1" applyFill="1" applyBorder="1" applyAlignment="1">
      <alignment horizontal="left" vertical="center" wrapText="1" indent="2"/>
    </xf>
    <xf numFmtId="0" fontId="6" fillId="4" borderId="53" xfId="0" applyFont="1" applyFill="1" applyBorder="1" applyAlignment="1">
      <alignment horizontal="left" vertical="center" wrapText="1" indent="2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2" fillId="4" borderId="6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48" xfId="0" applyFont="1" applyFill="1" applyBorder="1" applyAlignment="1">
      <alignment horizontal="center" vertical="center" textRotation="90"/>
    </xf>
    <xf numFmtId="0" fontId="5" fillId="4" borderId="49" xfId="0" applyFont="1" applyFill="1" applyBorder="1" applyAlignment="1">
      <alignment horizontal="center" vertical="center" textRotation="90"/>
    </xf>
    <xf numFmtId="0" fontId="5" fillId="4" borderId="50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19" fillId="8" borderId="66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56" xfId="0" applyFont="1" applyFill="1" applyBorder="1" applyAlignment="1" applyProtection="1">
      <alignment horizontal="center" vertical="center" wrapText="1"/>
      <protection locked="0"/>
    </xf>
    <xf numFmtId="0" fontId="19" fillId="8" borderId="62" xfId="0" applyFont="1" applyFill="1" applyBorder="1" applyAlignment="1" applyProtection="1">
      <alignment horizontal="center" vertical="center" wrapText="1"/>
      <protection locked="0"/>
    </xf>
    <xf numFmtId="0" fontId="19" fillId="8" borderId="63" xfId="0" applyFont="1" applyFill="1" applyBorder="1" applyAlignment="1" applyProtection="1">
      <alignment horizontal="center" vertical="center" wrapText="1"/>
      <protection locked="0"/>
    </xf>
    <xf numFmtId="0" fontId="19" fillId="8" borderId="64" xfId="0" applyFont="1" applyFill="1" applyBorder="1" applyAlignment="1" applyProtection="1">
      <alignment horizontal="center" vertical="center" wrapText="1"/>
      <protection locked="0"/>
    </xf>
    <xf numFmtId="164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36" xfId="0" applyNumberFormat="1" applyFont="1" applyFill="1" applyBorder="1" applyAlignment="1" applyProtection="1">
      <alignment horizontal="center" vertical="center"/>
      <protection locked="0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36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2" fillId="4" borderId="71" xfId="0" applyFont="1" applyFill="1" applyBorder="1" applyAlignment="1" applyProtection="1">
      <alignment horizontal="center"/>
    </xf>
    <xf numFmtId="0" fontId="5" fillId="4" borderId="48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4" borderId="76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3" fillId="4" borderId="78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5" borderId="18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climate.umn.edu/snow_fence/Components/Design/introduction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53339</xdr:colOff>
      <xdr:row>15</xdr:row>
      <xdr:rowOff>55108</xdr:rowOff>
    </xdr:from>
    <xdr:to>
      <xdr:col>25</xdr:col>
      <xdr:colOff>276224</xdr:colOff>
      <xdr:row>17</xdr:row>
      <xdr:rowOff>161925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839" y="3198358"/>
          <a:ext cx="851535" cy="506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wise/pw_working/moli1den/d1601369/Horizontal_Spacing_Pl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wise/pw_working/moli1den/d1611831/Horizontal_Spacing_Pl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ical_Format"/>
      <sheetName val="Horizontal_Forment"/>
      <sheetName val="First_Row_Placement"/>
      <sheetName val="First_Row_Height"/>
      <sheetName val="Sheet1"/>
    </sheetNames>
    <sheetDataSet>
      <sheetData sheetId="0"/>
      <sheetData sheetId="1">
        <row r="3">
          <cell r="B3" t="str">
            <v>SLOPE</v>
          </cell>
          <cell r="E3" t="str">
            <v>HEIGHT OF MATURITY PLANT - IN FEET</v>
          </cell>
        </row>
        <row r="4">
          <cell r="B4" t="str">
            <v>RUN/RISE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</row>
        <row r="5">
          <cell r="E5" t="str">
            <v>DISTANCE BETWEEN ROWS - IN FEET</v>
          </cell>
        </row>
        <row r="6">
          <cell r="B6">
            <v>3</v>
          </cell>
          <cell r="C6" t="str">
            <v>TO</v>
          </cell>
          <cell r="D6">
            <v>1</v>
          </cell>
          <cell r="E6">
            <v>11.552228145109108</v>
          </cell>
          <cell r="F6">
            <v>14.440285181386386</v>
          </cell>
          <cell r="G6">
            <v>17.328342217663664</v>
          </cell>
          <cell r="H6">
            <v>20.216399253940939</v>
          </cell>
          <cell r="I6">
            <v>23.104456290218216</v>
          </cell>
          <cell r="J6">
            <v>25.992513326495494</v>
          </cell>
          <cell r="K6">
            <v>28.880570362772772</v>
          </cell>
          <cell r="L6">
            <v>31.768627399050047</v>
          </cell>
          <cell r="M6">
            <v>34.656684435327328</v>
          </cell>
          <cell r="N6">
            <v>37.544741471604603</v>
          </cell>
          <cell r="O6">
            <v>40.432798507881877</v>
          </cell>
          <cell r="P6">
            <v>43.320855544159159</v>
          </cell>
          <cell r="Q6">
            <v>46.208912580436433</v>
          </cell>
          <cell r="R6">
            <v>49.096969616713707</v>
          </cell>
          <cell r="S6">
            <v>51.985026652990989</v>
          </cell>
          <cell r="T6">
            <v>54.873083689268263</v>
          </cell>
          <cell r="U6">
            <v>57.761140725545545</v>
          </cell>
          <cell r="V6">
            <v>60.649197761822819</v>
          </cell>
          <cell r="W6">
            <v>63.537254798100093</v>
          </cell>
          <cell r="X6">
            <v>66.425311834377368</v>
          </cell>
          <cell r="Y6">
            <v>69.313368870654656</v>
          </cell>
          <cell r="Z6">
            <v>72.201425906931931</v>
          </cell>
        </row>
        <row r="7">
          <cell r="B7">
            <v>4</v>
          </cell>
          <cell r="C7" t="str">
            <v>TO</v>
          </cell>
          <cell r="D7">
            <v>1</v>
          </cell>
          <cell r="E7">
            <v>15.66526945858376</v>
          </cell>
          <cell r="F7">
            <v>19.581586823229699</v>
          </cell>
          <cell r="G7">
            <v>23.497904187875641</v>
          </cell>
          <cell r="H7">
            <v>27.414221552521582</v>
          </cell>
          <cell r="I7">
            <v>31.330538917167519</v>
          </cell>
          <cell r="J7">
            <v>35.246856281813457</v>
          </cell>
          <cell r="K7">
            <v>39.163173646459398</v>
          </cell>
          <cell r="L7">
            <v>43.07949101110534</v>
          </cell>
          <cell r="M7">
            <v>46.995808375751281</v>
          </cell>
          <cell r="N7">
            <v>50.912125740397222</v>
          </cell>
          <cell r="O7">
            <v>54.828443105043164</v>
          </cell>
          <cell r="P7">
            <v>58.744760469689098</v>
          </cell>
          <cell r="Q7">
            <v>62.661077834335039</v>
          </cell>
          <cell r="R7">
            <v>66.57739519898098</v>
          </cell>
          <cell r="S7">
            <v>70.493712563626914</v>
          </cell>
          <cell r="T7">
            <v>74.410029928272863</v>
          </cell>
          <cell r="U7">
            <v>78.326347292918797</v>
          </cell>
          <cell r="V7">
            <v>82.242664657564745</v>
          </cell>
          <cell r="W7">
            <v>86.158982022210679</v>
          </cell>
          <cell r="X7">
            <v>90.075299386856614</v>
          </cell>
          <cell r="Y7">
            <v>93.991616751502562</v>
          </cell>
          <cell r="Z7">
            <v>97.907934116148496</v>
          </cell>
        </row>
        <row r="8">
          <cell r="B8">
            <v>5</v>
          </cell>
          <cell r="C8" t="str">
            <v>TO</v>
          </cell>
          <cell r="D8">
            <v>1</v>
          </cell>
          <cell r="E8">
            <v>19.732619502347571</v>
          </cell>
          <cell r="F8">
            <v>24.665774377934465</v>
          </cell>
          <cell r="G8">
            <v>29.598929253521359</v>
          </cell>
          <cell r="H8">
            <v>34.532084129108249</v>
          </cell>
          <cell r="I8">
            <v>39.465239004695142</v>
          </cell>
          <cell r="J8">
            <v>44.398393880282036</v>
          </cell>
          <cell r="K8">
            <v>49.33154875586893</v>
          </cell>
          <cell r="L8">
            <v>54.264703631455824</v>
          </cell>
          <cell r="M8">
            <v>59.197858507042717</v>
          </cell>
          <cell r="N8">
            <v>64.131013382629618</v>
          </cell>
          <cell r="O8">
            <v>69.064168258216498</v>
          </cell>
          <cell r="P8">
            <v>73.997323133803391</v>
          </cell>
          <cell r="Q8">
            <v>78.930478009390285</v>
          </cell>
          <cell r="R8">
            <v>83.863632884977179</v>
          </cell>
          <cell r="S8">
            <v>88.796787760564072</v>
          </cell>
          <cell r="T8">
            <v>93.729942636150966</v>
          </cell>
          <cell r="U8">
            <v>98.66309751173786</v>
          </cell>
          <cell r="V8">
            <v>103.59625238732475</v>
          </cell>
          <cell r="W8">
            <v>108.52940726291165</v>
          </cell>
          <cell r="X8">
            <v>113.46256213849854</v>
          </cell>
          <cell r="Y8">
            <v>118.39571701408543</v>
          </cell>
          <cell r="Z8">
            <v>123.32887188967233</v>
          </cell>
        </row>
        <row r="9">
          <cell r="B9">
            <v>6</v>
          </cell>
          <cell r="C9" t="str">
            <v>TO</v>
          </cell>
          <cell r="D9">
            <v>1</v>
          </cell>
          <cell r="E9">
            <v>23.777365163427184</v>
          </cell>
          <cell r="F9">
            <v>29.721706454283979</v>
          </cell>
          <cell r="G9">
            <v>35.666047745140773</v>
          </cell>
          <cell r="H9">
            <v>41.610389035997571</v>
          </cell>
          <cell r="I9">
            <v>47.554730326854369</v>
          </cell>
          <cell r="J9">
            <v>53.499071617711166</v>
          </cell>
          <cell r="K9">
            <v>59.443412908567957</v>
          </cell>
          <cell r="L9">
            <v>65.387754199424762</v>
          </cell>
          <cell r="M9">
            <v>71.332095490281546</v>
          </cell>
          <cell r="N9">
            <v>77.276436781138344</v>
          </cell>
          <cell r="O9">
            <v>83.220778071995142</v>
          </cell>
          <cell r="P9">
            <v>89.165119362851939</v>
          </cell>
          <cell r="Q9">
            <v>95.109460653708737</v>
          </cell>
          <cell r="R9">
            <v>101.05380194456554</v>
          </cell>
          <cell r="S9">
            <v>106.99814323542233</v>
          </cell>
          <cell r="T9">
            <v>112.94248452627913</v>
          </cell>
          <cell r="U9">
            <v>118.88682581713591</v>
          </cell>
          <cell r="V9">
            <v>124.83116710799271</v>
          </cell>
          <cell r="W9">
            <v>130.77550839884952</v>
          </cell>
          <cell r="X9">
            <v>136.71984968970631</v>
          </cell>
          <cell r="Y9">
            <v>142.66419098056309</v>
          </cell>
          <cell r="Z9">
            <v>148.6085322714199</v>
          </cell>
        </row>
      </sheetData>
      <sheetData sheetId="2">
        <row r="2">
          <cell r="B2" t="str">
            <v xml:space="preserve">MINIMUM SET BACK AND HEIGHT OF MATURE PLANTS FOR FIRST ROW </v>
          </cell>
        </row>
        <row r="3">
          <cell r="B3" t="str">
            <v>SLOPE OF</v>
          </cell>
          <cell r="C3" t="str">
            <v>SET BACK</v>
          </cell>
          <cell r="D3" t="str">
            <v>HEIGHT</v>
          </cell>
        </row>
        <row r="4">
          <cell r="B4" t="str">
            <v>3 TO 1</v>
          </cell>
          <cell r="C4" t="str">
            <v>35'-0"</v>
          </cell>
          <cell r="D4" t="str">
            <v>8'-0"</v>
          </cell>
        </row>
        <row r="5">
          <cell r="B5" t="str">
            <v>4 TO 1</v>
          </cell>
          <cell r="C5" t="str">
            <v>35'-0"</v>
          </cell>
          <cell r="D5" t="str">
            <v>5'-0"</v>
          </cell>
        </row>
        <row r="6">
          <cell r="B6" t="str">
            <v>5 TO 1</v>
          </cell>
          <cell r="C6" t="str">
            <v>44'-0"</v>
          </cell>
          <cell r="D6" t="str">
            <v>4'-0"</v>
          </cell>
        </row>
        <row r="7">
          <cell r="B7" t="str">
            <v>6 TO 1</v>
          </cell>
          <cell r="C7" t="str">
            <v>48'-0"</v>
          </cell>
          <cell r="D7" t="str">
            <v>4'-0"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ical_Format"/>
      <sheetName val="Horizontal_Forment"/>
      <sheetName val="First_Row_Placement"/>
      <sheetName val="First_Row_Height"/>
      <sheetName val="Sheet1"/>
    </sheetNames>
    <sheetDataSet>
      <sheetData sheetId="0"/>
      <sheetData sheetId="1">
        <row r="11">
          <cell r="D11" t="str">
            <v>DISTANCE BETWEEN SECOND ROW AND FINAL ROW IN NEAR FLAT CONDITIONS - IN FEET</v>
          </cell>
        </row>
        <row r="12">
          <cell r="D12">
            <v>79.933322219576056</v>
          </cell>
          <cell r="E12">
            <v>99.916652774470066</v>
          </cell>
          <cell r="F12">
            <v>119.89998332936408</v>
          </cell>
          <cell r="G12">
            <v>139.88331388425809</v>
          </cell>
          <cell r="H12">
            <v>159.86664443915211</v>
          </cell>
          <cell r="I12">
            <v>179.84997499404611</v>
          </cell>
          <cell r="J12">
            <v>199.83330554894013</v>
          </cell>
          <cell r="K12">
            <v>219.81663610383416</v>
          </cell>
          <cell r="L12">
            <v>239.79996665872815</v>
          </cell>
          <cell r="M12">
            <v>259.78329721362218</v>
          </cell>
          <cell r="N12">
            <v>279.76662776851617</v>
          </cell>
          <cell r="O12">
            <v>299.74995832341023</v>
          </cell>
          <cell r="P12">
            <v>319.73328887830422</v>
          </cell>
          <cell r="Q12">
            <v>339.71661943319822</v>
          </cell>
          <cell r="R12">
            <v>359.69994998809221</v>
          </cell>
          <cell r="S12">
            <v>379.68328054298627</v>
          </cell>
          <cell r="T12">
            <v>399.66661109788026</v>
          </cell>
          <cell r="U12">
            <v>419.64994165277426</v>
          </cell>
          <cell r="V12">
            <v>439.63327220766831</v>
          </cell>
          <cell r="W12">
            <v>459.61660276256231</v>
          </cell>
          <cell r="X12">
            <v>479.5999333174563</v>
          </cell>
          <cell r="Y12">
            <v>499.58326387235036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83"/>
  <sheetViews>
    <sheetView showGridLines="0" tabSelected="1" workbookViewId="0">
      <pane ySplit="2" topLeftCell="A3" activePane="bottomLeft" state="frozen"/>
      <selection pane="bottomLeft" activeCell="Z65" sqref="Z65"/>
    </sheetView>
  </sheetViews>
  <sheetFormatPr defaultRowHeight="15" x14ac:dyDescent="0.25"/>
  <cols>
    <col min="1" max="1" width="10.85546875" customWidth="1"/>
    <col min="2" max="2" width="3.42578125" customWidth="1"/>
    <col min="3" max="17" width="4.7109375" customWidth="1"/>
    <col min="18" max="18" width="6.7109375" customWidth="1"/>
    <col min="19" max="27" width="4.7109375" customWidth="1"/>
    <col min="28" max="28" width="3.7109375" customWidth="1"/>
  </cols>
  <sheetData>
    <row r="1" spans="1:28" ht="20.100000000000001" customHeight="1" thickTop="1" x14ac:dyDescent="0.25">
      <c r="A1" s="201" t="str">
        <f>CONCATENATE("Finding Setbacks for Multiple Parallel Fences on Steep Slopes for Project ",Q7)</f>
        <v xml:space="preserve">Finding Setbacks for Multiple Parallel Fences on Steep Slopes for Project 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3"/>
    </row>
    <row r="2" spans="1:28" s="14" customFormat="1" ht="20.100000000000001" customHeight="1" thickBot="1" x14ac:dyDescent="0.3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</row>
    <row r="3" spans="1:28" s="143" customFormat="1" ht="20.100000000000001" customHeight="1" thickTop="1" x14ac:dyDescent="0.25">
      <c r="A3" s="248" t="s">
        <v>26</v>
      </c>
      <c r="B3" s="176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57"/>
      <c r="AB3" s="158"/>
    </row>
    <row r="4" spans="1:28" s="143" customFormat="1" ht="16.5" customHeight="1" x14ac:dyDescent="0.25">
      <c r="A4" s="249"/>
      <c r="B4" s="176"/>
      <c r="C4" s="144" t="s">
        <v>127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51"/>
      <c r="AB4" s="159"/>
    </row>
    <row r="5" spans="1:28" s="143" customFormat="1" ht="16.5" customHeight="1" thickBot="1" x14ac:dyDescent="0.3">
      <c r="A5" s="249"/>
      <c r="B5" s="176"/>
      <c r="C5" s="145" t="s">
        <v>26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51"/>
      <c r="AB5" s="159"/>
    </row>
    <row r="6" spans="1:28" s="148" customFormat="1" ht="15" customHeight="1" thickBot="1" x14ac:dyDescent="0.3">
      <c r="A6" s="249"/>
      <c r="B6" s="176"/>
      <c r="C6" s="146"/>
      <c r="D6" s="247" t="s">
        <v>128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147" t="s">
        <v>86</v>
      </c>
      <c r="Q6" s="251"/>
      <c r="R6" s="252"/>
      <c r="S6" s="252"/>
      <c r="T6" s="252"/>
      <c r="U6" s="252"/>
      <c r="V6" s="252"/>
      <c r="W6" s="252"/>
      <c r="X6" s="252"/>
      <c r="Y6" s="253"/>
      <c r="Z6" s="149"/>
      <c r="AA6" s="151"/>
      <c r="AB6" s="159"/>
    </row>
    <row r="7" spans="1:28" s="148" customFormat="1" ht="15.75" thickBot="1" x14ac:dyDescent="0.3">
      <c r="A7" s="249"/>
      <c r="B7" s="176"/>
      <c r="C7" s="149"/>
      <c r="D7" s="247" t="s">
        <v>27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147" t="s">
        <v>86</v>
      </c>
      <c r="Q7" s="254"/>
      <c r="R7" s="255"/>
      <c r="S7" s="256"/>
      <c r="T7" s="150"/>
      <c r="U7" s="150"/>
      <c r="V7" s="150"/>
      <c r="W7" s="150"/>
      <c r="X7" s="150"/>
      <c r="Y7" s="150"/>
      <c r="Z7" s="149"/>
      <c r="AA7" s="151"/>
      <c r="AB7" s="159"/>
    </row>
    <row r="8" spans="1:28" s="148" customFormat="1" ht="15.75" thickBot="1" x14ac:dyDescent="0.3">
      <c r="A8" s="249"/>
      <c r="B8" s="176"/>
      <c r="C8" s="149"/>
      <c r="D8" s="247" t="s">
        <v>129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147" t="s">
        <v>86</v>
      </c>
      <c r="Q8" s="217">
        <v>12</v>
      </c>
      <c r="R8" s="218"/>
      <c r="S8" s="219"/>
      <c r="T8" s="150" t="s">
        <v>21</v>
      </c>
      <c r="U8" s="150"/>
      <c r="V8" s="150"/>
      <c r="W8" s="150"/>
      <c r="X8" s="150"/>
      <c r="Y8" s="150"/>
      <c r="Z8" s="149"/>
      <c r="AA8" s="151"/>
      <c r="AB8" s="159"/>
    </row>
    <row r="9" spans="1:28" s="148" customFormat="1" ht="15.75" thickBot="1" x14ac:dyDescent="0.3">
      <c r="A9" s="249"/>
      <c r="B9" s="176"/>
      <c r="C9" s="149"/>
      <c r="D9" s="247" t="s">
        <v>130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147" t="s">
        <v>86</v>
      </c>
      <c r="Q9" s="217">
        <v>6</v>
      </c>
      <c r="R9" s="218"/>
      <c r="S9" s="219"/>
      <c r="T9" s="150" t="s">
        <v>21</v>
      </c>
      <c r="U9" s="150"/>
      <c r="V9" s="150"/>
      <c r="W9" s="150"/>
      <c r="X9" s="150"/>
      <c r="Y9" s="150"/>
      <c r="Z9" s="149"/>
      <c r="AA9" s="151"/>
      <c r="AB9" s="159"/>
    </row>
    <row r="10" spans="1:28" s="148" customFormat="1" ht="15.75" thickBot="1" x14ac:dyDescent="0.3">
      <c r="A10" s="249"/>
      <c r="B10" s="176"/>
      <c r="C10" s="149"/>
      <c r="D10" s="247" t="s">
        <v>131</v>
      </c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147" t="s">
        <v>86</v>
      </c>
      <c r="Q10" s="217">
        <v>1.5</v>
      </c>
      <c r="R10" s="218"/>
      <c r="S10" s="219"/>
      <c r="T10" s="150" t="s">
        <v>21</v>
      </c>
      <c r="U10" s="150"/>
      <c r="V10" s="150"/>
      <c r="W10" s="150"/>
      <c r="X10" s="150"/>
      <c r="Y10" s="150"/>
      <c r="Z10" s="149"/>
      <c r="AA10" s="151"/>
      <c r="AB10" s="159"/>
    </row>
    <row r="11" spans="1:28" s="148" customFormat="1" x14ac:dyDescent="0.25">
      <c r="A11" s="249"/>
      <c r="B11" s="176"/>
      <c r="C11" s="149"/>
      <c r="D11" s="151"/>
      <c r="E11" s="151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7"/>
      <c r="Q11" s="152"/>
      <c r="R11" s="152"/>
      <c r="S11" s="152"/>
      <c r="T11" s="150"/>
      <c r="U11" s="150"/>
      <c r="V11" s="150"/>
      <c r="W11" s="150"/>
      <c r="X11" s="150"/>
      <c r="Y11" s="150"/>
      <c r="Z11" s="149"/>
      <c r="AA11" s="151"/>
      <c r="AB11" s="159"/>
    </row>
    <row r="12" spans="1:28" ht="15.75" x14ac:dyDescent="0.25">
      <c r="A12" s="249"/>
      <c r="B12" s="176"/>
      <c r="C12" s="48" t="s">
        <v>132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</row>
    <row r="13" spans="1:28" s="148" customFormat="1" ht="15.75" thickBot="1" x14ac:dyDescent="0.3">
      <c r="A13" s="249"/>
      <c r="B13" s="176"/>
      <c r="C13" s="145" t="s">
        <v>141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3"/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49"/>
      <c r="AA13" s="151"/>
      <c r="AB13" s="159"/>
    </row>
    <row r="14" spans="1:28" ht="15.75" thickBot="1" x14ac:dyDescent="0.3">
      <c r="A14" s="249"/>
      <c r="B14" s="176"/>
      <c r="C14" s="46"/>
      <c r="D14" s="216" t="s">
        <v>85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51" t="s">
        <v>86</v>
      </c>
      <c r="Q14" s="217">
        <v>2.4300000000000002</v>
      </c>
      <c r="R14" s="218"/>
      <c r="S14" s="219"/>
      <c r="T14" s="46" t="s">
        <v>21</v>
      </c>
      <c r="U14" s="46"/>
      <c r="V14" s="46"/>
      <c r="W14" s="46"/>
      <c r="X14" s="46"/>
      <c r="Y14" s="46"/>
      <c r="Z14" s="46"/>
      <c r="AA14" s="46"/>
      <c r="AB14" s="47"/>
    </row>
    <row r="15" spans="1:28" ht="15.75" thickBot="1" x14ac:dyDescent="0.3">
      <c r="A15" s="249"/>
      <c r="B15" s="176"/>
      <c r="C15" s="216" t="s">
        <v>87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51" t="s">
        <v>86</v>
      </c>
      <c r="Q15" s="263">
        <v>9.4E-2</v>
      </c>
      <c r="R15" s="264"/>
      <c r="S15" s="265"/>
      <c r="T15" s="46" t="s">
        <v>115</v>
      </c>
      <c r="U15" s="46"/>
      <c r="V15" s="46"/>
      <c r="W15" s="150"/>
      <c r="X15" s="150"/>
      <c r="Y15" s="150"/>
      <c r="Z15" s="150"/>
      <c r="AA15" s="149"/>
      <c r="AB15" s="47"/>
    </row>
    <row r="16" spans="1:28" ht="15.75" thickBot="1" x14ac:dyDescent="0.3">
      <c r="A16" s="249"/>
      <c r="B16" s="176"/>
      <c r="C16" s="237" t="s">
        <v>88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51" t="s">
        <v>86</v>
      </c>
      <c r="Q16" s="266">
        <v>0.57999999999999996</v>
      </c>
      <c r="R16" s="267"/>
      <c r="S16" s="268"/>
      <c r="T16" s="46" t="s">
        <v>115</v>
      </c>
      <c r="U16" s="46"/>
      <c r="V16" s="46"/>
      <c r="W16" s="150"/>
      <c r="X16" s="161"/>
      <c r="Y16" s="162"/>
      <c r="Z16" s="163"/>
      <c r="AA16" s="149"/>
      <c r="AB16" s="47"/>
    </row>
    <row r="17" spans="1:28" ht="15.75" thickBot="1" x14ac:dyDescent="0.3">
      <c r="A17" s="249"/>
      <c r="B17" s="176"/>
      <c r="C17" s="237" t="s">
        <v>89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51" t="s">
        <v>86</v>
      </c>
      <c r="Q17" s="269">
        <v>320</v>
      </c>
      <c r="R17" s="270"/>
      <c r="S17" s="271"/>
      <c r="T17" s="46" t="s">
        <v>116</v>
      </c>
      <c r="U17" s="46"/>
      <c r="V17" s="46"/>
      <c r="W17" s="150"/>
      <c r="X17" s="164"/>
      <c r="Y17" s="165"/>
      <c r="Z17" s="166"/>
      <c r="AA17" s="149"/>
      <c r="AB17" s="47"/>
    </row>
    <row r="18" spans="1:28" ht="15.75" thickBot="1" x14ac:dyDescent="0.3">
      <c r="A18" s="249"/>
      <c r="B18" s="176"/>
      <c r="C18" s="237" t="s">
        <v>114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51" t="s">
        <v>86</v>
      </c>
      <c r="Q18" s="269">
        <v>10000</v>
      </c>
      <c r="R18" s="270"/>
      <c r="S18" s="271"/>
      <c r="T18" s="46" t="s">
        <v>21</v>
      </c>
      <c r="U18" s="46"/>
      <c r="V18" s="46"/>
      <c r="W18" s="150"/>
      <c r="X18" s="167"/>
      <c r="Y18" s="168"/>
      <c r="Z18" s="169"/>
      <c r="AA18" s="149"/>
      <c r="AB18" s="47"/>
    </row>
    <row r="19" spans="1:28" ht="15.75" thickBot="1" x14ac:dyDescent="0.3">
      <c r="A19" s="249"/>
      <c r="B19" s="176"/>
      <c r="C19" s="237" t="s">
        <v>92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51" t="s">
        <v>86</v>
      </c>
      <c r="Q19" s="266">
        <v>7.52</v>
      </c>
      <c r="R19" s="267"/>
      <c r="S19" s="268"/>
      <c r="T19" s="46" t="s">
        <v>90</v>
      </c>
      <c r="U19" s="46"/>
      <c r="V19" s="46"/>
      <c r="W19" s="150"/>
      <c r="X19" s="257" t="s">
        <v>143</v>
      </c>
      <c r="Y19" s="258"/>
      <c r="Z19" s="259"/>
      <c r="AA19" s="149"/>
      <c r="AB19" s="47"/>
    </row>
    <row r="20" spans="1:28" ht="15.75" thickBot="1" x14ac:dyDescent="0.3">
      <c r="A20" s="249"/>
      <c r="B20" s="176"/>
      <c r="C20" s="46"/>
      <c r="D20" s="216" t="s">
        <v>91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51" t="s">
        <v>86</v>
      </c>
      <c r="Q20" s="217">
        <v>0.5</v>
      </c>
      <c r="R20" s="218"/>
      <c r="S20" s="219"/>
      <c r="T20" s="46" t="s">
        <v>115</v>
      </c>
      <c r="U20" s="46"/>
      <c r="V20" s="46"/>
      <c r="W20" s="150"/>
      <c r="X20" s="260"/>
      <c r="Y20" s="261"/>
      <c r="Z20" s="262"/>
      <c r="AA20" s="149"/>
      <c r="AB20" s="47"/>
    </row>
    <row r="21" spans="1:28" ht="15.75" thickBot="1" x14ac:dyDescent="0.3">
      <c r="A21" s="249"/>
      <c r="B21" s="176"/>
      <c r="C21" s="46"/>
      <c r="D21" s="216" t="s">
        <v>93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51" t="s">
        <v>86</v>
      </c>
      <c r="Q21" s="217">
        <v>5.0999999999999996</v>
      </c>
      <c r="R21" s="218"/>
      <c r="S21" s="219"/>
      <c r="T21" s="46" t="s">
        <v>21</v>
      </c>
      <c r="U21" s="46"/>
      <c r="V21" s="46"/>
      <c r="W21" s="150"/>
      <c r="X21" s="150"/>
      <c r="Y21" s="150"/>
      <c r="Z21" s="150"/>
      <c r="AA21" s="149"/>
      <c r="AB21" s="47"/>
    </row>
    <row r="22" spans="1:28" ht="15.75" thickBot="1" x14ac:dyDescent="0.3">
      <c r="A22" s="249"/>
      <c r="B22" s="176"/>
      <c r="C22" s="46"/>
      <c r="D22" s="216" t="s">
        <v>8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51" t="s">
        <v>86</v>
      </c>
      <c r="Q22" s="217">
        <v>90</v>
      </c>
      <c r="R22" s="218"/>
      <c r="S22" s="219"/>
      <c r="T22" s="46" t="s">
        <v>116</v>
      </c>
      <c r="U22" s="46"/>
      <c r="V22" s="46"/>
      <c r="W22" s="150"/>
      <c r="X22" s="170"/>
      <c r="Y22" s="150"/>
      <c r="Z22" s="150"/>
      <c r="AA22" s="149"/>
      <c r="AB22" s="47"/>
    </row>
    <row r="23" spans="1:28" s="148" customFormat="1" ht="15.75" x14ac:dyDescent="0.25">
      <c r="A23" s="249"/>
      <c r="B23" s="185"/>
      <c r="C23" s="160" t="s">
        <v>156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  <c r="Y23" s="150"/>
      <c r="Z23" s="149"/>
      <c r="AA23" s="151"/>
      <c r="AB23" s="159"/>
    </row>
    <row r="24" spans="1:28" x14ac:dyDescent="0.25">
      <c r="A24" s="249"/>
      <c r="B24" s="185"/>
      <c r="C24" s="238" t="s">
        <v>144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</row>
    <row r="25" spans="1:28" ht="15.75" thickBot="1" x14ac:dyDescent="0.3">
      <c r="A25" s="249"/>
      <c r="B25" s="185"/>
      <c r="C25" s="239" t="s">
        <v>155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</row>
    <row r="26" spans="1:28" ht="15.75" thickBot="1" x14ac:dyDescent="0.3">
      <c r="A26" s="249"/>
      <c r="B26" s="176"/>
      <c r="C26" s="216" t="s">
        <v>94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51" t="s">
        <v>86</v>
      </c>
      <c r="Q26" s="217">
        <v>7</v>
      </c>
      <c r="R26" s="218"/>
      <c r="S26" s="219"/>
      <c r="T26" s="46" t="s">
        <v>21</v>
      </c>
      <c r="U26" s="46"/>
      <c r="V26" s="46"/>
      <c r="W26" s="46"/>
      <c r="X26" s="46"/>
      <c r="Y26" s="46"/>
      <c r="Z26" s="46"/>
      <c r="AA26" s="46"/>
      <c r="AB26" s="47"/>
    </row>
    <row r="27" spans="1:28" ht="15.75" thickBot="1" x14ac:dyDescent="0.3">
      <c r="A27" s="249"/>
      <c r="B27" s="176"/>
      <c r="C27" s="216" t="s">
        <v>95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51" t="s">
        <v>86</v>
      </c>
      <c r="Q27" s="217">
        <v>0.5</v>
      </c>
      <c r="R27" s="218"/>
      <c r="S27" s="219"/>
      <c r="T27" s="46" t="s">
        <v>115</v>
      </c>
      <c r="U27" s="46"/>
      <c r="V27" s="46"/>
      <c r="W27" s="46"/>
      <c r="X27" s="46"/>
      <c r="Y27" s="46"/>
      <c r="Z27" s="46"/>
      <c r="AA27" s="46"/>
      <c r="AB27" s="47"/>
    </row>
    <row r="28" spans="1:28" ht="15.75" thickBot="1" x14ac:dyDescent="0.3">
      <c r="A28" s="249"/>
      <c r="B28" s="176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46"/>
      <c r="Q28" s="51"/>
      <c r="R28" s="51"/>
      <c r="S28" s="51"/>
      <c r="T28" s="46"/>
      <c r="U28" s="46"/>
      <c r="V28" s="46"/>
      <c r="W28" s="46"/>
      <c r="X28" s="46"/>
      <c r="Y28" s="46"/>
      <c r="Z28" s="46"/>
      <c r="AA28" s="46"/>
      <c r="AB28" s="47"/>
    </row>
    <row r="29" spans="1:28" ht="15.75" thickBot="1" x14ac:dyDescent="0.3">
      <c r="A29" s="249"/>
      <c r="B29" s="176"/>
      <c r="C29" s="216" t="s">
        <v>70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46"/>
      <c r="Q29" s="217">
        <v>4</v>
      </c>
      <c r="R29" s="218"/>
      <c r="S29" s="219"/>
      <c r="T29" s="46" t="s">
        <v>44</v>
      </c>
      <c r="U29" s="217">
        <v>1</v>
      </c>
      <c r="V29" s="218"/>
      <c r="W29" s="219"/>
      <c r="X29" s="46" t="s">
        <v>43</v>
      </c>
      <c r="Y29" s="46"/>
      <c r="Z29" s="46"/>
      <c r="AA29" s="46"/>
      <c r="AB29" s="47"/>
    </row>
    <row r="30" spans="1:28" ht="15.75" thickBot="1" x14ac:dyDescent="0.3">
      <c r="A30" s="249"/>
      <c r="B30" s="176"/>
      <c r="C30" s="216" t="s">
        <v>71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46"/>
      <c r="Q30" s="217">
        <v>3</v>
      </c>
      <c r="R30" s="218"/>
      <c r="S30" s="219"/>
      <c r="T30" s="46" t="s">
        <v>44</v>
      </c>
      <c r="U30" s="217">
        <v>1</v>
      </c>
      <c r="V30" s="218"/>
      <c r="W30" s="219"/>
      <c r="X30" s="46" t="s">
        <v>43</v>
      </c>
      <c r="Y30" s="46"/>
      <c r="Z30" s="46"/>
      <c r="AA30" s="46"/>
      <c r="AB30" s="47"/>
    </row>
    <row r="31" spans="1:28" x14ac:dyDescent="0.25">
      <c r="A31" s="249"/>
      <c r="B31" s="176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46"/>
      <c r="Q31" s="51"/>
      <c r="R31" s="51"/>
      <c r="S31" s="51"/>
      <c r="T31" s="46"/>
      <c r="U31" s="51"/>
      <c r="V31" s="51"/>
      <c r="W31" s="51"/>
      <c r="X31" s="46"/>
      <c r="Y31" s="46"/>
      <c r="Z31" s="46"/>
      <c r="AA31" s="46"/>
      <c r="AB31" s="47"/>
    </row>
    <row r="32" spans="1:28" s="148" customFormat="1" ht="15.75" thickBot="1" x14ac:dyDescent="0.3">
      <c r="A32" s="249"/>
      <c r="B32" s="176"/>
      <c r="C32" s="173" t="s">
        <v>145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  <c r="Y32" s="150"/>
      <c r="Z32" s="149"/>
      <c r="AA32" s="151"/>
      <c r="AB32" s="159"/>
    </row>
    <row r="33" spans="1:183" ht="15.75" thickBot="1" x14ac:dyDescent="0.3">
      <c r="A33" s="249"/>
      <c r="B33" s="176"/>
      <c r="C33" s="46"/>
      <c r="D33" s="216" t="s">
        <v>42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46"/>
      <c r="Q33" s="217">
        <v>0</v>
      </c>
      <c r="R33" s="218"/>
      <c r="S33" s="219"/>
      <c r="T33" s="46" t="s">
        <v>28</v>
      </c>
      <c r="U33" s="46"/>
      <c r="V33" s="46"/>
      <c r="W33" s="46"/>
      <c r="X33" s="46"/>
      <c r="Y33" s="46"/>
      <c r="Z33" s="46"/>
      <c r="AA33" s="46"/>
      <c r="AB33" s="47"/>
    </row>
    <row r="34" spans="1:183" ht="15.75" thickBot="1" x14ac:dyDescent="0.3">
      <c r="A34" s="249"/>
      <c r="B34" s="176"/>
      <c r="C34" s="46"/>
      <c r="D34" s="216" t="s">
        <v>45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46"/>
      <c r="Q34" s="217">
        <v>0</v>
      </c>
      <c r="R34" s="218"/>
      <c r="S34" s="219"/>
      <c r="T34" s="46" t="s">
        <v>44</v>
      </c>
      <c r="U34" s="217">
        <v>0</v>
      </c>
      <c r="V34" s="218"/>
      <c r="W34" s="219"/>
      <c r="X34" s="46" t="s">
        <v>43</v>
      </c>
      <c r="Y34" s="46"/>
      <c r="Z34" s="46"/>
      <c r="AA34" s="46"/>
      <c r="AB34" s="47"/>
    </row>
    <row r="35" spans="1:183" ht="15.75" thickBot="1" x14ac:dyDescent="0.3">
      <c r="A35" s="249"/>
      <c r="B35" s="176"/>
      <c r="C35" s="46"/>
      <c r="D35" s="216" t="s">
        <v>46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46"/>
      <c r="Q35" s="217">
        <v>0</v>
      </c>
      <c r="R35" s="218"/>
      <c r="S35" s="219"/>
      <c r="T35" s="46" t="s">
        <v>44</v>
      </c>
      <c r="U35" s="217">
        <v>0</v>
      </c>
      <c r="V35" s="218"/>
      <c r="W35" s="219"/>
      <c r="X35" s="46" t="s">
        <v>43</v>
      </c>
      <c r="Y35" s="46"/>
      <c r="Z35" s="46"/>
      <c r="AA35" s="46"/>
      <c r="AB35" s="47"/>
    </row>
    <row r="36" spans="1:183" ht="15.75" thickBot="1" x14ac:dyDescent="0.3">
      <c r="A36" s="249"/>
      <c r="B36" s="176"/>
      <c r="C36" s="46"/>
      <c r="D36" s="216" t="s">
        <v>159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46"/>
      <c r="Q36" s="217">
        <v>0</v>
      </c>
      <c r="R36" s="218"/>
      <c r="S36" s="219"/>
      <c r="T36" s="46" t="s">
        <v>28</v>
      </c>
      <c r="U36" s="46"/>
      <c r="V36" s="46"/>
      <c r="W36" s="46"/>
      <c r="X36" s="46"/>
      <c r="Y36" s="46"/>
      <c r="Z36" s="46"/>
      <c r="AA36" s="46"/>
      <c r="AB36" s="47"/>
    </row>
    <row r="37" spans="1:183" ht="15.75" thickBot="1" x14ac:dyDescent="0.3">
      <c r="A37" s="250"/>
      <c r="B37" s="17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s="9" customFormat="1" ht="5.0999999999999996" customHeight="1" thickTop="1" thickBot="1" x14ac:dyDescent="0.3">
      <c r="A38" s="49"/>
      <c r="B38" s="17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50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:183" ht="20.25" thickTop="1" thickBot="1" x14ac:dyDescent="0.3">
      <c r="A39" s="279" t="s">
        <v>133</v>
      </c>
      <c r="B39" s="178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46" t="s">
        <v>142</v>
      </c>
      <c r="V39" s="246"/>
      <c r="W39" s="246"/>
      <c r="X39" s="149"/>
      <c r="Y39" s="46"/>
      <c r="Z39" s="46"/>
      <c r="AA39" s="46"/>
      <c r="AB39" s="47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:183" ht="15" customHeight="1" thickTop="1" thickBot="1" x14ac:dyDescent="0.3">
      <c r="A40" s="276"/>
      <c r="B40" s="186"/>
      <c r="C40" s="230" t="s">
        <v>134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51" t="s">
        <v>18</v>
      </c>
      <c r="Q40" s="33">
        <f>Minimum_Parallel_Setbacks!$F$17</f>
        <v>171.48749999999998</v>
      </c>
      <c r="R40" s="207" t="s">
        <v>28</v>
      </c>
      <c r="S40" s="208"/>
      <c r="T40" s="46"/>
      <c r="U40" s="243">
        <f t="shared" ref="U40" si="0">$Q$21</f>
        <v>5.0999999999999996</v>
      </c>
      <c r="V40" s="244"/>
      <c r="W40" s="245"/>
      <c r="X40" s="149" t="s">
        <v>21</v>
      </c>
      <c r="Y40" s="46"/>
      <c r="Z40" s="46"/>
      <c r="AA40" s="46"/>
      <c r="AB40" s="47"/>
    </row>
    <row r="41" spans="1:183" ht="15" customHeight="1" thickTop="1" thickBot="1" x14ac:dyDescent="0.3">
      <c r="A41" s="276"/>
      <c r="B41" s="186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51"/>
      <c r="Q41" s="154"/>
      <c r="R41" s="155"/>
      <c r="S41" s="155"/>
      <c r="T41" s="46"/>
      <c r="U41" s="46"/>
      <c r="V41" s="46"/>
      <c r="W41" s="46"/>
      <c r="X41" s="46"/>
      <c r="Y41" s="46"/>
      <c r="Z41" s="46"/>
      <c r="AA41" s="46"/>
      <c r="AB41" s="47"/>
    </row>
    <row r="42" spans="1:183" ht="15" customHeight="1" thickTop="1" thickBot="1" x14ac:dyDescent="0.3">
      <c r="A42" s="276"/>
      <c r="B42" s="186"/>
      <c r="C42" s="230" t="s">
        <v>158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51" t="s">
        <v>18</v>
      </c>
      <c r="Q42" s="93">
        <f>ROUND(Number_of_Rows!$C$9,0)</f>
        <v>2</v>
      </c>
      <c r="R42" s="214" t="s">
        <v>37</v>
      </c>
      <c r="S42" s="215"/>
      <c r="T42" s="46"/>
      <c r="U42" s="46"/>
      <c r="V42" s="46"/>
      <c r="W42" s="46"/>
      <c r="X42" s="46"/>
      <c r="Y42" s="46"/>
      <c r="Z42" s="46"/>
      <c r="AA42" s="46"/>
      <c r="AB42" s="47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</row>
    <row r="43" spans="1:183" s="14" customFormat="1" ht="15" customHeight="1" thickTop="1" x14ac:dyDescent="0.25">
      <c r="A43" s="280"/>
      <c r="B43" s="179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00"/>
      <c r="Q43" s="96"/>
      <c r="R43" s="97"/>
      <c r="S43" s="97"/>
      <c r="T43" s="34"/>
      <c r="U43" s="34"/>
      <c r="V43" s="34"/>
      <c r="W43" s="34"/>
      <c r="X43" s="34"/>
      <c r="Y43" s="34"/>
      <c r="Z43" s="34"/>
      <c r="AA43" s="34"/>
      <c r="AB43" s="52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</row>
    <row r="44" spans="1:183" s="14" customFormat="1" ht="24.95" customHeight="1" thickBot="1" x14ac:dyDescent="0.3">
      <c r="A44" s="272" t="s">
        <v>135</v>
      </c>
      <c r="B44" s="180"/>
      <c r="C44" s="241" t="str">
        <f>[1]First_Row_Placement!B2</f>
        <v xml:space="preserve">MINIMUM SET BACK AND HEIGHT OF MATURE PLANTS FOR FIRST ROW 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2"/>
    </row>
    <row r="45" spans="1:183" ht="15" customHeight="1" thickBot="1" x14ac:dyDescent="0.3">
      <c r="A45" s="273"/>
      <c r="B45" s="18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289" t="str">
        <f>[1]First_Row_Placement!B3</f>
        <v>SLOPE OF</v>
      </c>
      <c r="W45" s="290"/>
      <c r="X45" s="289" t="str">
        <f>[1]First_Row_Placement!C3</f>
        <v>SET BACK</v>
      </c>
      <c r="Y45" s="290"/>
      <c r="Z45" s="289" t="str">
        <f>[1]First_Row_Placement!D3</f>
        <v>HEIGHT</v>
      </c>
      <c r="AA45" s="290"/>
      <c r="AB45" s="47"/>
    </row>
    <row r="46" spans="1:183" ht="15" customHeight="1" thickBot="1" x14ac:dyDescent="0.3">
      <c r="A46" s="273"/>
      <c r="B46" s="18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282" t="str">
        <f>[1]First_Row_Placement!B4</f>
        <v>3 TO 1</v>
      </c>
      <c r="W46" s="283"/>
      <c r="X46" s="285" t="str">
        <f>[1]First_Row_Placement!C4</f>
        <v>35'-0"</v>
      </c>
      <c r="Y46" s="233"/>
      <c r="Z46" s="233" t="str">
        <f>[1]First_Row_Placement!D4</f>
        <v>8'-0"</v>
      </c>
      <c r="AA46" s="234"/>
      <c r="AB46" s="47"/>
    </row>
    <row r="47" spans="1:183" ht="15" customHeight="1" thickBot="1" x14ac:dyDescent="0.3">
      <c r="A47" s="273"/>
      <c r="B47" s="181"/>
      <c r="C47" s="230" t="s">
        <v>137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46"/>
      <c r="S47" s="46"/>
      <c r="T47" s="46"/>
      <c r="U47" s="46"/>
      <c r="V47" s="282" t="str">
        <f>[1]First_Row_Placement!B5</f>
        <v>4 TO 1</v>
      </c>
      <c r="W47" s="283"/>
      <c r="X47" s="284" t="str">
        <f>[1]First_Row_Placement!C5</f>
        <v>35'-0"</v>
      </c>
      <c r="Y47" s="235"/>
      <c r="Z47" s="235" t="str">
        <f>[1]First_Row_Placement!D5</f>
        <v>5'-0"</v>
      </c>
      <c r="AA47" s="236"/>
      <c r="AB47" s="47"/>
    </row>
    <row r="48" spans="1:183" ht="15" customHeight="1" thickBot="1" x14ac:dyDescent="0.3">
      <c r="A48" s="273"/>
      <c r="B48" s="181"/>
      <c r="C48" s="230" t="s">
        <v>138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53"/>
      <c r="Q48" s="53"/>
      <c r="R48" s="53"/>
      <c r="S48" s="53"/>
      <c r="T48" s="46"/>
      <c r="U48" s="46"/>
      <c r="V48" s="282" t="str">
        <f>[1]First_Row_Placement!B6</f>
        <v>5 TO 1</v>
      </c>
      <c r="W48" s="283"/>
      <c r="X48" s="284" t="str">
        <f>[1]First_Row_Placement!C6</f>
        <v>44'-0"</v>
      </c>
      <c r="Y48" s="235"/>
      <c r="Z48" s="235" t="str">
        <f>[1]First_Row_Placement!D6</f>
        <v>4'-0"</v>
      </c>
      <c r="AA48" s="236"/>
      <c r="AB48" s="47"/>
      <c r="AD48" s="2"/>
    </row>
    <row r="49" spans="1:28" ht="16.5" customHeight="1" thickTop="1" thickBot="1" x14ac:dyDescent="0.3">
      <c r="A49" s="273"/>
      <c r="B49" s="181"/>
      <c r="C49" s="220" t="s">
        <v>139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51" t="s">
        <v>18</v>
      </c>
      <c r="Q49" s="57">
        <f>IF(Q29&lt;=2,"No",IF(Q29=3,35,IF(Q29=4,35,IF(Q29=5,44,IF(Q29=6,48,"No")))))</f>
        <v>35</v>
      </c>
      <c r="R49" s="207" t="s">
        <v>21</v>
      </c>
      <c r="S49" s="213"/>
      <c r="T49" s="46"/>
      <c r="U49" s="46"/>
      <c r="V49" s="282" t="str">
        <f>[1]First_Row_Placement!B7</f>
        <v>6 TO 1</v>
      </c>
      <c r="W49" s="283"/>
      <c r="X49" s="281" t="str">
        <f>[1]First_Row_Placement!C7</f>
        <v>48'-0"</v>
      </c>
      <c r="Y49" s="231"/>
      <c r="Z49" s="231" t="str">
        <f>[1]First_Row_Placement!D7</f>
        <v>4'-0"</v>
      </c>
      <c r="AA49" s="232"/>
      <c r="AB49" s="47"/>
    </row>
    <row r="50" spans="1:28" ht="15.75" customHeight="1" thickTop="1" thickBot="1" x14ac:dyDescent="0.3">
      <c r="A50" s="273"/>
      <c r="B50" s="181"/>
      <c r="C50" s="220" t="s">
        <v>140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51" t="s">
        <v>18</v>
      </c>
      <c r="Q50" s="57">
        <f>IF(Q29&lt;=2,"No",IF(Q29=3,8,IF(Q29=4,5,IF(Q29=5,4,IF(Q29=6,4,"No")))))</f>
        <v>5</v>
      </c>
      <c r="R50" s="207" t="s">
        <v>21</v>
      </c>
      <c r="S50" s="213"/>
      <c r="T50" s="46"/>
      <c r="U50" s="46"/>
      <c r="V50" s="64"/>
      <c r="W50" s="64"/>
      <c r="X50" s="64"/>
      <c r="Y50" s="64"/>
      <c r="Z50" s="64"/>
      <c r="AA50" s="64"/>
      <c r="AB50" s="47"/>
    </row>
    <row r="51" spans="1:28" s="14" customFormat="1" ht="15.75" customHeight="1" thickTop="1" x14ac:dyDescent="0.25">
      <c r="A51" s="273"/>
      <c r="B51" s="181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101"/>
      <c r="R51" s="101"/>
      <c r="S51" s="101"/>
      <c r="T51" s="34"/>
      <c r="U51" s="34"/>
      <c r="V51" s="102"/>
      <c r="W51" s="102"/>
      <c r="X51" s="102"/>
      <c r="Y51" s="102"/>
      <c r="Z51" s="102"/>
      <c r="AA51" s="102"/>
      <c r="AB51" s="47"/>
    </row>
    <row r="52" spans="1:28" ht="24.95" customHeight="1" thickBot="1" x14ac:dyDescent="0.3">
      <c r="A52" s="273"/>
      <c r="B52" s="189"/>
      <c r="C52" s="172" t="s">
        <v>157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47"/>
    </row>
    <row r="53" spans="1:28" ht="15" customHeight="1" thickBot="1" x14ac:dyDescent="0.3">
      <c r="A53" s="273"/>
      <c r="B53" s="181"/>
      <c r="C53" s="225" t="str">
        <f>[1]Horizontal_Forment!B3</f>
        <v>SLOPE</v>
      </c>
      <c r="D53" s="225"/>
      <c r="E53" s="225"/>
      <c r="F53" s="227" t="str">
        <f>[1]Horizontal_Forment!E3</f>
        <v>HEIGHT OF MATURITY PLANT - IN FEET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9"/>
      <c r="AB53" s="98"/>
    </row>
    <row r="54" spans="1:28" ht="15" customHeight="1" thickBot="1" x14ac:dyDescent="0.3">
      <c r="A54" s="273"/>
      <c r="B54" s="181"/>
      <c r="C54" s="226" t="str">
        <f>[1]Horizontal_Forment!B4</f>
        <v>RUN/RISE</v>
      </c>
      <c r="D54" s="226"/>
      <c r="E54" s="226"/>
      <c r="F54" s="192">
        <f>[1]Horizontal_Forment!E4</f>
        <v>4</v>
      </c>
      <c r="G54" s="190">
        <f>[1]Horizontal_Forment!F4</f>
        <v>5</v>
      </c>
      <c r="H54" s="190">
        <f>[1]Horizontal_Forment!G4</f>
        <v>6</v>
      </c>
      <c r="I54" s="190">
        <f>[1]Horizontal_Forment!H4</f>
        <v>7</v>
      </c>
      <c r="J54" s="190">
        <f>[1]Horizontal_Forment!I4</f>
        <v>8</v>
      </c>
      <c r="K54" s="190">
        <f>[1]Horizontal_Forment!J4</f>
        <v>9</v>
      </c>
      <c r="L54" s="190">
        <f>[1]Horizontal_Forment!K4</f>
        <v>10</v>
      </c>
      <c r="M54" s="190">
        <f>[1]Horizontal_Forment!L4</f>
        <v>11</v>
      </c>
      <c r="N54" s="190">
        <f>[1]Horizontal_Forment!M4</f>
        <v>12</v>
      </c>
      <c r="O54" s="190">
        <f>[1]Horizontal_Forment!N4</f>
        <v>13</v>
      </c>
      <c r="P54" s="190">
        <f>[1]Horizontal_Forment!O4</f>
        <v>14</v>
      </c>
      <c r="Q54" s="190">
        <f>[1]Horizontal_Forment!P4</f>
        <v>15</v>
      </c>
      <c r="R54" s="190">
        <f>[1]Horizontal_Forment!Q4</f>
        <v>16</v>
      </c>
      <c r="S54" s="190">
        <f>[1]Horizontal_Forment!R4</f>
        <v>17</v>
      </c>
      <c r="T54" s="190">
        <f>[1]Horizontal_Forment!S4</f>
        <v>18</v>
      </c>
      <c r="U54" s="190">
        <f>[1]Horizontal_Forment!T4</f>
        <v>19</v>
      </c>
      <c r="V54" s="190">
        <f>[1]Horizontal_Forment!U4</f>
        <v>20</v>
      </c>
      <c r="W54" s="190">
        <f>[1]Horizontal_Forment!V4</f>
        <v>21</v>
      </c>
      <c r="X54" s="190">
        <f>[1]Horizontal_Forment!W4</f>
        <v>22</v>
      </c>
      <c r="Y54" s="190">
        <f>[1]Horizontal_Forment!X4</f>
        <v>23</v>
      </c>
      <c r="Z54" s="190">
        <f>[1]Horizontal_Forment!Y4</f>
        <v>24</v>
      </c>
      <c r="AA54" s="191">
        <f>[1]Horizontal_Forment!Z4</f>
        <v>25</v>
      </c>
      <c r="AB54" s="47"/>
    </row>
    <row r="55" spans="1:28" ht="15" customHeight="1" thickBot="1" x14ac:dyDescent="0.3">
      <c r="A55" s="273"/>
      <c r="B55" s="181"/>
      <c r="C55" s="226"/>
      <c r="D55" s="226"/>
      <c r="E55" s="226"/>
      <c r="F55" s="286" t="str">
        <f>[1]Horizontal_Forment!E5</f>
        <v>DISTANCE BETWEEN ROWS - IN FEET</v>
      </c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8"/>
      <c r="AB55" s="47"/>
    </row>
    <row r="56" spans="1:28" ht="15" customHeight="1" thickBot="1" x14ac:dyDescent="0.3">
      <c r="A56" s="273"/>
      <c r="B56" s="181"/>
      <c r="C56" s="195">
        <f>[1]Horizontal_Forment!B6</f>
        <v>3</v>
      </c>
      <c r="D56" s="196" t="str">
        <f>[1]Horizontal_Forment!C6</f>
        <v>TO</v>
      </c>
      <c r="E56" s="197">
        <f>[1]Horizontal_Forment!D6</f>
        <v>1</v>
      </c>
      <c r="F56" s="198">
        <f>[1]Horizontal_Forment!E6</f>
        <v>11.552228145109108</v>
      </c>
      <c r="G56" s="199">
        <f>[1]Horizontal_Forment!F6</f>
        <v>14.440285181386386</v>
      </c>
      <c r="H56" s="199">
        <f>[1]Horizontal_Forment!G6</f>
        <v>17.328342217663664</v>
      </c>
      <c r="I56" s="199">
        <f>[1]Horizontal_Forment!H6</f>
        <v>20.216399253940939</v>
      </c>
      <c r="J56" s="199">
        <f>[1]Horizontal_Forment!I6</f>
        <v>23.104456290218216</v>
      </c>
      <c r="K56" s="199">
        <f>[1]Horizontal_Forment!J6</f>
        <v>25.992513326495494</v>
      </c>
      <c r="L56" s="199">
        <f>[1]Horizontal_Forment!K6</f>
        <v>28.880570362772772</v>
      </c>
      <c r="M56" s="199">
        <f>[1]Horizontal_Forment!L6</f>
        <v>31.768627399050047</v>
      </c>
      <c r="N56" s="199">
        <f>[1]Horizontal_Forment!M6</f>
        <v>34.656684435327328</v>
      </c>
      <c r="O56" s="199">
        <f>[1]Horizontal_Forment!N6</f>
        <v>37.544741471604603</v>
      </c>
      <c r="P56" s="199">
        <f>[1]Horizontal_Forment!O6</f>
        <v>40.432798507881877</v>
      </c>
      <c r="Q56" s="199">
        <f>[1]Horizontal_Forment!P6</f>
        <v>43.320855544159159</v>
      </c>
      <c r="R56" s="199">
        <f>[1]Horizontal_Forment!Q6</f>
        <v>46.208912580436433</v>
      </c>
      <c r="S56" s="199">
        <f>[1]Horizontal_Forment!R6</f>
        <v>49.096969616713707</v>
      </c>
      <c r="T56" s="199">
        <f>[1]Horizontal_Forment!S6</f>
        <v>51.985026652990989</v>
      </c>
      <c r="U56" s="199">
        <f>[1]Horizontal_Forment!T6</f>
        <v>54.873083689268263</v>
      </c>
      <c r="V56" s="199">
        <f>[1]Horizontal_Forment!U6</f>
        <v>57.761140725545545</v>
      </c>
      <c r="W56" s="199">
        <f>[1]Horizontal_Forment!V6</f>
        <v>60.649197761822819</v>
      </c>
      <c r="X56" s="199">
        <f>[1]Horizontal_Forment!W6</f>
        <v>63.537254798100093</v>
      </c>
      <c r="Y56" s="199">
        <f>[1]Horizontal_Forment!X6</f>
        <v>66.425311834377368</v>
      </c>
      <c r="Z56" s="199">
        <f>[1]Horizontal_Forment!Y6</f>
        <v>69.313368870654656</v>
      </c>
      <c r="AA56" s="200">
        <f>[1]Horizontal_Forment!Z6</f>
        <v>72.201425906931931</v>
      </c>
      <c r="AB56" s="47"/>
    </row>
    <row r="57" spans="1:28" ht="15" customHeight="1" thickBot="1" x14ac:dyDescent="0.3">
      <c r="A57" s="273"/>
      <c r="B57" s="181"/>
      <c r="C57" s="195">
        <f>[1]Horizontal_Forment!B7</f>
        <v>4</v>
      </c>
      <c r="D57" s="196" t="str">
        <f>[1]Horizontal_Forment!C7</f>
        <v>TO</v>
      </c>
      <c r="E57" s="197">
        <f>[1]Horizontal_Forment!D7</f>
        <v>1</v>
      </c>
      <c r="F57" s="193">
        <f>[1]Horizontal_Forment!E7</f>
        <v>15.66526945858376</v>
      </c>
      <c r="G57" s="35">
        <f>[1]Horizontal_Forment!F7</f>
        <v>19.581586823229699</v>
      </c>
      <c r="H57" s="35">
        <f>[1]Horizontal_Forment!G7</f>
        <v>23.497904187875641</v>
      </c>
      <c r="I57" s="35">
        <f>[1]Horizontal_Forment!H7</f>
        <v>27.414221552521582</v>
      </c>
      <c r="J57" s="35">
        <f>[1]Horizontal_Forment!I7</f>
        <v>31.330538917167519</v>
      </c>
      <c r="K57" s="35">
        <f>[1]Horizontal_Forment!J7</f>
        <v>35.246856281813457</v>
      </c>
      <c r="L57" s="35">
        <f>[1]Horizontal_Forment!K7</f>
        <v>39.163173646459398</v>
      </c>
      <c r="M57" s="35">
        <f>[1]Horizontal_Forment!L7</f>
        <v>43.07949101110534</v>
      </c>
      <c r="N57" s="35">
        <f>[1]Horizontal_Forment!M7</f>
        <v>46.995808375751281</v>
      </c>
      <c r="O57" s="35">
        <f>[1]Horizontal_Forment!N7</f>
        <v>50.912125740397222</v>
      </c>
      <c r="P57" s="35">
        <f>[1]Horizontal_Forment!O7</f>
        <v>54.828443105043164</v>
      </c>
      <c r="Q57" s="35">
        <f>[1]Horizontal_Forment!P7</f>
        <v>58.744760469689098</v>
      </c>
      <c r="R57" s="35">
        <f>[1]Horizontal_Forment!Q7</f>
        <v>62.661077834335039</v>
      </c>
      <c r="S57" s="35">
        <f>[1]Horizontal_Forment!R7</f>
        <v>66.57739519898098</v>
      </c>
      <c r="T57" s="35">
        <f>[1]Horizontal_Forment!S7</f>
        <v>70.493712563626914</v>
      </c>
      <c r="U57" s="35">
        <f>[1]Horizontal_Forment!T7</f>
        <v>74.410029928272863</v>
      </c>
      <c r="V57" s="35">
        <f>[1]Horizontal_Forment!U7</f>
        <v>78.326347292918797</v>
      </c>
      <c r="W57" s="35">
        <f>[1]Horizontal_Forment!V7</f>
        <v>82.242664657564745</v>
      </c>
      <c r="X57" s="35">
        <f>[1]Horizontal_Forment!W7</f>
        <v>86.158982022210679</v>
      </c>
      <c r="Y57" s="35">
        <f>[1]Horizontal_Forment!X7</f>
        <v>90.075299386856614</v>
      </c>
      <c r="Z57" s="35">
        <f>[1]Horizontal_Forment!Y7</f>
        <v>93.991616751502562</v>
      </c>
      <c r="AA57" s="36">
        <f>[1]Horizontal_Forment!Z7</f>
        <v>97.907934116148496</v>
      </c>
      <c r="AB57" s="47"/>
    </row>
    <row r="58" spans="1:28" ht="15" customHeight="1" thickBot="1" x14ac:dyDescent="0.3">
      <c r="A58" s="273"/>
      <c r="B58" s="181"/>
      <c r="C58" s="195">
        <f>[1]Horizontal_Forment!B8</f>
        <v>5</v>
      </c>
      <c r="D58" s="196" t="str">
        <f>[1]Horizontal_Forment!C8</f>
        <v>TO</v>
      </c>
      <c r="E58" s="197">
        <f>[1]Horizontal_Forment!D8</f>
        <v>1</v>
      </c>
      <c r="F58" s="193">
        <f>[1]Horizontal_Forment!E8</f>
        <v>19.732619502347571</v>
      </c>
      <c r="G58" s="35">
        <f>[1]Horizontal_Forment!F8</f>
        <v>24.665774377934465</v>
      </c>
      <c r="H58" s="35">
        <f>[1]Horizontal_Forment!G8</f>
        <v>29.598929253521359</v>
      </c>
      <c r="I58" s="35">
        <f>[1]Horizontal_Forment!H8</f>
        <v>34.532084129108249</v>
      </c>
      <c r="J58" s="35">
        <f>[1]Horizontal_Forment!I8</f>
        <v>39.465239004695142</v>
      </c>
      <c r="K58" s="35">
        <f>[1]Horizontal_Forment!J8</f>
        <v>44.398393880282036</v>
      </c>
      <c r="L58" s="35">
        <f>[1]Horizontal_Forment!K8</f>
        <v>49.33154875586893</v>
      </c>
      <c r="M58" s="35">
        <f>[1]Horizontal_Forment!L8</f>
        <v>54.264703631455824</v>
      </c>
      <c r="N58" s="35">
        <f>[1]Horizontal_Forment!M8</f>
        <v>59.197858507042717</v>
      </c>
      <c r="O58" s="35">
        <f>[1]Horizontal_Forment!N8</f>
        <v>64.131013382629618</v>
      </c>
      <c r="P58" s="35">
        <f>[1]Horizontal_Forment!O8</f>
        <v>69.064168258216498</v>
      </c>
      <c r="Q58" s="35">
        <f>[1]Horizontal_Forment!P8</f>
        <v>73.997323133803391</v>
      </c>
      <c r="R58" s="35">
        <f>[1]Horizontal_Forment!Q8</f>
        <v>78.930478009390285</v>
      </c>
      <c r="S58" s="35">
        <f>[1]Horizontal_Forment!R8</f>
        <v>83.863632884977179</v>
      </c>
      <c r="T58" s="35">
        <f>[1]Horizontal_Forment!S8</f>
        <v>88.796787760564072</v>
      </c>
      <c r="U58" s="35">
        <f>[1]Horizontal_Forment!T8</f>
        <v>93.729942636150966</v>
      </c>
      <c r="V58" s="35">
        <f>[1]Horizontal_Forment!U8</f>
        <v>98.66309751173786</v>
      </c>
      <c r="W58" s="35">
        <f>[1]Horizontal_Forment!V8</f>
        <v>103.59625238732475</v>
      </c>
      <c r="X58" s="35">
        <f>[1]Horizontal_Forment!W8</f>
        <v>108.52940726291165</v>
      </c>
      <c r="Y58" s="35">
        <f>[1]Horizontal_Forment!X8</f>
        <v>113.46256213849854</v>
      </c>
      <c r="Z58" s="35">
        <f>[1]Horizontal_Forment!Y8</f>
        <v>118.39571701408543</v>
      </c>
      <c r="AA58" s="36">
        <f>[1]Horizontal_Forment!Z8</f>
        <v>123.32887188967233</v>
      </c>
      <c r="AB58" s="47"/>
    </row>
    <row r="59" spans="1:28" ht="15.75" customHeight="1" thickBot="1" x14ac:dyDescent="0.3">
      <c r="A59" s="273"/>
      <c r="B59" s="181"/>
      <c r="C59" s="195">
        <f>[1]Horizontal_Forment!B9</f>
        <v>6</v>
      </c>
      <c r="D59" s="196" t="str">
        <f>[1]Horizontal_Forment!C9</f>
        <v>TO</v>
      </c>
      <c r="E59" s="197">
        <f>[1]Horizontal_Forment!D9</f>
        <v>1</v>
      </c>
      <c r="F59" s="194">
        <f>[1]Horizontal_Forment!E9</f>
        <v>23.777365163427184</v>
      </c>
      <c r="G59" s="37">
        <f>[1]Horizontal_Forment!F9</f>
        <v>29.721706454283979</v>
      </c>
      <c r="H59" s="37">
        <f>[1]Horizontal_Forment!G9</f>
        <v>35.666047745140773</v>
      </c>
      <c r="I59" s="37">
        <f>[1]Horizontal_Forment!H9</f>
        <v>41.610389035997571</v>
      </c>
      <c r="J59" s="37">
        <f>[1]Horizontal_Forment!I9</f>
        <v>47.554730326854369</v>
      </c>
      <c r="K59" s="37">
        <f>[1]Horizontal_Forment!J9</f>
        <v>53.499071617711166</v>
      </c>
      <c r="L59" s="37">
        <f>[1]Horizontal_Forment!K9</f>
        <v>59.443412908567957</v>
      </c>
      <c r="M59" s="37">
        <f>[1]Horizontal_Forment!L9</f>
        <v>65.387754199424762</v>
      </c>
      <c r="N59" s="37">
        <f>[1]Horizontal_Forment!M9</f>
        <v>71.332095490281546</v>
      </c>
      <c r="O59" s="37">
        <f>[1]Horizontal_Forment!N9</f>
        <v>77.276436781138344</v>
      </c>
      <c r="P59" s="37">
        <f>[1]Horizontal_Forment!O9</f>
        <v>83.220778071995142</v>
      </c>
      <c r="Q59" s="37">
        <f>[1]Horizontal_Forment!P9</f>
        <v>89.165119362851939</v>
      </c>
      <c r="R59" s="37">
        <f>[1]Horizontal_Forment!Q9</f>
        <v>95.109460653708737</v>
      </c>
      <c r="S59" s="37">
        <f>[1]Horizontal_Forment!R9</f>
        <v>101.05380194456554</v>
      </c>
      <c r="T59" s="37">
        <f>[1]Horizontal_Forment!S9</f>
        <v>106.99814323542233</v>
      </c>
      <c r="U59" s="37">
        <f>[1]Horizontal_Forment!T9</f>
        <v>112.94248452627913</v>
      </c>
      <c r="V59" s="37">
        <f>[1]Horizontal_Forment!U9</f>
        <v>118.88682581713591</v>
      </c>
      <c r="W59" s="37">
        <f>[1]Horizontal_Forment!V9</f>
        <v>124.83116710799271</v>
      </c>
      <c r="X59" s="37">
        <f>[1]Horizontal_Forment!W9</f>
        <v>130.77550839884952</v>
      </c>
      <c r="Y59" s="37">
        <f>[1]Horizontal_Forment!X9</f>
        <v>136.71984968970631</v>
      </c>
      <c r="Z59" s="37">
        <f>[1]Horizontal_Forment!Y9</f>
        <v>142.66419098056309</v>
      </c>
      <c r="AA59" s="38">
        <f>[1]Horizontal_Forment!Z9</f>
        <v>148.6085322714199</v>
      </c>
      <c r="AB59" s="47"/>
    </row>
    <row r="60" spans="1:28" ht="15.75" customHeight="1" thickBot="1" x14ac:dyDescent="0.3">
      <c r="A60" s="273"/>
      <c r="B60" s="181"/>
      <c r="C60" s="46"/>
      <c r="D60" s="51"/>
      <c r="E60" s="115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47"/>
    </row>
    <row r="61" spans="1:28" ht="15" customHeight="1" thickTop="1" thickBot="1" x14ac:dyDescent="0.3">
      <c r="A61" s="273"/>
      <c r="B61" s="181"/>
      <c r="C61" s="174" t="s">
        <v>146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51" t="s">
        <v>18</v>
      </c>
      <c r="Q61" s="57">
        <f>Q26</f>
        <v>7</v>
      </c>
      <c r="R61" s="207" t="s">
        <v>21</v>
      </c>
      <c r="S61" s="208"/>
      <c r="T61" s="46"/>
      <c r="U61" s="46"/>
      <c r="V61" s="46"/>
      <c r="W61" s="46"/>
      <c r="X61" s="46"/>
      <c r="Y61" s="46"/>
      <c r="Z61" s="46"/>
      <c r="AA61" s="46"/>
      <c r="AB61" s="47"/>
    </row>
    <row r="62" spans="1:28" ht="15" customHeight="1" thickTop="1" thickBot="1" x14ac:dyDescent="0.3">
      <c r="A62" s="273"/>
      <c r="B62" s="181"/>
      <c r="C62" s="174" t="s">
        <v>147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51" t="s">
        <v>18</v>
      </c>
      <c r="Q62" s="22">
        <f>Planting_Steep_Slopes!$F$11</f>
        <v>20.216399253940939</v>
      </c>
      <c r="R62" s="207" t="s">
        <v>21</v>
      </c>
      <c r="S62" s="208"/>
      <c r="T62" s="46"/>
      <c r="U62" s="46"/>
      <c r="V62" s="46"/>
      <c r="W62" s="46"/>
      <c r="X62" s="46"/>
      <c r="Y62" s="46"/>
      <c r="Z62" s="46"/>
      <c r="AA62" s="46"/>
      <c r="AB62" s="47"/>
    </row>
    <row r="63" spans="1:28" s="14" customFormat="1" ht="15" customHeight="1" thickTop="1" x14ac:dyDescent="0.25">
      <c r="A63" s="273"/>
      <c r="B63" s="181"/>
      <c r="C63" s="10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100"/>
      <c r="Q63" s="105"/>
      <c r="R63" s="101"/>
      <c r="S63" s="101"/>
      <c r="T63" s="34"/>
      <c r="U63" s="34"/>
      <c r="V63" s="34"/>
      <c r="W63" s="34"/>
      <c r="X63" s="34"/>
      <c r="Y63" s="34"/>
      <c r="Z63" s="34"/>
      <c r="AA63" s="34"/>
      <c r="AB63" s="47"/>
    </row>
    <row r="64" spans="1:28" ht="24.95" customHeight="1" thickBot="1" x14ac:dyDescent="0.3">
      <c r="A64" s="273"/>
      <c r="B64" s="181"/>
      <c r="C64" s="172" t="str">
        <f>[2]Horizontal_Forment!D11</f>
        <v>DISTANCE BETWEEN SECOND ROW AND FINAL ROW IN NEAR FLAT CONDITIONS - IN FEET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46"/>
      <c r="AA64" s="46"/>
      <c r="AB64" s="47"/>
    </row>
    <row r="65" spans="1:28" ht="15" customHeight="1" thickBot="1" x14ac:dyDescent="0.3">
      <c r="A65" s="273"/>
      <c r="B65" s="181"/>
      <c r="C65" s="103"/>
      <c r="D65" s="39">
        <f>[2]Horizontal_Forment!D12</f>
        <v>79.933322219576056</v>
      </c>
      <c r="E65" s="40">
        <f>[2]Horizontal_Forment!E12</f>
        <v>99.916652774470066</v>
      </c>
      <c r="F65" s="40">
        <f>[2]Horizontal_Forment!F12</f>
        <v>119.89998332936408</v>
      </c>
      <c r="G65" s="40">
        <f>[2]Horizontal_Forment!G12</f>
        <v>139.88331388425809</v>
      </c>
      <c r="H65" s="40">
        <f>[2]Horizontal_Forment!H12</f>
        <v>159.86664443915211</v>
      </c>
      <c r="I65" s="40">
        <f>[2]Horizontal_Forment!I12</f>
        <v>179.84997499404611</v>
      </c>
      <c r="J65" s="40">
        <f>[2]Horizontal_Forment!J12</f>
        <v>199.83330554894013</v>
      </c>
      <c r="K65" s="40">
        <f>[2]Horizontal_Forment!K12</f>
        <v>219.81663610383416</v>
      </c>
      <c r="L65" s="40">
        <f>[2]Horizontal_Forment!L12</f>
        <v>239.79996665872815</v>
      </c>
      <c r="M65" s="40">
        <f>[2]Horizontal_Forment!M12</f>
        <v>259.78329721362218</v>
      </c>
      <c r="N65" s="40">
        <f>[2]Horizontal_Forment!N12</f>
        <v>279.76662776851617</v>
      </c>
      <c r="O65" s="40">
        <f>[2]Horizontal_Forment!O12</f>
        <v>299.74995832341023</v>
      </c>
      <c r="P65" s="40">
        <f>[2]Horizontal_Forment!P12</f>
        <v>319.73328887830422</v>
      </c>
      <c r="Q65" s="40">
        <f>[2]Horizontal_Forment!Q12</f>
        <v>339.71661943319822</v>
      </c>
      <c r="R65" s="40">
        <f>[2]Horizontal_Forment!R12</f>
        <v>359.69994998809221</v>
      </c>
      <c r="S65" s="40">
        <f>[2]Horizontal_Forment!S12</f>
        <v>379.68328054298627</v>
      </c>
      <c r="T65" s="40">
        <f>[2]Horizontal_Forment!T12</f>
        <v>399.66661109788026</v>
      </c>
      <c r="U65" s="40">
        <f>[2]Horizontal_Forment!U12</f>
        <v>419.64994165277426</v>
      </c>
      <c r="V65" s="40">
        <f>[2]Horizontal_Forment!V12</f>
        <v>439.63327220766831</v>
      </c>
      <c r="W65" s="40">
        <f>[2]Horizontal_Forment!W12</f>
        <v>459.61660276256231</v>
      </c>
      <c r="X65" s="40">
        <f>[2]Horizontal_Forment!X12</f>
        <v>479.5999333174563</v>
      </c>
      <c r="Y65" s="41">
        <f>[2]Horizontal_Forment!Y12</f>
        <v>499.58326387235036</v>
      </c>
      <c r="Z65" s="188"/>
      <c r="AA65" s="103"/>
      <c r="AB65" s="47"/>
    </row>
    <row r="66" spans="1:28" ht="15" customHeight="1" thickBot="1" x14ac:dyDescent="0.3">
      <c r="A66" s="273"/>
      <c r="B66" s="181"/>
      <c r="C66" s="103"/>
      <c r="D66" s="103"/>
      <c r="E66" s="103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7"/>
      <c r="R66" s="117"/>
      <c r="S66" s="117"/>
      <c r="T66" s="116"/>
      <c r="U66" s="116"/>
      <c r="V66" s="116"/>
      <c r="W66" s="116"/>
      <c r="X66" s="116"/>
      <c r="Y66" s="116"/>
      <c r="Z66" s="116"/>
      <c r="AA66" s="116"/>
      <c r="AB66" s="47"/>
    </row>
    <row r="67" spans="1:28" ht="15" customHeight="1" thickBot="1" x14ac:dyDescent="0.3">
      <c r="A67" s="273"/>
      <c r="B67" s="181"/>
      <c r="C67" s="221" t="s">
        <v>148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51" t="s">
        <v>18</v>
      </c>
      <c r="Q67" s="118">
        <f>SUM(20*Q21)</f>
        <v>102</v>
      </c>
      <c r="R67" s="211" t="s">
        <v>21</v>
      </c>
      <c r="S67" s="212"/>
      <c r="T67" s="46"/>
      <c r="U67" s="46"/>
      <c r="V67" s="46"/>
      <c r="W67" s="46"/>
      <c r="X67" s="46"/>
      <c r="Y67" s="46"/>
      <c r="Z67" s="46"/>
      <c r="AA67" s="46"/>
      <c r="AB67" s="47"/>
    </row>
    <row r="68" spans="1:28" ht="15" customHeight="1" thickTop="1" thickBot="1" x14ac:dyDescent="0.3">
      <c r="A68" s="273"/>
      <c r="B68" s="181"/>
      <c r="C68" s="220" t="s">
        <v>149</v>
      </c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42" t="s">
        <v>18</v>
      </c>
      <c r="Q68" s="43">
        <f>IF((SUM((Q42)-2))&lt;=0,SUM((0*Q62)+(Q49+Q67+2)),SUM(((Q42)-2)*Q62)+(Q49+Q67+2))</f>
        <v>139</v>
      </c>
      <c r="R68" s="207" t="s">
        <v>21</v>
      </c>
      <c r="S68" s="208"/>
      <c r="T68" s="44" t="s">
        <v>65</v>
      </c>
      <c r="U68" s="45"/>
      <c r="V68" s="45"/>
      <c r="W68" s="45"/>
      <c r="X68" s="46"/>
      <c r="Y68" s="46"/>
      <c r="Z68" s="46"/>
      <c r="AA68" s="46"/>
      <c r="AB68" s="47"/>
    </row>
    <row r="69" spans="1:28" ht="15" customHeight="1" thickTop="1" x14ac:dyDescent="0.25">
      <c r="A69" s="274"/>
      <c r="B69" s="182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108"/>
      <c r="R69" s="101"/>
      <c r="S69" s="101"/>
      <c r="T69" s="104"/>
      <c r="U69" s="104"/>
      <c r="V69" s="104"/>
      <c r="W69" s="104"/>
      <c r="X69" s="34"/>
      <c r="Y69" s="34"/>
      <c r="Z69" s="34"/>
      <c r="AA69" s="34"/>
      <c r="AB69" s="52"/>
    </row>
    <row r="70" spans="1:28" ht="24.95" customHeight="1" thickBot="1" x14ac:dyDescent="0.3">
      <c r="A70" s="275" t="s">
        <v>136</v>
      </c>
      <c r="B70" s="183"/>
      <c r="C70" s="175" t="s">
        <v>47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94"/>
    </row>
    <row r="71" spans="1:28" ht="15" customHeight="1" thickTop="1" thickBot="1" x14ac:dyDescent="0.3">
      <c r="A71" s="276"/>
      <c r="B71" s="178"/>
      <c r="C71" s="174" t="s">
        <v>150</v>
      </c>
      <c r="D71" s="109"/>
      <c r="E71" s="109"/>
      <c r="F71" s="109"/>
      <c r="G71" s="109"/>
      <c r="H71" s="109"/>
      <c r="I71" s="109"/>
      <c r="J71" s="110" t="s">
        <v>67</v>
      </c>
      <c r="K71" s="111">
        <f>Ditch_Area_Reducing!$E$11</f>
        <v>559.21499999999992</v>
      </c>
      <c r="L71" s="112" t="s">
        <v>68</v>
      </c>
      <c r="M71" s="30">
        <f>Ditch_Area_Reducing!$E$15</f>
        <v>0</v>
      </c>
      <c r="N71" s="51" t="s">
        <v>66</v>
      </c>
      <c r="O71" s="113">
        <f>Ditch_Area_Reducing!$E$11</f>
        <v>559.21499999999992</v>
      </c>
      <c r="P71" s="51" t="s">
        <v>69</v>
      </c>
      <c r="Q71" s="222">
        <f>SUM(Ditch_Area_Reducing!$H$19/Ditch_Area_Reducing!$H$23)</f>
        <v>1</v>
      </c>
      <c r="R71" s="223"/>
      <c r="S71" s="224"/>
      <c r="T71" s="46"/>
      <c r="U71" s="46"/>
      <c r="V71" s="46"/>
      <c r="W71" s="246" t="s">
        <v>142</v>
      </c>
      <c r="X71" s="246"/>
      <c r="Y71" s="246"/>
      <c r="Z71" s="149"/>
      <c r="AA71" s="46"/>
      <c r="AB71" s="47"/>
    </row>
    <row r="72" spans="1:28" ht="15" customHeight="1" thickTop="1" thickBot="1" x14ac:dyDescent="0.3">
      <c r="A72" s="276"/>
      <c r="B72" s="178"/>
      <c r="C72" s="221" t="s">
        <v>151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51" t="s">
        <v>18</v>
      </c>
      <c r="Q72" s="43">
        <f>SUM(Q67*Q71)</f>
        <v>102</v>
      </c>
      <c r="R72" s="207" t="s">
        <v>21</v>
      </c>
      <c r="S72" s="208"/>
      <c r="T72" s="46"/>
      <c r="U72" s="46"/>
      <c r="V72" s="46"/>
      <c r="W72" s="243">
        <f>$Q$21</f>
        <v>5.0999999999999996</v>
      </c>
      <c r="X72" s="244"/>
      <c r="Y72" s="245"/>
      <c r="Z72" s="149" t="s">
        <v>21</v>
      </c>
      <c r="AA72" s="46"/>
      <c r="AB72" s="47"/>
    </row>
    <row r="73" spans="1:28" ht="15" customHeight="1" thickTop="1" thickBot="1" x14ac:dyDescent="0.3">
      <c r="A73" s="276"/>
      <c r="B73" s="178"/>
      <c r="C73" s="220" t="s">
        <v>152</v>
      </c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51" t="s">
        <v>18</v>
      </c>
      <c r="Q73" s="43">
        <f>IF((SUM((Q42)-2))&lt;=0,SUM((0*Q62)+(Q49+Q72+2)),SUM(((Q42)-2)*Q62)+(Q49+Q72+2))</f>
        <v>139</v>
      </c>
      <c r="R73" s="207" t="s">
        <v>64</v>
      </c>
      <c r="S73" s="208"/>
      <c r="T73" s="44" t="s">
        <v>65</v>
      </c>
      <c r="U73" s="45"/>
      <c r="V73" s="45"/>
      <c r="W73" s="46"/>
      <c r="X73" s="46"/>
      <c r="Y73" s="46"/>
      <c r="Z73" s="46"/>
      <c r="AA73" s="46"/>
      <c r="AB73" s="47"/>
    </row>
    <row r="74" spans="1:28" ht="15" customHeight="1" thickTop="1" x14ac:dyDescent="0.25">
      <c r="A74" s="276"/>
      <c r="B74" s="17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1"/>
      <c r="Q74" s="106"/>
      <c r="R74" s="95"/>
      <c r="S74" s="95"/>
      <c r="T74" s="45"/>
      <c r="U74" s="45"/>
      <c r="V74" s="45"/>
      <c r="W74" s="46"/>
      <c r="X74" s="46"/>
      <c r="Y74" s="46"/>
      <c r="Z74" s="46"/>
      <c r="AA74" s="46"/>
      <c r="AB74" s="47"/>
    </row>
    <row r="75" spans="1:28" ht="24.95" customHeight="1" thickBot="1" x14ac:dyDescent="0.3">
      <c r="A75" s="276"/>
      <c r="B75" s="178"/>
      <c r="C75" s="175" t="s">
        <v>154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07"/>
      <c r="W75" s="278" t="s">
        <v>142</v>
      </c>
      <c r="X75" s="278"/>
      <c r="Y75" s="278"/>
      <c r="Z75" s="187"/>
      <c r="AA75" s="107"/>
      <c r="AB75" s="47"/>
    </row>
    <row r="76" spans="1:28" ht="16.5" customHeight="1" thickTop="1" thickBot="1" x14ac:dyDescent="0.3">
      <c r="A76" s="276"/>
      <c r="B76" s="178"/>
      <c r="C76" s="220" t="s">
        <v>153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51" t="s">
        <v>18</v>
      </c>
      <c r="Q76" s="43">
        <f>Reduced_Setback!$D$12</f>
        <v>98.195999999999998</v>
      </c>
      <c r="R76" s="209" t="s">
        <v>21</v>
      </c>
      <c r="S76" s="210"/>
      <c r="T76" s="46"/>
      <c r="U76" s="46"/>
      <c r="V76" s="46"/>
      <c r="W76" s="243">
        <f>Q26</f>
        <v>7</v>
      </c>
      <c r="X76" s="244"/>
      <c r="Y76" s="245"/>
      <c r="Z76" s="149" t="s">
        <v>21</v>
      </c>
      <c r="AA76" s="46"/>
      <c r="AB76" s="47"/>
    </row>
    <row r="77" spans="1:28" ht="16.5" customHeight="1" thickTop="1" thickBot="1" x14ac:dyDescent="0.3">
      <c r="A77" s="276"/>
      <c r="B77" s="178"/>
      <c r="C77" s="221" t="s">
        <v>149</v>
      </c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51" t="s">
        <v>18</v>
      </c>
      <c r="Q77" s="43">
        <f>IF((SUM((Q42)-2))&lt;=0,SUM((0*Q62)+(Q49+Q76+2)),SUM(((Q42)-2)*Q62)+(Q49+Q76+2))</f>
        <v>135.196</v>
      </c>
      <c r="R77" s="209" t="s">
        <v>64</v>
      </c>
      <c r="S77" s="210"/>
      <c r="T77" s="44" t="s">
        <v>65</v>
      </c>
      <c r="U77" s="45"/>
      <c r="V77" s="46"/>
      <c r="W77" s="46"/>
      <c r="X77" s="46"/>
      <c r="Y77" s="46"/>
      <c r="Z77" s="46"/>
      <c r="AA77" s="46"/>
      <c r="AB77" s="47"/>
    </row>
    <row r="78" spans="1:28" ht="19.5" thickTop="1" x14ac:dyDescent="0.25">
      <c r="A78" s="276"/>
      <c r="B78" s="178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7"/>
    </row>
    <row r="79" spans="1:28" ht="19.5" thickBot="1" x14ac:dyDescent="0.3">
      <c r="A79" s="277"/>
      <c r="B79" s="18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6"/>
    </row>
    <row r="80" spans="1:28" ht="15.75" thickTop="1" x14ac:dyDescent="0.25">
      <c r="Q80" s="31"/>
    </row>
    <row r="81" spans="15:17" x14ac:dyDescent="0.25">
      <c r="Q81" s="3"/>
    </row>
    <row r="82" spans="15:17" x14ac:dyDescent="0.25">
      <c r="Q82" s="3"/>
    </row>
    <row r="83" spans="15:17" x14ac:dyDescent="0.25">
      <c r="O83" s="31"/>
      <c r="Q83" s="31"/>
    </row>
  </sheetData>
  <sheetProtection selectLockedCells="1"/>
  <mergeCells count="108">
    <mergeCell ref="A44:A69"/>
    <mergeCell ref="A70:A79"/>
    <mergeCell ref="W75:Y75"/>
    <mergeCell ref="W76:Y76"/>
    <mergeCell ref="W71:Y71"/>
    <mergeCell ref="W72:Y72"/>
    <mergeCell ref="A39:A43"/>
    <mergeCell ref="C40:O41"/>
    <mergeCell ref="X49:Y49"/>
    <mergeCell ref="C49:O49"/>
    <mergeCell ref="V49:W49"/>
    <mergeCell ref="V46:W46"/>
    <mergeCell ref="V47:W47"/>
    <mergeCell ref="V48:W48"/>
    <mergeCell ref="X48:Y48"/>
    <mergeCell ref="X46:Y46"/>
    <mergeCell ref="X47:Y47"/>
    <mergeCell ref="F55:AA55"/>
    <mergeCell ref="C50:O50"/>
    <mergeCell ref="R50:S50"/>
    <mergeCell ref="V45:W45"/>
    <mergeCell ref="Z48:AA48"/>
    <mergeCell ref="X45:Y45"/>
    <mergeCell ref="Z45:AA45"/>
    <mergeCell ref="D9:O9"/>
    <mergeCell ref="Q9:S9"/>
    <mergeCell ref="D10:O10"/>
    <mergeCell ref="Q10:S10"/>
    <mergeCell ref="C42:O42"/>
    <mergeCell ref="Q34:S34"/>
    <mergeCell ref="Q33:S33"/>
    <mergeCell ref="A3:A37"/>
    <mergeCell ref="D6:O6"/>
    <mergeCell ref="Q6:Y6"/>
    <mergeCell ref="D7:O7"/>
    <mergeCell ref="Q7:S7"/>
    <mergeCell ref="D8:O8"/>
    <mergeCell ref="Q8:S8"/>
    <mergeCell ref="U30:W30"/>
    <mergeCell ref="U34:W34"/>
    <mergeCell ref="U35:W35"/>
    <mergeCell ref="Q36:S36"/>
    <mergeCell ref="D36:O36"/>
    <mergeCell ref="X19:Z20"/>
    <mergeCell ref="Q15:S15"/>
    <mergeCell ref="Q16:S16"/>
    <mergeCell ref="Q17:S17"/>
    <mergeCell ref="Q18:S18"/>
    <mergeCell ref="Q14:S14"/>
    <mergeCell ref="Q20:S20"/>
    <mergeCell ref="Q21:S21"/>
    <mergeCell ref="C26:O26"/>
    <mergeCell ref="C27:O27"/>
    <mergeCell ref="D33:O33"/>
    <mergeCell ref="Q35:S35"/>
    <mergeCell ref="D35:O35"/>
    <mergeCell ref="AC42:AO43"/>
    <mergeCell ref="U40:W40"/>
    <mergeCell ref="U39:W39"/>
    <mergeCell ref="Q19:S19"/>
    <mergeCell ref="D34:O34"/>
    <mergeCell ref="D14:O14"/>
    <mergeCell ref="D20:O20"/>
    <mergeCell ref="D21:O21"/>
    <mergeCell ref="C15:O15"/>
    <mergeCell ref="C16:O16"/>
    <mergeCell ref="C17:O17"/>
    <mergeCell ref="C18:O18"/>
    <mergeCell ref="C19:O19"/>
    <mergeCell ref="D22:O22"/>
    <mergeCell ref="C53:E53"/>
    <mergeCell ref="C54:E55"/>
    <mergeCell ref="F53:AA53"/>
    <mergeCell ref="C47:Q47"/>
    <mergeCell ref="C48:O48"/>
    <mergeCell ref="Z49:AA49"/>
    <mergeCell ref="Z46:AA46"/>
    <mergeCell ref="Z47:AA47"/>
    <mergeCell ref="Q22:S22"/>
    <mergeCell ref="Q26:S26"/>
    <mergeCell ref="Q27:S27"/>
    <mergeCell ref="C24:O24"/>
    <mergeCell ref="C25:O25"/>
    <mergeCell ref="C44:AB44"/>
    <mergeCell ref="A1:AB2"/>
    <mergeCell ref="R73:S73"/>
    <mergeCell ref="R76:S76"/>
    <mergeCell ref="R77:S77"/>
    <mergeCell ref="R68:S68"/>
    <mergeCell ref="R67:S67"/>
    <mergeCell ref="R61:S61"/>
    <mergeCell ref="R62:S62"/>
    <mergeCell ref="R49:S49"/>
    <mergeCell ref="R40:S40"/>
    <mergeCell ref="R42:S42"/>
    <mergeCell ref="C29:O29"/>
    <mergeCell ref="Q29:S29"/>
    <mergeCell ref="U29:W29"/>
    <mergeCell ref="C30:O30"/>
    <mergeCell ref="Q30:S30"/>
    <mergeCell ref="C76:O76"/>
    <mergeCell ref="C77:O77"/>
    <mergeCell ref="Q71:S71"/>
    <mergeCell ref="R72:S72"/>
    <mergeCell ref="C72:O72"/>
    <mergeCell ref="C73:O73"/>
    <mergeCell ref="C67:O67"/>
    <mergeCell ref="C68:O68"/>
  </mergeCells>
  <pageMargins left="0.7" right="0.7" top="0.75" bottom="0.75" header="0.3" footer="0.3"/>
  <pageSetup scale="5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C21" sqref="C21"/>
    </sheetView>
  </sheetViews>
  <sheetFormatPr defaultRowHeight="15" x14ac:dyDescent="0.25"/>
  <cols>
    <col min="2" max="2" width="31.7109375" customWidth="1"/>
    <col min="5" max="5" width="7.85546875" customWidth="1"/>
    <col min="6" max="6" width="18.28515625" customWidth="1"/>
  </cols>
  <sheetData>
    <row r="1" spans="1:14" x14ac:dyDescent="0.25">
      <c r="A1" s="23"/>
      <c r="B1" s="23"/>
      <c r="C1" s="23"/>
      <c r="D1" s="23"/>
      <c r="E1" s="23"/>
      <c r="F1" s="23"/>
    </row>
    <row r="2" spans="1:14" ht="18" x14ac:dyDescent="0.25">
      <c r="A2" s="23"/>
      <c r="B2" s="75" t="s">
        <v>109</v>
      </c>
      <c r="C2" s="23"/>
      <c r="D2" s="23"/>
      <c r="E2" s="23"/>
      <c r="F2" s="23"/>
    </row>
    <row r="3" spans="1:14" ht="15" customHeight="1" x14ac:dyDescent="0.25">
      <c r="A3" s="23"/>
      <c r="B3" s="23"/>
      <c r="C3" s="23"/>
      <c r="D3" s="23"/>
      <c r="E3" s="23"/>
      <c r="F3" s="23"/>
    </row>
    <row r="4" spans="1:14" ht="15" customHeight="1" x14ac:dyDescent="0.25">
      <c r="A4" s="23"/>
      <c r="B4" s="304" t="s">
        <v>110</v>
      </c>
      <c r="C4" s="304"/>
      <c r="D4" s="304"/>
      <c r="E4" s="304"/>
      <c r="F4" s="304"/>
    </row>
    <row r="5" spans="1:14" ht="15" customHeight="1" x14ac:dyDescent="0.25">
      <c r="A5" s="23"/>
      <c r="B5" s="77"/>
      <c r="C5" s="26"/>
      <c r="D5" s="26"/>
      <c r="E5" s="26"/>
      <c r="F5" s="26"/>
    </row>
    <row r="6" spans="1:14" ht="15" customHeight="1" x14ac:dyDescent="0.25">
      <c r="A6" s="23"/>
      <c r="B6" s="305" t="s">
        <v>113</v>
      </c>
      <c r="C6" s="305"/>
      <c r="D6" s="305"/>
      <c r="E6" s="88">
        <f>Project_Data!Q19</f>
        <v>7.52</v>
      </c>
      <c r="F6" s="86"/>
    </row>
    <row r="7" spans="1:14" ht="15" customHeight="1" x14ac:dyDescent="0.25">
      <c r="A7" s="23"/>
      <c r="B7" s="305" t="s">
        <v>111</v>
      </c>
      <c r="C7" s="305"/>
      <c r="D7" s="305"/>
      <c r="E7" s="88">
        <f>Project_Data!Q20</f>
        <v>0.5</v>
      </c>
      <c r="F7" s="86"/>
    </row>
    <row r="8" spans="1:14" ht="15" customHeight="1" x14ac:dyDescent="0.25">
      <c r="A8" s="23"/>
      <c r="B8" s="306" t="s">
        <v>112</v>
      </c>
      <c r="C8" s="306"/>
      <c r="D8" s="306"/>
      <c r="E8" s="87">
        <f>SUM(POWER(Project_Data!Q19/(3+(4*Project_Data!Q20)+(44*POWER(Project_Data!Q20,2))-(60*POWER(Project_Data!Q20,3))),0.455))</f>
        <v>0.94578736150484211</v>
      </c>
      <c r="F8" s="86"/>
    </row>
    <row r="9" spans="1:14" x14ac:dyDescent="0.25">
      <c r="A9" s="23"/>
      <c r="B9" s="23"/>
      <c r="C9" s="23"/>
      <c r="D9" s="23"/>
      <c r="E9" s="23"/>
      <c r="F9" s="23"/>
    </row>
    <row r="10" spans="1:14" x14ac:dyDescent="0.25">
      <c r="A10" s="23"/>
      <c r="B10" s="23"/>
      <c r="C10" s="23"/>
      <c r="D10" s="23"/>
      <c r="E10" s="23"/>
      <c r="F10" s="23"/>
    </row>
    <row r="13" spans="1:14" x14ac:dyDescent="0.25">
      <c r="E13" s="85"/>
    </row>
    <row r="15" spans="1:14" ht="15" customHeight="1" x14ac:dyDescent="0.25">
      <c r="K15" s="138"/>
      <c r="L15" s="138"/>
      <c r="M15" s="138"/>
      <c r="N15" s="138"/>
    </row>
    <row r="16" spans="1:14" ht="15" customHeight="1" x14ac:dyDescent="0.25">
      <c r="B16" s="139" t="s">
        <v>125</v>
      </c>
      <c r="C16">
        <f>SUM(3+(4*Project_Data!Q20))</f>
        <v>5</v>
      </c>
      <c r="I16" s="138"/>
      <c r="J16" s="138"/>
      <c r="K16" s="138"/>
      <c r="L16" s="138"/>
      <c r="M16" s="138"/>
      <c r="N16" s="138"/>
    </row>
    <row r="17" spans="2:14" x14ac:dyDescent="0.25">
      <c r="B17" s="139" t="s">
        <v>126</v>
      </c>
      <c r="C17">
        <f>SUM(POWER(Project_Data!Q20,2))</f>
        <v>0.25</v>
      </c>
      <c r="K17" s="138"/>
      <c r="L17" s="138"/>
      <c r="M17" s="138"/>
      <c r="N17" s="138"/>
    </row>
    <row r="18" spans="2:14" x14ac:dyDescent="0.25">
      <c r="B18" s="139" t="s">
        <v>119</v>
      </c>
      <c r="C18">
        <f>SUM(44*POWER(Project_Data!Q20,2))</f>
        <v>11</v>
      </c>
      <c r="J18" s="138"/>
      <c r="K18" s="138"/>
      <c r="L18" s="138"/>
      <c r="M18" s="138"/>
    </row>
    <row r="19" spans="2:14" x14ac:dyDescent="0.25">
      <c r="B19" s="139" t="s">
        <v>120</v>
      </c>
      <c r="C19" s="2">
        <f>SUM(POWER(Project_Data!Q20,3))</f>
        <v>0.125</v>
      </c>
    </row>
    <row r="20" spans="2:14" x14ac:dyDescent="0.25">
      <c r="B20" s="139" t="s">
        <v>121</v>
      </c>
      <c r="C20">
        <f>SUM(60*POWER(Project_Data!Q20,3))</f>
        <v>7.5</v>
      </c>
    </row>
    <row r="21" spans="2:14" x14ac:dyDescent="0.25">
      <c r="B21" s="139" t="s">
        <v>122</v>
      </c>
      <c r="C21">
        <f>SUM(C16+C18-C20)</f>
        <v>8.5</v>
      </c>
    </row>
    <row r="22" spans="2:14" x14ac:dyDescent="0.25">
      <c r="B22" s="139" t="s">
        <v>123</v>
      </c>
      <c r="C22" s="2">
        <f>SUM((E6)/C21)</f>
        <v>0.88470588235294112</v>
      </c>
    </row>
    <row r="23" spans="2:14" ht="15" customHeight="1" x14ac:dyDescent="0.25">
      <c r="B23" s="139" t="s">
        <v>124</v>
      </c>
      <c r="C23" s="2">
        <f>POWER(C22,0.455)</f>
        <v>0.94578736150484211</v>
      </c>
      <c r="H23" s="138"/>
      <c r="I23" s="138"/>
      <c r="J23" s="138"/>
      <c r="K23" s="138"/>
    </row>
  </sheetData>
  <mergeCells count="4">
    <mergeCell ref="B4:F4"/>
    <mergeCell ref="B6:D6"/>
    <mergeCell ref="B7:D7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>
      <selection activeCell="B2" sqref="B2:F20"/>
    </sheetView>
  </sheetViews>
  <sheetFormatPr defaultRowHeight="15" x14ac:dyDescent="0.25"/>
  <sheetData>
    <row r="2" spans="2:2" x14ac:dyDescent="0.25">
      <c r="B2" s="72"/>
    </row>
    <row r="3" spans="2:2" x14ac:dyDescent="0.25">
      <c r="B3" s="62"/>
    </row>
    <row r="4" spans="2:2" x14ac:dyDescent="0.25">
      <c r="B4" s="72"/>
    </row>
    <row r="5" spans="2:2" x14ac:dyDescent="0.25">
      <c r="B5" s="62"/>
    </row>
    <row r="6" spans="2:2" x14ac:dyDescent="0.25">
      <c r="B6" s="72"/>
    </row>
    <row r="7" spans="2:2" x14ac:dyDescent="0.25">
      <c r="B7" s="62"/>
    </row>
    <row r="8" spans="2:2" x14ac:dyDescent="0.25">
      <c r="B8" s="72"/>
    </row>
    <row r="9" spans="2:2" x14ac:dyDescent="0.25">
      <c r="B9" s="62"/>
    </row>
    <row r="10" spans="2:2" x14ac:dyDescent="0.25">
      <c r="B10" s="72"/>
    </row>
    <row r="11" spans="2:2" x14ac:dyDescent="0.25">
      <c r="B11" s="62"/>
    </row>
    <row r="12" spans="2:2" x14ac:dyDescent="0.25">
      <c r="B12" s="72"/>
    </row>
    <row r="13" spans="2:2" x14ac:dyDescent="0.25">
      <c r="B13" s="62"/>
    </row>
    <row r="14" spans="2:2" x14ac:dyDescent="0.25">
      <c r="B14" s="72"/>
    </row>
    <row r="15" spans="2:2" x14ac:dyDescent="0.25">
      <c r="B15" s="62"/>
    </row>
    <row r="16" spans="2:2" x14ac:dyDescent="0.25">
      <c r="B16" s="72"/>
    </row>
    <row r="17" spans="2:2" x14ac:dyDescent="0.25">
      <c r="B17" s="62"/>
    </row>
    <row r="18" spans="2:2" x14ac:dyDescent="0.25">
      <c r="B18" s="72"/>
    </row>
    <row r="19" spans="2:2" x14ac:dyDescent="0.25">
      <c r="B19" s="62"/>
    </row>
    <row r="20" spans="2:2" x14ac:dyDescent="0.25">
      <c r="B20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F17" sqref="F17"/>
    </sheetView>
  </sheetViews>
  <sheetFormatPr defaultRowHeight="15" x14ac:dyDescent="0.25"/>
  <cols>
    <col min="3" max="3" width="18.140625" customWidth="1"/>
    <col min="4" max="4" width="16.28515625" customWidth="1"/>
    <col min="5" max="5" width="17.28515625" customWidth="1"/>
    <col min="6" max="6" width="20" customWidth="1"/>
  </cols>
  <sheetData>
    <row r="1" spans="1:15" ht="18" x14ac:dyDescent="0.25">
      <c r="A1" s="291" t="s">
        <v>2</v>
      </c>
      <c r="B1" s="291"/>
      <c r="C1" s="291"/>
      <c r="D1" s="291"/>
      <c r="E1" s="291"/>
      <c r="F1" s="291"/>
      <c r="G1" s="291"/>
    </row>
    <row r="2" spans="1:15" x14ac:dyDescent="0.25">
      <c r="A2" s="23" t="s">
        <v>39</v>
      </c>
      <c r="B2" s="23"/>
      <c r="C2" s="23"/>
      <c r="D2" s="23"/>
      <c r="E2" s="23"/>
      <c r="F2" s="23"/>
      <c r="G2" s="23"/>
    </row>
    <row r="3" spans="1:15" x14ac:dyDescent="0.25">
      <c r="A3" s="23"/>
      <c r="B3" s="23"/>
      <c r="C3" s="23"/>
      <c r="D3" s="23"/>
      <c r="E3" s="23"/>
      <c r="F3" s="23"/>
      <c r="G3" s="23"/>
    </row>
    <row r="4" spans="1:15" x14ac:dyDescent="0.25">
      <c r="A4" s="23" t="s">
        <v>38</v>
      </c>
      <c r="B4" s="29"/>
      <c r="C4" s="23"/>
      <c r="D4" s="23"/>
      <c r="E4" s="23"/>
      <c r="F4" s="23"/>
      <c r="G4" s="23"/>
      <c r="O4" s="2"/>
    </row>
    <row r="5" spans="1:15" x14ac:dyDescent="0.25">
      <c r="A5" s="23"/>
      <c r="B5" s="23"/>
      <c r="C5" s="23"/>
      <c r="D5" s="23"/>
      <c r="E5" s="23"/>
      <c r="F5" s="23"/>
      <c r="G5" s="23"/>
      <c r="O5" s="2"/>
    </row>
    <row r="6" spans="1:15" x14ac:dyDescent="0.25">
      <c r="A6" s="23"/>
      <c r="B6" s="23" t="s">
        <v>0</v>
      </c>
      <c r="C6" s="23"/>
      <c r="D6" s="23"/>
      <c r="E6" s="23"/>
      <c r="F6" s="23"/>
      <c r="G6" s="23"/>
      <c r="O6" s="2"/>
    </row>
    <row r="7" spans="1:15" x14ac:dyDescent="0.25">
      <c r="A7" s="23"/>
      <c r="B7" s="23" t="s">
        <v>1</v>
      </c>
      <c r="C7" s="23"/>
      <c r="D7" s="23"/>
      <c r="E7" s="23"/>
      <c r="F7" s="23"/>
      <c r="G7" s="23"/>
      <c r="O7" s="2"/>
    </row>
    <row r="8" spans="1:15" x14ac:dyDescent="0.25">
      <c r="A8" s="23"/>
      <c r="B8" s="23"/>
      <c r="C8" s="23"/>
      <c r="D8" s="23"/>
      <c r="E8" s="23"/>
      <c r="F8" s="23"/>
      <c r="G8" s="23"/>
      <c r="O8" s="2"/>
    </row>
    <row r="9" spans="1:15" x14ac:dyDescent="0.25">
      <c r="A9" s="23"/>
      <c r="B9" s="23"/>
      <c r="C9" s="119" t="s">
        <v>117</v>
      </c>
      <c r="D9" s="119"/>
      <c r="E9" s="119"/>
      <c r="F9" s="23"/>
      <c r="G9" s="23"/>
      <c r="O9" s="2"/>
    </row>
    <row r="10" spans="1:15" x14ac:dyDescent="0.25">
      <c r="A10" s="23"/>
      <c r="B10" s="23"/>
      <c r="C10" s="119"/>
      <c r="D10" s="119"/>
      <c r="E10" s="119"/>
      <c r="F10" s="23"/>
      <c r="G10" s="23"/>
      <c r="O10" s="2"/>
    </row>
    <row r="11" spans="1:15" x14ac:dyDescent="0.25">
      <c r="A11" s="23"/>
      <c r="B11" s="23"/>
      <c r="C11" s="23" t="s">
        <v>6</v>
      </c>
      <c r="D11" s="23"/>
      <c r="E11" s="23"/>
      <c r="F11" s="23"/>
      <c r="G11" s="23"/>
      <c r="O11" s="2"/>
    </row>
    <row r="12" spans="1:15" x14ac:dyDescent="0.25">
      <c r="A12" s="23"/>
      <c r="B12" s="23"/>
      <c r="C12" s="23" t="s">
        <v>3</v>
      </c>
      <c r="D12" s="23"/>
      <c r="E12" s="23"/>
      <c r="F12" s="23"/>
      <c r="G12" s="23"/>
      <c r="O12" s="2"/>
    </row>
    <row r="13" spans="1:15" x14ac:dyDescent="0.25">
      <c r="A13" s="23"/>
      <c r="B13" s="23"/>
      <c r="C13" s="23" t="s">
        <v>4</v>
      </c>
      <c r="D13" s="23"/>
      <c r="E13" s="23"/>
      <c r="F13" s="23"/>
      <c r="G13" s="23"/>
      <c r="O13" s="2"/>
    </row>
    <row r="14" spans="1:15" x14ac:dyDescent="0.25">
      <c r="A14" s="23"/>
      <c r="B14" s="23"/>
      <c r="C14" s="23" t="s">
        <v>5</v>
      </c>
      <c r="D14" s="23"/>
      <c r="E14" s="23"/>
      <c r="F14" s="23"/>
      <c r="G14" s="23"/>
      <c r="O14" s="2"/>
    </row>
    <row r="15" spans="1:15" ht="15.75" thickBot="1" x14ac:dyDescent="0.3">
      <c r="A15" s="23"/>
      <c r="B15" s="23"/>
      <c r="C15" s="23"/>
      <c r="D15" s="23"/>
      <c r="E15" s="23"/>
      <c r="F15" s="23"/>
      <c r="G15" s="23"/>
      <c r="O15" s="2"/>
    </row>
    <row r="16" spans="1:15" ht="33.75" customHeight="1" thickTop="1" thickBot="1" x14ac:dyDescent="0.3">
      <c r="A16" s="23"/>
      <c r="B16" s="23"/>
      <c r="C16" s="7" t="s">
        <v>10</v>
      </c>
      <c r="D16" s="7" t="s">
        <v>11</v>
      </c>
      <c r="E16" s="10" t="s">
        <v>12</v>
      </c>
      <c r="F16" s="6" t="s">
        <v>13</v>
      </c>
      <c r="G16" s="23"/>
      <c r="O16" s="2"/>
    </row>
    <row r="17" spans="1:15" ht="15.75" thickBot="1" x14ac:dyDescent="0.3">
      <c r="A17" s="23"/>
      <c r="B17" s="23"/>
      <c r="C17" s="12">
        <f>Project_Data!$Q$21</f>
        <v>5.0999999999999996</v>
      </c>
      <c r="D17" s="12">
        <f>Project_Data!$Q$22</f>
        <v>90</v>
      </c>
      <c r="E17" s="13">
        <f>SUM((Project_Data!$Q$20))</f>
        <v>0.5</v>
      </c>
      <c r="F17" s="61">
        <f>SUM((C17)*(SIN(RADIANS(D17)))*((12)+(49*E17)+(7*(POWER(E17,2)))-(37*(POWER(E17,3)))))</f>
        <v>171.48749999999998</v>
      </c>
      <c r="G17" s="23"/>
      <c r="O17" s="2"/>
    </row>
    <row r="18" spans="1:15" ht="15.75" thickTop="1" x14ac:dyDescent="0.25">
      <c r="A18" s="23"/>
      <c r="B18" s="23"/>
      <c r="C18" s="23"/>
      <c r="D18" s="23"/>
      <c r="E18" s="23"/>
      <c r="F18" s="23"/>
      <c r="G18" s="23"/>
      <c r="O18" s="2"/>
    </row>
    <row r="19" spans="1:15" x14ac:dyDescent="0.25">
      <c r="A19" s="23"/>
      <c r="B19" s="23"/>
      <c r="C19" s="23"/>
      <c r="D19" s="23"/>
      <c r="E19" s="23"/>
      <c r="F19" s="23"/>
      <c r="G19" s="23"/>
    </row>
    <row r="22" spans="1:15" x14ac:dyDescent="0.25">
      <c r="C22" s="1"/>
      <c r="D22" s="1"/>
      <c r="E22" s="1"/>
      <c r="F22" s="1"/>
      <c r="G22" s="1"/>
      <c r="H22" s="1"/>
      <c r="M22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C9" sqref="C9"/>
    </sheetView>
  </sheetViews>
  <sheetFormatPr defaultRowHeight="15" x14ac:dyDescent="0.25"/>
  <cols>
    <col min="2" max="2" width="11.42578125" customWidth="1"/>
    <col min="3" max="3" width="12.140625" customWidth="1"/>
  </cols>
  <sheetData>
    <row r="1" spans="1:7" ht="18" x14ac:dyDescent="0.25">
      <c r="A1" s="291" t="s">
        <v>35</v>
      </c>
      <c r="B1" s="291"/>
      <c r="C1" s="291"/>
      <c r="D1" s="291"/>
      <c r="E1" s="291"/>
      <c r="F1" s="291"/>
      <c r="G1" s="291"/>
    </row>
    <row r="2" spans="1:7" x14ac:dyDescent="0.25">
      <c r="A2" s="23" t="s">
        <v>72</v>
      </c>
      <c r="B2" s="23"/>
      <c r="C2" s="23"/>
      <c r="D2" s="23"/>
      <c r="E2" s="23"/>
      <c r="F2" s="23"/>
      <c r="G2" s="23"/>
    </row>
    <row r="3" spans="1:7" x14ac:dyDescent="0.25">
      <c r="A3" s="24" t="s">
        <v>29</v>
      </c>
      <c r="B3" s="27">
        <f>Project_Data!$Q$21</f>
        <v>5.0999999999999996</v>
      </c>
      <c r="C3" s="23" t="s">
        <v>31</v>
      </c>
      <c r="D3" s="23"/>
      <c r="E3" s="23"/>
      <c r="F3" s="23"/>
      <c r="G3" s="23"/>
    </row>
    <row r="4" spans="1:7" x14ac:dyDescent="0.25">
      <c r="A4" s="24" t="s">
        <v>32</v>
      </c>
      <c r="B4" s="27">
        <f>Project_Data!$Q$26</f>
        <v>7</v>
      </c>
      <c r="C4" s="23" t="s">
        <v>33</v>
      </c>
      <c r="D4" s="23"/>
      <c r="E4" s="23"/>
      <c r="F4" s="23"/>
      <c r="G4" s="23"/>
    </row>
    <row r="5" spans="1:7" x14ac:dyDescent="0.25">
      <c r="A5" s="23"/>
      <c r="B5" s="25" t="s">
        <v>34</v>
      </c>
      <c r="C5" s="23" t="s">
        <v>35</v>
      </c>
      <c r="D5" s="23"/>
      <c r="E5" s="23"/>
      <c r="F5" s="23"/>
      <c r="G5" s="23"/>
    </row>
    <row r="6" spans="1:7" x14ac:dyDescent="0.25">
      <c r="A6" s="23"/>
      <c r="B6" s="25"/>
      <c r="C6" s="23"/>
      <c r="D6" s="23"/>
      <c r="E6" s="23"/>
      <c r="F6" s="23"/>
      <c r="G6" s="23"/>
    </row>
    <row r="7" spans="1:7" x14ac:dyDescent="0.25">
      <c r="A7" s="23"/>
      <c r="B7" s="23"/>
      <c r="C7" s="23" t="s">
        <v>30</v>
      </c>
      <c r="D7" s="23"/>
      <c r="E7" s="23"/>
      <c r="F7" s="23"/>
      <c r="G7" s="23"/>
    </row>
    <row r="8" spans="1:7" ht="15.75" thickBot="1" x14ac:dyDescent="0.3">
      <c r="A8" s="23"/>
      <c r="B8" s="23"/>
      <c r="C8" s="23"/>
      <c r="D8" s="23"/>
      <c r="E8" s="23"/>
      <c r="F8" s="23"/>
      <c r="G8" s="23"/>
    </row>
    <row r="9" spans="1:7" ht="16.5" thickTop="1" thickBot="1" x14ac:dyDescent="0.3">
      <c r="A9" s="23"/>
      <c r="B9" s="20" t="s">
        <v>36</v>
      </c>
      <c r="C9" s="71">
        <f>SUM(POWER(Project_Data!$Q$26/Project_Data!$Q$21,2))</f>
        <v>1.8838908112264514</v>
      </c>
      <c r="D9" s="21" t="s">
        <v>37</v>
      </c>
      <c r="E9" s="23"/>
      <c r="F9" s="23"/>
      <c r="G9" s="23"/>
    </row>
    <row r="10" spans="1:7" ht="15.75" thickTop="1" x14ac:dyDescent="0.25">
      <c r="A10" s="23"/>
      <c r="B10" s="23"/>
      <c r="C10" s="23"/>
      <c r="D10" s="23"/>
      <c r="E10" s="23"/>
      <c r="F10" s="23"/>
      <c r="G10" s="23"/>
    </row>
    <row r="11" spans="1:7" x14ac:dyDescent="0.25">
      <c r="A11" s="23"/>
      <c r="B11" s="23"/>
      <c r="C11" s="23"/>
      <c r="D11" s="23"/>
      <c r="E11" s="23"/>
      <c r="F11" s="23"/>
      <c r="G11" s="23"/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3"/>
      <c r="B13" s="23"/>
      <c r="C13" s="23"/>
      <c r="D13" s="23"/>
      <c r="E13" s="23"/>
      <c r="F13" s="23"/>
      <c r="G13" s="23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>
      <selection activeCell="C11" sqref="C11"/>
    </sheetView>
  </sheetViews>
  <sheetFormatPr defaultRowHeight="15" x14ac:dyDescent="0.25"/>
  <cols>
    <col min="3" max="3" width="4.42578125" customWidth="1"/>
    <col min="6" max="6" width="17.140625" customWidth="1"/>
  </cols>
  <sheetData>
    <row r="1" spans="1:10" ht="18" x14ac:dyDescent="0.25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x14ac:dyDescent="0.25">
      <c r="A2" s="23" t="s">
        <v>118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 t="s">
        <v>49</v>
      </c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50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4" t="s">
        <v>19</v>
      </c>
      <c r="C7" s="23" t="s">
        <v>52</v>
      </c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5" t="s">
        <v>53</v>
      </c>
      <c r="C8" s="23" t="s">
        <v>54</v>
      </c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5" t="s">
        <v>55</v>
      </c>
      <c r="C10" s="23">
        <f>Project_Data!$Q$21</f>
        <v>5.0999999999999996</v>
      </c>
      <c r="D10" s="23" t="s">
        <v>56</v>
      </c>
      <c r="E10" s="23"/>
      <c r="F10" s="23"/>
      <c r="G10" s="23"/>
      <c r="H10" s="23"/>
      <c r="I10" s="23"/>
      <c r="J10" s="23"/>
    </row>
    <row r="11" spans="1:10" x14ac:dyDescent="0.25">
      <c r="A11" s="23"/>
      <c r="B11" s="25" t="s">
        <v>51</v>
      </c>
      <c r="C11" s="23"/>
      <c r="D11" s="23" t="s">
        <v>18</v>
      </c>
      <c r="E11" s="23">
        <f>H19</f>
        <v>559.21499999999992</v>
      </c>
      <c r="F11" s="23" t="s">
        <v>58</v>
      </c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6" t="s">
        <v>59</v>
      </c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 t="s">
        <v>60</v>
      </c>
      <c r="C15" s="23"/>
      <c r="D15" s="27" t="s">
        <v>18</v>
      </c>
      <c r="E15" s="23">
        <f>SUM((((Project_Data!U34*Project_Data!Q33)*(Project_Data!Q34*Project_Data!Q33))/2)+(Project_Data!Q33*Project_Data!Q36)+((Project_Data!U35*Project_Data!Q35)*(Project_Data!Q35*Project_Data!Q33)/2))</f>
        <v>0</v>
      </c>
      <c r="F15" s="23" t="s">
        <v>58</v>
      </c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75" thickBo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6.5" thickTop="1" thickBot="1" x14ac:dyDescent="0.3">
      <c r="A19" s="23"/>
      <c r="B19" s="23"/>
      <c r="C19" s="23"/>
      <c r="D19" s="23"/>
      <c r="E19" s="23"/>
      <c r="F19" s="292" t="s">
        <v>61</v>
      </c>
      <c r="G19" s="293"/>
      <c r="H19" s="140">
        <f>SUM(21.5*(POWER(C10,2)))</f>
        <v>559.21499999999992</v>
      </c>
      <c r="I19" s="15" t="s">
        <v>57</v>
      </c>
      <c r="J19" s="23"/>
    </row>
    <row r="20" spans="1:10" ht="15.75" thickBot="1" x14ac:dyDescent="0.3">
      <c r="A20" s="23"/>
      <c r="B20" s="23"/>
      <c r="C20" s="23"/>
      <c r="D20" s="23"/>
      <c r="E20" s="23"/>
      <c r="F20" s="298"/>
      <c r="G20" s="299"/>
      <c r="H20" s="299"/>
      <c r="I20" s="300"/>
      <c r="J20" s="23"/>
    </row>
    <row r="21" spans="1:10" ht="15.75" thickBot="1" x14ac:dyDescent="0.3">
      <c r="A21" s="23"/>
      <c r="B21" s="23"/>
      <c r="C21" s="23"/>
      <c r="D21" s="23"/>
      <c r="E21" s="23"/>
      <c r="F21" s="294" t="s">
        <v>62</v>
      </c>
      <c r="G21" s="295"/>
      <c r="H21" s="16">
        <f>E15</f>
        <v>0</v>
      </c>
      <c r="I21" s="17" t="s">
        <v>57</v>
      </c>
      <c r="J21" s="23"/>
    </row>
    <row r="22" spans="1:10" ht="15.75" thickBot="1" x14ac:dyDescent="0.3">
      <c r="A22" s="23"/>
      <c r="B22" s="23"/>
      <c r="C22" s="23"/>
      <c r="D22" s="23"/>
      <c r="E22" s="23"/>
      <c r="F22" s="298"/>
      <c r="G22" s="299"/>
      <c r="H22" s="299"/>
      <c r="I22" s="300"/>
      <c r="J22" s="23"/>
    </row>
    <row r="23" spans="1:10" ht="15.75" thickBot="1" x14ac:dyDescent="0.3">
      <c r="A23" s="23"/>
      <c r="B23" s="23"/>
      <c r="C23" s="23"/>
      <c r="D23" s="23"/>
      <c r="E23" s="23"/>
      <c r="F23" s="296" t="s">
        <v>63</v>
      </c>
      <c r="G23" s="297"/>
      <c r="H23" s="18">
        <f>SUM(H19:H22)</f>
        <v>559.21499999999992</v>
      </c>
      <c r="I23" s="19" t="s">
        <v>57</v>
      </c>
      <c r="J23" s="23"/>
    </row>
    <row r="24" spans="1:10" ht="15.75" thickTop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</sheetData>
  <mergeCells count="6">
    <mergeCell ref="A1:J1"/>
    <mergeCell ref="F19:G19"/>
    <mergeCell ref="F21:G21"/>
    <mergeCell ref="F23:G23"/>
    <mergeCell ref="F20:I20"/>
    <mergeCell ref="F22:I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B12" sqref="B12"/>
    </sheetView>
  </sheetViews>
  <sheetFormatPr defaultRowHeight="15" x14ac:dyDescent="0.25"/>
  <cols>
    <col min="2" max="2" width="16.42578125" customWidth="1"/>
    <col min="3" max="3" width="19.42578125" customWidth="1"/>
    <col min="4" max="4" width="28.42578125" customWidth="1"/>
    <col min="7" max="7" width="17.5703125" customWidth="1"/>
  </cols>
  <sheetData>
    <row r="1" spans="1:10" ht="18" x14ac:dyDescent="0.25">
      <c r="A1" s="291" t="s">
        <v>40</v>
      </c>
      <c r="B1" s="291"/>
      <c r="C1" s="291"/>
      <c r="D1" s="291"/>
      <c r="E1" s="291"/>
    </row>
    <row r="2" spans="1:10" x14ac:dyDescent="0.25">
      <c r="A2" s="23" t="s">
        <v>41</v>
      </c>
      <c r="B2" s="23"/>
      <c r="C2" s="23"/>
      <c r="D2" s="23"/>
      <c r="E2" s="23"/>
    </row>
    <row r="3" spans="1:10" x14ac:dyDescent="0.25">
      <c r="A3" s="23"/>
      <c r="B3" s="23" t="s">
        <v>14</v>
      </c>
      <c r="C3" s="23"/>
      <c r="D3" s="23"/>
      <c r="E3" s="23"/>
    </row>
    <row r="4" spans="1:10" x14ac:dyDescent="0.25">
      <c r="A4" s="23"/>
      <c r="B4" s="23" t="s">
        <v>15</v>
      </c>
      <c r="C4" s="23"/>
      <c r="D4" s="23"/>
      <c r="E4" s="23"/>
    </row>
    <row r="5" spans="1:10" x14ac:dyDescent="0.25">
      <c r="A5" s="23"/>
      <c r="B5" s="23" t="s">
        <v>16</v>
      </c>
      <c r="C5" s="23"/>
      <c r="D5" s="23"/>
      <c r="E5" s="23"/>
    </row>
    <row r="6" spans="1:10" x14ac:dyDescent="0.25">
      <c r="A6" s="23"/>
      <c r="B6" s="23" t="s">
        <v>17</v>
      </c>
      <c r="C6" s="23"/>
      <c r="D6" s="23"/>
      <c r="E6" s="23"/>
    </row>
    <row r="7" spans="1:10" x14ac:dyDescent="0.25">
      <c r="A7" s="23"/>
      <c r="B7" s="23"/>
      <c r="C7" s="23"/>
      <c r="D7" s="23"/>
      <c r="E7" s="23"/>
    </row>
    <row r="8" spans="1:10" x14ac:dyDescent="0.25">
      <c r="A8" s="23"/>
      <c r="B8" s="23"/>
      <c r="C8" s="23"/>
      <c r="D8" s="23"/>
      <c r="E8" s="23"/>
      <c r="G8" s="5"/>
    </row>
    <row r="9" spans="1:10" x14ac:dyDescent="0.25">
      <c r="A9" s="23"/>
      <c r="B9" s="25" t="s">
        <v>20</v>
      </c>
      <c r="C9" s="23" t="s">
        <v>22</v>
      </c>
      <c r="D9" s="23"/>
      <c r="E9" s="23"/>
    </row>
    <row r="10" spans="1:10" ht="15.75" thickBot="1" x14ac:dyDescent="0.3">
      <c r="A10" s="23"/>
      <c r="B10" s="23"/>
      <c r="C10" s="23"/>
      <c r="D10" s="23"/>
      <c r="E10" s="23"/>
    </row>
    <row r="11" spans="1:10" ht="33.75" customHeight="1" thickTop="1" thickBot="1" x14ac:dyDescent="0.3">
      <c r="A11" s="23"/>
      <c r="B11" s="6" t="s">
        <v>23</v>
      </c>
      <c r="C11" s="7" t="s">
        <v>24</v>
      </c>
      <c r="D11" s="10" t="s">
        <v>25</v>
      </c>
      <c r="E11" s="23"/>
      <c r="H11" s="2"/>
    </row>
    <row r="12" spans="1:10" ht="15.75" thickBot="1" x14ac:dyDescent="0.3">
      <c r="A12" s="23"/>
      <c r="B12" s="11">
        <f>SUM(10.5+(6.6*0.3)+(17.2*(POWER(0.3,2))))</f>
        <v>14.028</v>
      </c>
      <c r="C12" s="8">
        <f>Project_Data!$Q$26</f>
        <v>7</v>
      </c>
      <c r="D12" s="70">
        <f>SUM(B12*C12)</f>
        <v>98.195999999999998</v>
      </c>
      <c r="E12" s="23"/>
      <c r="H12" s="2"/>
    </row>
    <row r="13" spans="1:10" ht="15.75" thickTop="1" x14ac:dyDescent="0.25">
      <c r="A13" s="23"/>
      <c r="B13" s="28"/>
      <c r="C13" s="28"/>
      <c r="D13" s="28"/>
      <c r="E13" s="23"/>
      <c r="H13" s="2"/>
    </row>
    <row r="14" spans="1:10" x14ac:dyDescent="0.25">
      <c r="A14" s="23"/>
      <c r="B14" s="28"/>
      <c r="C14" s="28"/>
      <c r="D14" s="28"/>
      <c r="E14" s="23"/>
      <c r="H14" s="2"/>
      <c r="J14" s="2"/>
    </row>
    <row r="15" spans="1:10" x14ac:dyDescent="0.25">
      <c r="B15" s="2"/>
      <c r="C15" s="2"/>
      <c r="D15" s="2"/>
      <c r="H15" s="2"/>
    </row>
    <row r="16" spans="1:10" x14ac:dyDescent="0.25">
      <c r="B16" s="2"/>
      <c r="C16" s="2"/>
      <c r="D16" s="2"/>
      <c r="H16" s="2"/>
      <c r="J16" s="2"/>
    </row>
    <row r="17" spans="4:12" x14ac:dyDescent="0.25">
      <c r="H17" s="2"/>
    </row>
    <row r="18" spans="4:12" x14ac:dyDescent="0.25">
      <c r="H18" s="2"/>
    </row>
    <row r="19" spans="4:12" x14ac:dyDescent="0.25">
      <c r="H19" s="2"/>
    </row>
    <row r="20" spans="4:12" x14ac:dyDescent="0.25">
      <c r="H20" s="2"/>
    </row>
    <row r="21" spans="4:12" x14ac:dyDescent="0.25">
      <c r="H21" s="2"/>
    </row>
    <row r="22" spans="4:12" x14ac:dyDescent="0.25">
      <c r="H22" s="2"/>
    </row>
    <row r="24" spans="4:12" x14ac:dyDescent="0.25">
      <c r="D24" s="3"/>
      <c r="E24" s="3"/>
    </row>
    <row r="25" spans="4:12" x14ac:dyDescent="0.25">
      <c r="E25" s="4"/>
    </row>
    <row r="26" spans="4:12" x14ac:dyDescent="0.25">
      <c r="E26" s="3"/>
    </row>
    <row r="27" spans="4:12" x14ac:dyDescent="0.25">
      <c r="E27" s="3"/>
    </row>
    <row r="28" spans="4:12" x14ac:dyDescent="0.25">
      <c r="K28" s="2"/>
      <c r="L28" s="2"/>
    </row>
    <row r="29" spans="4:12" x14ac:dyDescent="0.25">
      <c r="K29" s="2"/>
      <c r="L29" s="2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G8" sqref="G8"/>
    </sheetView>
  </sheetViews>
  <sheetFormatPr defaultRowHeight="15" x14ac:dyDescent="0.25"/>
  <cols>
    <col min="3" max="3" width="18.140625" customWidth="1"/>
    <col min="4" max="4" width="11.85546875" customWidth="1"/>
  </cols>
  <sheetData>
    <row r="1" spans="1:8" ht="18" x14ac:dyDescent="0.25">
      <c r="A1" s="301" t="s">
        <v>73</v>
      </c>
      <c r="B1" s="301"/>
      <c r="C1" s="301"/>
      <c r="D1" s="301"/>
      <c r="E1" s="301"/>
      <c r="F1" s="301"/>
      <c r="G1" s="301"/>
      <c r="H1" s="301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23" t="s">
        <v>84</v>
      </c>
      <c r="B3" s="23"/>
      <c r="C3" s="23"/>
      <c r="D3" s="23"/>
      <c r="E3" s="23"/>
      <c r="F3" s="23"/>
      <c r="G3" s="23"/>
      <c r="H3" s="23"/>
    </row>
    <row r="4" spans="1:8" x14ac:dyDescent="0.25">
      <c r="A4" s="23"/>
      <c r="B4" s="23"/>
      <c r="C4" s="24" t="s">
        <v>53</v>
      </c>
      <c r="D4" s="23" t="s">
        <v>74</v>
      </c>
      <c r="E4" s="23"/>
      <c r="F4" s="23"/>
      <c r="G4" s="23"/>
      <c r="H4" s="23"/>
    </row>
    <row r="5" spans="1:8" x14ac:dyDescent="0.25">
      <c r="A5" s="23"/>
      <c r="B5" s="23"/>
      <c r="C5" s="24" t="s">
        <v>75</v>
      </c>
      <c r="D5" s="23" t="s">
        <v>76</v>
      </c>
      <c r="E5" s="23"/>
      <c r="F5" s="23"/>
      <c r="G5" s="23"/>
      <c r="H5" s="23"/>
    </row>
    <row r="6" spans="1:8" x14ac:dyDescent="0.25">
      <c r="A6" s="23"/>
      <c r="B6" s="23"/>
      <c r="C6" s="24" t="s">
        <v>77</v>
      </c>
      <c r="D6" s="23" t="s">
        <v>78</v>
      </c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4" t="s">
        <v>77</v>
      </c>
      <c r="D8" s="23" t="s">
        <v>79</v>
      </c>
      <c r="E8" s="65"/>
      <c r="F8" s="66"/>
      <c r="G8" s="23"/>
      <c r="H8" s="23"/>
    </row>
    <row r="9" spans="1:8" ht="15.75" thickBot="1" x14ac:dyDescent="0.3">
      <c r="A9" s="23"/>
      <c r="B9" s="23"/>
      <c r="C9" s="23"/>
      <c r="D9" s="23"/>
      <c r="E9" s="23"/>
      <c r="F9" s="23"/>
      <c r="G9" s="23"/>
      <c r="H9" s="23"/>
    </row>
    <row r="10" spans="1:8" ht="45.75" customHeight="1" thickBot="1" x14ac:dyDescent="0.3">
      <c r="A10" s="23"/>
      <c r="B10" s="23"/>
      <c r="C10" s="68" t="s">
        <v>80</v>
      </c>
      <c r="D10" s="68" t="s">
        <v>81</v>
      </c>
      <c r="E10" s="68" t="s">
        <v>82</v>
      </c>
      <c r="F10" s="91" t="s">
        <v>83</v>
      </c>
      <c r="G10" s="23"/>
      <c r="H10" s="23"/>
    </row>
    <row r="11" spans="1:8" ht="15.75" thickBot="1" x14ac:dyDescent="0.3">
      <c r="A11" s="23"/>
      <c r="B11" s="23"/>
      <c r="C11" s="67">
        <f>Project_Data!Q26</f>
        <v>7</v>
      </c>
      <c r="D11" s="69">
        <f>SUM(Project_Data!U30/Project_Data!Q30)</f>
        <v>0.33333333333333331</v>
      </c>
      <c r="E11" s="90">
        <f>SUM(TAN(Project_Data!U30/Project_Data!Q30))</f>
        <v>0.34625354951057546</v>
      </c>
      <c r="F11" s="92">
        <f>IF(Project_Data!Q30&lt;=2,"No",IF(Project_Data!Q30&gt;=7,"No",(C11/E11)))</f>
        <v>20.216399253940939</v>
      </c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9" spans="5:5" x14ac:dyDescent="0.25">
      <c r="E19" s="89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K26" sqref="K26"/>
    </sheetView>
  </sheetViews>
  <sheetFormatPr defaultRowHeight="15" x14ac:dyDescent="0.25"/>
  <cols>
    <col min="1" max="1" width="20" customWidth="1"/>
    <col min="4" max="4" width="13.7109375" customWidth="1"/>
  </cols>
  <sheetData>
    <row r="1" spans="1:9" x14ac:dyDescent="0.25">
      <c r="A1" s="125" t="s">
        <v>7</v>
      </c>
      <c r="B1" s="123"/>
      <c r="C1" s="137"/>
      <c r="D1" s="302" t="s">
        <v>8</v>
      </c>
      <c r="E1" s="303"/>
      <c r="F1" s="135"/>
      <c r="G1" s="135"/>
      <c r="H1" s="128" t="s">
        <v>9</v>
      </c>
      <c r="I1" s="23"/>
    </row>
    <row r="2" spans="1:9" x14ac:dyDescent="0.25">
      <c r="A2" s="126">
        <v>4</v>
      </c>
      <c r="B2" s="124"/>
      <c r="C2" s="23"/>
      <c r="D2" s="131">
        <v>10</v>
      </c>
      <c r="E2" s="132">
        <f t="shared" ref="E2:E18" si="0">SUM(SIN(RADIANS(D2)))</f>
        <v>0.17364817766693033</v>
      </c>
      <c r="F2" s="136"/>
      <c r="G2" s="136"/>
      <c r="H2" s="129">
        <v>0.25</v>
      </c>
      <c r="I2" s="23"/>
    </row>
    <row r="3" spans="1:9" x14ac:dyDescent="0.25">
      <c r="A3" s="126">
        <v>4.5</v>
      </c>
      <c r="B3" s="124"/>
      <c r="C3" s="23"/>
      <c r="D3" s="131">
        <v>15</v>
      </c>
      <c r="E3" s="132">
        <f t="shared" si="0"/>
        <v>0.25881904510252074</v>
      </c>
      <c r="F3" s="136"/>
      <c r="G3" s="136"/>
      <c r="H3" s="129">
        <v>0.3</v>
      </c>
      <c r="I3" s="23"/>
    </row>
    <row r="4" spans="1:9" x14ac:dyDescent="0.25">
      <c r="A4" s="126">
        <v>5</v>
      </c>
      <c r="B4" s="124"/>
      <c r="C4" s="23"/>
      <c r="D4" s="131">
        <v>20</v>
      </c>
      <c r="E4" s="132">
        <f t="shared" si="0"/>
        <v>0.34202014332566871</v>
      </c>
      <c r="F4" s="136"/>
      <c r="G4" s="136"/>
      <c r="H4" s="129">
        <v>0.4</v>
      </c>
      <c r="I4" s="23"/>
    </row>
    <row r="5" spans="1:9" x14ac:dyDescent="0.25">
      <c r="A5" s="126">
        <v>5.5</v>
      </c>
      <c r="B5" s="124"/>
      <c r="C5" s="23"/>
      <c r="D5" s="131">
        <v>25</v>
      </c>
      <c r="E5" s="132">
        <f t="shared" si="0"/>
        <v>0.42261826174069944</v>
      </c>
      <c r="F5" s="136"/>
      <c r="G5" s="136"/>
      <c r="H5" s="129">
        <v>0.5</v>
      </c>
      <c r="I5" s="23"/>
    </row>
    <row r="6" spans="1:9" x14ac:dyDescent="0.25">
      <c r="A6" s="126">
        <v>6</v>
      </c>
      <c r="B6" s="124"/>
      <c r="C6" s="23"/>
      <c r="D6" s="131">
        <v>30</v>
      </c>
      <c r="E6" s="132">
        <f t="shared" si="0"/>
        <v>0.49999999999999994</v>
      </c>
      <c r="F6" s="136"/>
      <c r="G6" s="136"/>
      <c r="H6" s="129">
        <v>0.6</v>
      </c>
      <c r="I6" s="23"/>
    </row>
    <row r="7" spans="1:9" ht="15.75" thickBot="1" x14ac:dyDescent="0.3">
      <c r="A7" s="126">
        <v>6.5</v>
      </c>
      <c r="B7" s="124"/>
      <c r="C7" s="23"/>
      <c r="D7" s="131">
        <v>35</v>
      </c>
      <c r="E7" s="132">
        <f t="shared" si="0"/>
        <v>0.57357643635104605</v>
      </c>
      <c r="F7" s="136"/>
      <c r="G7" s="136"/>
      <c r="H7" s="130">
        <v>0.7</v>
      </c>
      <c r="I7" s="23"/>
    </row>
    <row r="8" spans="1:9" x14ac:dyDescent="0.25">
      <c r="A8" s="126">
        <v>7</v>
      </c>
      <c r="B8" s="124"/>
      <c r="C8" s="23"/>
      <c r="D8" s="131">
        <v>40</v>
      </c>
      <c r="E8" s="132">
        <f t="shared" si="0"/>
        <v>0.64278760968653925</v>
      </c>
      <c r="F8" s="136"/>
      <c r="G8" s="136"/>
      <c r="H8" s="23"/>
      <c r="I8" s="23"/>
    </row>
    <row r="9" spans="1:9" x14ac:dyDescent="0.25">
      <c r="A9" s="126">
        <v>7.5</v>
      </c>
      <c r="B9" s="124"/>
      <c r="C9" s="23"/>
      <c r="D9" s="131">
        <v>45</v>
      </c>
      <c r="E9" s="132">
        <f t="shared" si="0"/>
        <v>0.70710678118654746</v>
      </c>
      <c r="F9" s="136"/>
      <c r="G9" s="136"/>
      <c r="H9" s="23"/>
      <c r="I9" s="23"/>
    </row>
    <row r="10" spans="1:9" x14ac:dyDescent="0.25">
      <c r="A10" s="126">
        <v>8</v>
      </c>
      <c r="B10" s="124"/>
      <c r="C10" s="23"/>
      <c r="D10" s="131">
        <v>50</v>
      </c>
      <c r="E10" s="132">
        <f t="shared" si="0"/>
        <v>0.76604444311897801</v>
      </c>
      <c r="F10" s="136"/>
      <c r="G10" s="136"/>
      <c r="H10" s="23"/>
      <c r="I10" s="23"/>
    </row>
    <row r="11" spans="1:9" x14ac:dyDescent="0.25">
      <c r="A11" s="126">
        <v>8.5</v>
      </c>
      <c r="B11" s="124"/>
      <c r="C11" s="23"/>
      <c r="D11" s="131">
        <v>55</v>
      </c>
      <c r="E11" s="132">
        <f t="shared" si="0"/>
        <v>0.8191520442889918</v>
      </c>
      <c r="F11" s="136"/>
      <c r="G11" s="136"/>
      <c r="H11" s="23"/>
      <c r="I11" s="23"/>
    </row>
    <row r="12" spans="1:9" x14ac:dyDescent="0.25">
      <c r="A12" s="126">
        <v>9</v>
      </c>
      <c r="B12" s="124"/>
      <c r="C12" s="23"/>
      <c r="D12" s="131">
        <v>60</v>
      </c>
      <c r="E12" s="132">
        <f t="shared" si="0"/>
        <v>0.8660254037844386</v>
      </c>
      <c r="F12" s="136"/>
      <c r="G12" s="136"/>
      <c r="H12" s="23"/>
      <c r="I12" s="23"/>
    </row>
    <row r="13" spans="1:9" x14ac:dyDescent="0.25">
      <c r="A13" s="126">
        <v>9.5</v>
      </c>
      <c r="B13" s="124"/>
      <c r="C13" s="23"/>
      <c r="D13" s="131">
        <v>65</v>
      </c>
      <c r="E13" s="132">
        <f t="shared" si="0"/>
        <v>0.90630778703664994</v>
      </c>
      <c r="F13" s="136"/>
      <c r="G13" s="136"/>
      <c r="H13" s="23"/>
      <c r="I13" s="23"/>
    </row>
    <row r="14" spans="1:9" x14ac:dyDescent="0.25">
      <c r="A14" s="126">
        <v>10</v>
      </c>
      <c r="B14" s="124"/>
      <c r="C14" s="23"/>
      <c r="D14" s="131">
        <v>70</v>
      </c>
      <c r="E14" s="132">
        <f t="shared" si="0"/>
        <v>0.93969262078590832</v>
      </c>
      <c r="F14" s="136"/>
      <c r="G14" s="136"/>
      <c r="H14" s="23"/>
      <c r="I14" s="23"/>
    </row>
    <row r="15" spans="1:9" x14ac:dyDescent="0.25">
      <c r="A15" s="126">
        <v>10.5</v>
      </c>
      <c r="B15" s="124"/>
      <c r="C15" s="23"/>
      <c r="D15" s="131">
        <v>75</v>
      </c>
      <c r="E15" s="132">
        <f t="shared" si="0"/>
        <v>0.96592582628906831</v>
      </c>
      <c r="F15" s="136"/>
      <c r="G15" s="136"/>
      <c r="H15" s="23"/>
      <c r="I15" s="23"/>
    </row>
    <row r="16" spans="1:9" x14ac:dyDescent="0.25">
      <c r="A16" s="126">
        <v>11</v>
      </c>
      <c r="B16" s="124"/>
      <c r="C16" s="23"/>
      <c r="D16" s="131">
        <v>80</v>
      </c>
      <c r="E16" s="132">
        <f t="shared" si="0"/>
        <v>0.98480775301220802</v>
      </c>
      <c r="F16" s="136"/>
      <c r="G16" s="136"/>
      <c r="H16" s="23"/>
      <c r="I16" s="23"/>
    </row>
    <row r="17" spans="1:9" x14ac:dyDescent="0.25">
      <c r="A17" s="126">
        <v>11.5</v>
      </c>
      <c r="B17" s="124"/>
      <c r="C17" s="23"/>
      <c r="D17" s="131">
        <v>85</v>
      </c>
      <c r="E17" s="132">
        <f t="shared" si="0"/>
        <v>0.99619469809174555</v>
      </c>
      <c r="F17" s="136"/>
      <c r="G17" s="136"/>
      <c r="H17" s="23"/>
      <c r="I17" s="23"/>
    </row>
    <row r="18" spans="1:9" ht="15.75" thickBot="1" x14ac:dyDescent="0.3">
      <c r="A18" s="126">
        <v>12</v>
      </c>
      <c r="B18" s="124"/>
      <c r="C18" s="23"/>
      <c r="D18" s="133">
        <v>90</v>
      </c>
      <c r="E18" s="134">
        <f t="shared" si="0"/>
        <v>1</v>
      </c>
      <c r="F18" s="136"/>
      <c r="G18" s="136"/>
      <c r="H18" s="23"/>
      <c r="I18" s="23"/>
    </row>
    <row r="19" spans="1:9" ht="15.75" thickBot="1" x14ac:dyDescent="0.3">
      <c r="A19" s="127">
        <v>12.5</v>
      </c>
      <c r="B19" s="124"/>
      <c r="C19" s="23"/>
      <c r="D19" s="23"/>
      <c r="E19" s="23"/>
      <c r="F19" s="23"/>
      <c r="G19" s="23"/>
      <c r="H19" s="23"/>
      <c r="I19" s="23"/>
    </row>
    <row r="20" spans="1:9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F20" sqref="F20"/>
    </sheetView>
  </sheetViews>
  <sheetFormatPr defaultRowHeight="15" x14ac:dyDescent="0.25"/>
  <sheetData>
    <row r="1" spans="1:1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 customHeight="1" x14ac:dyDescent="0.25">
      <c r="A2" s="301" t="s">
        <v>107</v>
      </c>
      <c r="B2" s="301"/>
      <c r="C2" s="301"/>
      <c r="D2" s="301"/>
      <c r="E2" s="301"/>
      <c r="F2" s="301"/>
      <c r="G2" s="301"/>
      <c r="H2" s="301"/>
      <c r="I2" s="301"/>
      <c r="J2" s="301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3"/>
      <c r="B4" s="120" t="s">
        <v>103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25">
      <c r="A5" s="23"/>
      <c r="B5" s="1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23"/>
      <c r="B7" s="122" t="s">
        <v>105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23"/>
      <c r="B8" s="122" t="s">
        <v>106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3"/>
      <c r="B9" s="122" t="s">
        <v>108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3"/>
      <c r="B10" s="120" t="s">
        <v>104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</sheetData>
  <mergeCells count="1">
    <mergeCell ref="A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workbookViewId="0">
      <selection activeCell="B2" sqref="B2"/>
    </sheetView>
  </sheetViews>
  <sheetFormatPr defaultRowHeight="15" x14ac:dyDescent="0.25"/>
  <cols>
    <col min="2" max="2" width="43" customWidth="1"/>
    <col min="3" max="3" width="18.28515625" customWidth="1"/>
  </cols>
  <sheetData>
    <row r="1" spans="1:14" x14ac:dyDescent="0.25">
      <c r="A1" s="23"/>
      <c r="B1" s="23"/>
      <c r="C1" s="23"/>
      <c r="D1" s="23"/>
    </row>
    <row r="2" spans="1:14" ht="18" x14ac:dyDescent="0.25">
      <c r="A2" s="23"/>
      <c r="B2" s="75" t="s">
        <v>97</v>
      </c>
      <c r="C2" s="23"/>
      <c r="D2" s="23"/>
    </row>
    <row r="3" spans="1:14" ht="15" customHeight="1" x14ac:dyDescent="0.25">
      <c r="A3" s="23"/>
      <c r="B3" s="75"/>
      <c r="C3" s="23"/>
      <c r="D3" s="23"/>
    </row>
    <row r="4" spans="1:14" ht="15" customHeight="1" x14ac:dyDescent="0.25">
      <c r="A4" s="23"/>
      <c r="B4" s="23"/>
      <c r="C4" s="23"/>
      <c r="D4" s="23"/>
    </row>
    <row r="5" spans="1:14" ht="15" customHeight="1" x14ac:dyDescent="0.25">
      <c r="A5" s="23"/>
      <c r="B5" s="76" t="s">
        <v>96</v>
      </c>
      <c r="C5" s="23"/>
      <c r="D5" s="23"/>
    </row>
    <row r="6" spans="1:14" ht="15" customHeight="1" x14ac:dyDescent="0.25">
      <c r="A6" s="23"/>
      <c r="B6" s="77"/>
      <c r="C6" s="23"/>
      <c r="D6" s="23"/>
    </row>
    <row r="7" spans="1:14" ht="15" customHeight="1" x14ac:dyDescent="0.25">
      <c r="A7" s="23"/>
      <c r="B7" s="23"/>
      <c r="C7" s="23"/>
      <c r="D7" s="23"/>
      <c r="I7" s="73"/>
      <c r="J7" s="73"/>
      <c r="K7" s="73"/>
      <c r="L7" s="73"/>
      <c r="M7" s="73"/>
      <c r="N7" s="73"/>
    </row>
    <row r="8" spans="1:14" ht="15" customHeight="1" x14ac:dyDescent="0.25">
      <c r="A8" s="23"/>
      <c r="B8" s="79" t="s">
        <v>98</v>
      </c>
      <c r="C8" s="80">
        <f>Project_Data!$Q$14</f>
        <v>2.4300000000000002</v>
      </c>
      <c r="D8" s="23"/>
    </row>
    <row r="9" spans="1:14" ht="15" customHeight="1" x14ac:dyDescent="0.25">
      <c r="A9" s="23"/>
      <c r="B9" s="79" t="s">
        <v>99</v>
      </c>
      <c r="C9" s="84">
        <f>Project_Data!$Q$15</f>
        <v>9.4E-2</v>
      </c>
      <c r="D9" s="23"/>
    </row>
    <row r="10" spans="1:14" ht="15" customHeight="1" x14ac:dyDescent="0.25">
      <c r="A10" s="23"/>
      <c r="B10" s="79" t="s">
        <v>100</v>
      </c>
      <c r="C10" s="81">
        <f>Project_Data!$Q$16</f>
        <v>0.57999999999999996</v>
      </c>
      <c r="D10" s="23"/>
    </row>
    <row r="11" spans="1:14" ht="15" customHeight="1" x14ac:dyDescent="0.25">
      <c r="A11" s="23"/>
      <c r="B11" s="79" t="s">
        <v>101</v>
      </c>
      <c r="C11" s="82">
        <f>Project_Data!$Q$18</f>
        <v>10000</v>
      </c>
      <c r="D11" s="23"/>
    </row>
    <row r="12" spans="1:14" ht="15" customHeight="1" x14ac:dyDescent="0.25">
      <c r="A12" s="23"/>
      <c r="B12" s="83" t="s">
        <v>102</v>
      </c>
      <c r="C12" s="63">
        <f>SUM(1500*(C8)*(C9)*(C10)*(1-POWER(0.14,(C11/3000))))</f>
        <v>198.44225199974875</v>
      </c>
      <c r="D12" s="78"/>
      <c r="E12" s="74"/>
      <c r="F12" s="74"/>
      <c r="G12" s="74"/>
      <c r="H12" s="74"/>
    </row>
    <row r="13" spans="1:14" x14ac:dyDescent="0.25">
      <c r="A13" s="23"/>
      <c r="B13" s="23"/>
      <c r="C13" s="23"/>
      <c r="D13" s="23"/>
    </row>
    <row r="14" spans="1:14" x14ac:dyDescent="0.25">
      <c r="A14" s="23"/>
      <c r="B14" s="23"/>
      <c r="C14" s="23"/>
      <c r="D14" s="23"/>
    </row>
    <row r="15" spans="1:14" x14ac:dyDescent="0.25">
      <c r="A15" s="23"/>
      <c r="B15" s="23"/>
      <c r="C15" s="23"/>
      <c r="D1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Project_Data</vt:lpstr>
      <vt:lpstr>Minimum_Parallel_Setbacks</vt:lpstr>
      <vt:lpstr>Number_of_Rows</vt:lpstr>
      <vt:lpstr>Ditch_Area_Reducing</vt:lpstr>
      <vt:lpstr>Reduced_Setback</vt:lpstr>
      <vt:lpstr>Planting_Steep_Slopes</vt:lpstr>
      <vt:lpstr>Data</vt:lpstr>
      <vt:lpstr>Greatest_Transport</vt:lpstr>
      <vt:lpstr>Mean_Snow_Transport</vt:lpstr>
      <vt:lpstr>Fence_Height</vt:lpstr>
      <vt:lpstr>UOFM_Data</vt:lpstr>
    </vt:vector>
  </TitlesOfParts>
  <Company>MNDOT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Moline</dc:creator>
  <cp:lastModifiedBy>Daniel Gullickson</cp:lastModifiedBy>
  <cp:lastPrinted>2014-09-23T18:42:59Z</cp:lastPrinted>
  <dcterms:created xsi:type="dcterms:W3CDTF">2014-06-05T16:07:59Z</dcterms:created>
  <dcterms:modified xsi:type="dcterms:W3CDTF">2016-05-11T15:11:28Z</dcterms:modified>
</cp:coreProperties>
</file>