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updateLinks="never" codeName="ThisWorkbook" defaultThemeVersion="124226"/>
  <mc:AlternateContent xmlns:mc="http://schemas.openxmlformats.org/markup-compatibility/2006">
    <mc:Choice Requires="x15">
      <x15ac:absPath xmlns:x15ac="http://schemas.microsoft.com/office/spreadsheetml/2010/11/ac" url="C:\Users\rowe1pau\Desktop\Accel Br Const - ABC\Upcoming Program\"/>
    </mc:Choice>
  </mc:AlternateContent>
  <bookViews>
    <workbookView xWindow="-12" yWindow="0" windowWidth="19212" windowHeight="1908" tabRatio="800" firstSheet="3" activeTab="3"/>
  </bookViews>
  <sheets>
    <sheet name="pivot table summary" sheetId="9" state="hidden" r:id="rId1"/>
    <sheet name="DROP DOWNS" sheetId="11" state="hidden" r:id="rId2"/>
    <sheet name="drop down lists" sheetId="2" state="hidden" r:id="rId3"/>
    <sheet name="D-1" sheetId="67" r:id="rId4"/>
    <sheet name="D-2" sheetId="68" r:id="rId5"/>
    <sheet name="D-3" sheetId="69" r:id="rId6"/>
    <sheet name="D-4" sheetId="70" r:id="rId7"/>
    <sheet name="Metro" sheetId="71" r:id="rId8"/>
    <sheet name="D-6" sheetId="72" r:id="rId9"/>
    <sheet name="D-7" sheetId="74" r:id="rId10"/>
    <sheet name="D-8" sheetId="73" r:id="rId11"/>
    <sheet name="Master List" sheetId="62" r:id="rId12"/>
  </sheets>
  <externalReferences>
    <externalReference r:id="rId13"/>
    <externalReference r:id="rId14"/>
    <externalReference r:id="rId15"/>
    <externalReference r:id="rId16"/>
    <externalReference r:id="rId17"/>
    <externalReference r:id="rId18"/>
  </externalReferences>
  <definedNames>
    <definedName name="_xlnm._FilterDatabase" localSheetId="1" hidden="1">'DROP DOWNS'!$A$8:$BN$8</definedName>
    <definedName name="_xlnm._FilterDatabase" localSheetId="11" hidden="1">'Master List'!$A$1:$K$89</definedName>
    <definedName name="AllData" localSheetId="1">'DROP DOWNS'!$B$8:$BB$8</definedName>
    <definedName name="co_excellent">[1]Config!$C$20</definedName>
    <definedName name="co_fair">[1]Config!$E$20</definedName>
    <definedName name="co_good">[1]Config!$D$20</definedName>
    <definedName name="co_poor">[1]Config!$F$20</definedName>
    <definedName name="grid_action">[1]Grids!$C$7</definedName>
    <definedName name="grid_period">[1]Grids!$C$20</definedName>
    <definedName name="_xlnm.Print_Area" localSheetId="11">'Master List'!$A$1:$I$90</definedName>
    <definedName name="_xlnm.Print_Area" localSheetId="0">'pivot table summary'!$A$1:$N$48</definedName>
    <definedName name="_xlnm.Print_Titles" localSheetId="1">'DROP DOWNS'!$8:$8</definedName>
    <definedName name="ProjSeq_ProjNum" localSheetId="1">'DROP DOWNS'!#REF!</definedName>
  </definedNames>
  <calcPr calcId="152511"/>
  <pivotCaches>
    <pivotCache cacheId="0" r:id="rId19"/>
  </pivotCaches>
</workbook>
</file>

<file path=xl/calcChain.xml><?xml version="1.0" encoding="utf-8"?>
<calcChain xmlns="http://schemas.openxmlformats.org/spreadsheetml/2006/main">
  <c r="CJ624" i="11" l="1"/>
  <c r="CJ623" i="11"/>
  <c r="CJ622" i="11"/>
  <c r="CJ621" i="11"/>
  <c r="CJ620" i="11"/>
  <c r="CJ619" i="11"/>
  <c r="CJ618" i="11"/>
  <c r="CI617" i="11"/>
  <c r="CH617" i="11"/>
  <c r="CF617" i="11"/>
  <c r="CD617" i="11"/>
  <c r="CB617" i="11"/>
  <c r="BZ617" i="11"/>
  <c r="BX617" i="11"/>
  <c r="BV617" i="11"/>
  <c r="BT617" i="11"/>
  <c r="BR617" i="11"/>
  <c r="BP617" i="11"/>
  <c r="CJ617" i="11" s="1"/>
  <c r="CI616" i="11"/>
  <c r="CH616" i="11"/>
  <c r="CF616" i="11"/>
  <c r="CD616" i="11"/>
  <c r="CB616" i="11"/>
  <c r="BZ616" i="11"/>
  <c r="BX616" i="11"/>
  <c r="BV616" i="11"/>
  <c r="BT616" i="11"/>
  <c r="BR616" i="11"/>
  <c r="BP616" i="11"/>
  <c r="CJ616" i="11" s="1"/>
  <c r="CI615" i="11"/>
  <c r="CH615" i="11"/>
  <c r="CF615" i="11"/>
  <c r="CD615" i="11"/>
  <c r="CB615" i="11"/>
  <c r="BZ615" i="11"/>
  <c r="BX615" i="11"/>
  <c r="BV615" i="11"/>
  <c r="BT615" i="11"/>
  <c r="BR615" i="11"/>
  <c r="BP615" i="11"/>
  <c r="CJ615" i="11" s="1"/>
  <c r="CI614" i="11"/>
  <c r="CH614" i="11"/>
  <c r="CF614" i="11"/>
  <c r="CD614" i="11"/>
  <c r="CB614" i="11"/>
  <c r="BZ614" i="11"/>
  <c r="BX614" i="11"/>
  <c r="BV614" i="11"/>
  <c r="BT614" i="11"/>
  <c r="BR614" i="11"/>
  <c r="BP614" i="11"/>
  <c r="CJ614" i="11" s="1"/>
  <c r="CI613" i="11"/>
  <c r="CH613" i="11"/>
  <c r="CF613" i="11"/>
  <c r="CD613" i="11"/>
  <c r="CB613" i="11"/>
  <c r="BZ613" i="11"/>
  <c r="BX613" i="11"/>
  <c r="BV613" i="11"/>
  <c r="BT613" i="11"/>
  <c r="BR613" i="11"/>
  <c r="BP613" i="11"/>
  <c r="CJ613" i="11" s="1"/>
  <c r="CI612" i="11"/>
  <c r="CH612" i="11"/>
  <c r="CF612" i="11"/>
  <c r="CD612" i="11"/>
  <c r="CB612" i="11"/>
  <c r="BZ612" i="11"/>
  <c r="BX612" i="11"/>
  <c r="BV612" i="11"/>
  <c r="BT612" i="11"/>
  <c r="BR612" i="11"/>
  <c r="BP612" i="11"/>
  <c r="CJ612" i="11" s="1"/>
  <c r="CI611" i="11"/>
  <c r="CH611" i="11"/>
  <c r="CF611" i="11"/>
  <c r="CD611" i="11"/>
  <c r="CB611" i="11"/>
  <c r="BZ611" i="11"/>
  <c r="BX611" i="11"/>
  <c r="BV611" i="11"/>
  <c r="BT611" i="11"/>
  <c r="BR611" i="11"/>
  <c r="BP611" i="11"/>
  <c r="CJ611" i="11" s="1"/>
  <c r="CI610" i="11"/>
  <c r="CH610" i="11"/>
  <c r="CF610" i="11"/>
  <c r="CD610" i="11"/>
  <c r="CB610" i="11"/>
  <c r="BZ610" i="11"/>
  <c r="BX610" i="11"/>
  <c r="BV610" i="11"/>
  <c r="BT610" i="11"/>
  <c r="BR610" i="11"/>
  <c r="BP610" i="11"/>
  <c r="CJ610" i="11" s="1"/>
  <c r="CI609" i="11"/>
  <c r="CH609" i="11"/>
  <c r="CF609" i="11"/>
  <c r="CD609" i="11"/>
  <c r="CB609" i="11"/>
  <c r="BZ609" i="11"/>
  <c r="BX609" i="11"/>
  <c r="BV609" i="11"/>
  <c r="BT609" i="11"/>
  <c r="BR609" i="11"/>
  <c r="BP609" i="11"/>
  <c r="CJ609" i="11" s="1"/>
  <c r="CI608" i="11"/>
  <c r="CH608" i="11"/>
  <c r="CF608" i="11"/>
  <c r="CD608" i="11"/>
  <c r="CB608" i="11"/>
  <c r="BZ608" i="11"/>
  <c r="BX608" i="11"/>
  <c r="BV608" i="11"/>
  <c r="BT608" i="11"/>
  <c r="BR608" i="11"/>
  <c r="BP608" i="11"/>
  <c r="CJ608" i="11" s="1"/>
  <c r="CI607" i="11"/>
  <c r="CH607" i="11"/>
  <c r="CF607" i="11"/>
  <c r="CD607" i="11"/>
  <c r="CB607" i="11"/>
  <c r="BZ607" i="11"/>
  <c r="BX607" i="11"/>
  <c r="BV607" i="11"/>
  <c r="BT607" i="11"/>
  <c r="BR607" i="11"/>
  <c r="BP607" i="11"/>
  <c r="CJ607" i="11" s="1"/>
  <c r="CI606" i="11"/>
  <c r="CH606" i="11"/>
  <c r="CF606" i="11"/>
  <c r="CD606" i="11"/>
  <c r="CB606" i="11"/>
  <c r="BZ606" i="11"/>
  <c r="BX606" i="11"/>
  <c r="BV606" i="11"/>
  <c r="BT606" i="11"/>
  <c r="BR606" i="11"/>
  <c r="BP606" i="11"/>
  <c r="CJ606" i="11" s="1"/>
  <c r="CI605" i="11"/>
  <c r="CH605" i="11"/>
  <c r="CF605" i="11"/>
  <c r="CD605" i="11"/>
  <c r="CB605" i="11"/>
  <c r="BZ605" i="11"/>
  <c r="BX605" i="11"/>
  <c r="BV605" i="11"/>
  <c r="BT605" i="11"/>
  <c r="BR605" i="11"/>
  <c r="BP605" i="11"/>
  <c r="CJ605" i="11" s="1"/>
  <c r="CI604" i="11"/>
  <c r="CH604" i="11"/>
  <c r="CF604" i="11"/>
  <c r="CD604" i="11"/>
  <c r="CB604" i="11"/>
  <c r="BZ604" i="11"/>
  <c r="BX604" i="11"/>
  <c r="BV604" i="11"/>
  <c r="BT604" i="11"/>
  <c r="BR604" i="11"/>
  <c r="BP604" i="11"/>
  <c r="CJ604" i="11" s="1"/>
  <c r="CI603" i="11"/>
  <c r="CH603" i="11"/>
  <c r="CF603" i="11"/>
  <c r="CD603" i="11"/>
  <c r="CB603" i="11"/>
  <c r="BZ603" i="11"/>
  <c r="BX603" i="11"/>
  <c r="BV603" i="11"/>
  <c r="BT603" i="11"/>
  <c r="BR603" i="11"/>
  <c r="BP603" i="11"/>
  <c r="CJ603" i="11" s="1"/>
  <c r="CI602" i="11"/>
  <c r="CH602" i="11"/>
  <c r="CF602" i="11"/>
  <c r="CD602" i="11"/>
  <c r="CB602" i="11"/>
  <c r="BZ602" i="11"/>
  <c r="BX602" i="11"/>
  <c r="BV602" i="11"/>
  <c r="BT602" i="11"/>
  <c r="BR602" i="11"/>
  <c r="BP602" i="11"/>
  <c r="CJ602" i="11" s="1"/>
  <c r="CI601" i="11"/>
  <c r="CH601" i="11"/>
  <c r="CF601" i="11"/>
  <c r="CD601" i="11"/>
  <c r="CB601" i="11"/>
  <c r="BZ601" i="11"/>
  <c r="BX601" i="11"/>
  <c r="BV601" i="11"/>
  <c r="BT601" i="11"/>
  <c r="BR601" i="11"/>
  <c r="BP601" i="11"/>
  <c r="CJ601" i="11" s="1"/>
  <c r="CI600" i="11"/>
  <c r="CH600" i="11"/>
  <c r="CF600" i="11"/>
  <c r="CD600" i="11"/>
  <c r="CB600" i="11"/>
  <c r="BZ600" i="11"/>
  <c r="BX600" i="11"/>
  <c r="BV600" i="11"/>
  <c r="BT600" i="11"/>
  <c r="BR600" i="11"/>
  <c r="BP600" i="11"/>
  <c r="CJ600" i="11" s="1"/>
  <c r="CI599" i="11"/>
  <c r="CH599" i="11"/>
  <c r="CF599" i="11"/>
  <c r="CD599" i="11"/>
  <c r="CB599" i="11"/>
  <c r="BZ599" i="11"/>
  <c r="BX599" i="11"/>
  <c r="BV599" i="11"/>
  <c r="BT599" i="11"/>
  <c r="BR599" i="11"/>
  <c r="BP599" i="11"/>
  <c r="CJ599" i="11" s="1"/>
  <c r="CI598" i="11"/>
  <c r="CH598" i="11"/>
  <c r="CF598" i="11"/>
  <c r="CD598" i="11"/>
  <c r="CB598" i="11"/>
  <c r="BZ598" i="11"/>
  <c r="BX598" i="11"/>
  <c r="BV598" i="11"/>
  <c r="BT598" i="11"/>
  <c r="BR598" i="11"/>
  <c r="BP598" i="11"/>
  <c r="CJ598" i="11" s="1"/>
  <c r="CI597" i="11"/>
  <c r="CH597" i="11"/>
  <c r="CF597" i="11"/>
  <c r="CD597" i="11"/>
  <c r="CB597" i="11"/>
  <c r="BZ597" i="11"/>
  <c r="BX597" i="11"/>
  <c r="BV597" i="11"/>
  <c r="BT597" i="11"/>
  <c r="BR597" i="11"/>
  <c r="BP597" i="11"/>
  <c r="CJ597" i="11" s="1"/>
  <c r="CI596" i="11"/>
  <c r="CH596" i="11"/>
  <c r="CF596" i="11"/>
  <c r="CD596" i="11"/>
  <c r="CB596" i="11"/>
  <c r="BZ596" i="11"/>
  <c r="BX596" i="11"/>
  <c r="BV596" i="11"/>
  <c r="BT596" i="11"/>
  <c r="BR596" i="11"/>
  <c r="BP596" i="11"/>
  <c r="CJ596" i="11" s="1"/>
  <c r="CI595" i="11"/>
  <c r="CH595" i="11"/>
  <c r="CF595" i="11"/>
  <c r="CD595" i="11"/>
  <c r="CB595" i="11"/>
  <c r="BZ595" i="11"/>
  <c r="BX595" i="11"/>
  <c r="BV595" i="11"/>
  <c r="BT595" i="11"/>
  <c r="BR595" i="11"/>
  <c r="BP595" i="11"/>
  <c r="CJ595" i="11" s="1"/>
  <c r="CI594" i="11"/>
  <c r="CH594" i="11"/>
  <c r="CF594" i="11"/>
  <c r="CD594" i="11"/>
  <c r="CB594" i="11"/>
  <c r="BZ594" i="11"/>
  <c r="BX594" i="11"/>
  <c r="BV594" i="11"/>
  <c r="BT594" i="11"/>
  <c r="BR594" i="11"/>
  <c r="BP594" i="11"/>
  <c r="CJ594" i="11" s="1"/>
  <c r="CI593" i="11"/>
  <c r="CH593" i="11"/>
  <c r="CF593" i="11"/>
  <c r="CD593" i="11"/>
  <c r="CB593" i="11"/>
  <c r="BZ593" i="11"/>
  <c r="BX593" i="11"/>
  <c r="BV593" i="11"/>
  <c r="BT593" i="11"/>
  <c r="BR593" i="11"/>
  <c r="BP593" i="11"/>
  <c r="CJ593" i="11" s="1"/>
  <c r="CI592" i="11"/>
  <c r="CH592" i="11"/>
  <c r="CF592" i="11"/>
  <c r="CD592" i="11"/>
  <c r="CB592" i="11"/>
  <c r="BZ592" i="11"/>
  <c r="BX592" i="11"/>
  <c r="BV592" i="11"/>
  <c r="BT592" i="11"/>
  <c r="BR592" i="11"/>
  <c r="BP592" i="11"/>
  <c r="CJ592" i="11" s="1"/>
  <c r="CI591" i="11"/>
  <c r="CH591" i="11"/>
  <c r="CF591" i="11"/>
  <c r="CD591" i="11"/>
  <c r="CB591" i="11"/>
  <c r="BZ591" i="11"/>
  <c r="BX591" i="11"/>
  <c r="BV591" i="11"/>
  <c r="BT591" i="11"/>
  <c r="BR591" i="11"/>
  <c r="BP591" i="11"/>
  <c r="CJ591" i="11" s="1"/>
  <c r="CI590" i="11"/>
  <c r="CH590" i="11"/>
  <c r="CF590" i="11"/>
  <c r="CD590" i="11"/>
  <c r="CB590" i="11"/>
  <c r="BZ590" i="11"/>
  <c r="BX590" i="11"/>
  <c r="BV590" i="11"/>
  <c r="BT590" i="11"/>
  <c r="BR590" i="11"/>
  <c r="BP590" i="11"/>
  <c r="CJ590" i="11" s="1"/>
  <c r="CI589" i="11"/>
  <c r="CH589" i="11"/>
  <c r="CF589" i="11"/>
  <c r="CD589" i="11"/>
  <c r="CB589" i="11"/>
  <c r="BZ589" i="11"/>
  <c r="BX589" i="11"/>
  <c r="BV589" i="11"/>
  <c r="BT589" i="11"/>
  <c r="BR589" i="11"/>
  <c r="BP589" i="11"/>
  <c r="CJ589" i="11" s="1"/>
  <c r="CI588" i="11"/>
  <c r="CH588" i="11"/>
  <c r="CF588" i="11"/>
  <c r="CD588" i="11"/>
  <c r="CB588" i="11"/>
  <c r="BZ588" i="11"/>
  <c r="BX588" i="11"/>
  <c r="BV588" i="11"/>
  <c r="BT588" i="11"/>
  <c r="BR588" i="11"/>
  <c r="BP588" i="11"/>
  <c r="CJ588" i="11" s="1"/>
  <c r="CI587" i="11"/>
  <c r="CH587" i="11"/>
  <c r="CF587" i="11"/>
  <c r="CD587" i="11"/>
  <c r="CB587" i="11"/>
  <c r="BZ587" i="11"/>
  <c r="BX587" i="11"/>
  <c r="BV587" i="11"/>
  <c r="BT587" i="11"/>
  <c r="BR587" i="11"/>
  <c r="BP587" i="11"/>
  <c r="CJ587" i="11" s="1"/>
  <c r="CI586" i="11"/>
  <c r="CH586" i="11"/>
  <c r="CF586" i="11"/>
  <c r="CD586" i="11"/>
  <c r="CB586" i="11"/>
  <c r="BZ586" i="11"/>
  <c r="BX586" i="11"/>
  <c r="BV586" i="11"/>
  <c r="BT586" i="11"/>
  <c r="BR586" i="11"/>
  <c r="BP586" i="11"/>
  <c r="CJ586" i="11" s="1"/>
  <c r="CI585" i="11"/>
  <c r="CH585" i="11"/>
  <c r="CF585" i="11"/>
  <c r="CD585" i="11"/>
  <c r="CB585" i="11"/>
  <c r="BZ585" i="11"/>
  <c r="BX585" i="11"/>
  <c r="BV585" i="11"/>
  <c r="BT585" i="11"/>
  <c r="BR585" i="11"/>
  <c r="BP585" i="11"/>
  <c r="CJ585" i="11" s="1"/>
  <c r="CI584" i="11"/>
  <c r="CH584" i="11"/>
  <c r="CF584" i="11"/>
  <c r="CD584" i="11"/>
  <c r="CB584" i="11"/>
  <c r="BZ584" i="11"/>
  <c r="BX584" i="11"/>
  <c r="BV584" i="11"/>
  <c r="BT584" i="11"/>
  <c r="BR584" i="11"/>
  <c r="BP584" i="11"/>
  <c r="CJ584" i="11" s="1"/>
  <c r="CI583" i="11"/>
  <c r="CH583" i="11"/>
  <c r="CF583" i="11"/>
  <c r="CD583" i="11"/>
  <c r="CB583" i="11"/>
  <c r="BZ583" i="11"/>
  <c r="BX583" i="11"/>
  <c r="BV583" i="11"/>
  <c r="BT583" i="11"/>
  <c r="BR583" i="11"/>
  <c r="BP583" i="11"/>
  <c r="CJ583" i="11" s="1"/>
  <c r="CI582" i="11"/>
  <c r="CH582" i="11"/>
  <c r="CF582" i="11"/>
  <c r="CD582" i="11"/>
  <c r="CB582" i="11"/>
  <c r="BZ582" i="11"/>
  <c r="BX582" i="11"/>
  <c r="BV582" i="11"/>
  <c r="BT582" i="11"/>
  <c r="BR582" i="11"/>
  <c r="BP582" i="11"/>
  <c r="CJ582" i="11" s="1"/>
  <c r="CI581" i="11"/>
  <c r="CH581" i="11"/>
  <c r="CF581" i="11"/>
  <c r="CD581" i="11"/>
  <c r="CB581" i="11"/>
  <c r="BZ581" i="11"/>
  <c r="BX581" i="11"/>
  <c r="BV581" i="11"/>
  <c r="BT581" i="11"/>
  <c r="BR581" i="11"/>
  <c r="BP581" i="11"/>
  <c r="CJ581" i="11" s="1"/>
  <c r="CI580" i="11"/>
  <c r="CH580" i="11"/>
  <c r="CF580" i="11"/>
  <c r="CD580" i="11"/>
  <c r="CB580" i="11"/>
  <c r="BZ580" i="11"/>
  <c r="BX580" i="11"/>
  <c r="BV580" i="11"/>
  <c r="BT580" i="11"/>
  <c r="BR580" i="11"/>
  <c r="BP580" i="11"/>
  <c r="CJ580" i="11" s="1"/>
  <c r="CI579" i="11"/>
  <c r="CH579" i="11"/>
  <c r="CF579" i="11"/>
  <c r="CD579" i="11"/>
  <c r="CB579" i="11"/>
  <c r="BZ579" i="11"/>
  <c r="BX579" i="11"/>
  <c r="BV579" i="11"/>
  <c r="BT579" i="11"/>
  <c r="BR579" i="11"/>
  <c r="BP579" i="11"/>
  <c r="CJ579" i="11" s="1"/>
  <c r="CI578" i="11"/>
  <c r="CH578" i="11"/>
  <c r="CF578" i="11"/>
  <c r="CD578" i="11"/>
  <c r="CB578" i="11"/>
  <c r="BZ578" i="11"/>
  <c r="BX578" i="11"/>
  <c r="BV578" i="11"/>
  <c r="BT578" i="11"/>
  <c r="BR578" i="11"/>
  <c r="BP578" i="11"/>
  <c r="CJ578" i="11" s="1"/>
  <c r="CI577" i="11"/>
  <c r="CH577" i="11"/>
  <c r="CF577" i="11"/>
  <c r="CD577" i="11"/>
  <c r="CB577" i="11"/>
  <c r="BZ577" i="11"/>
  <c r="BX577" i="11"/>
  <c r="BV577" i="11"/>
  <c r="BT577" i="11"/>
  <c r="BR577" i="11"/>
  <c r="BP577" i="11"/>
  <c r="CJ577" i="11" s="1"/>
  <c r="CI576" i="11"/>
  <c r="CH576" i="11"/>
  <c r="CF576" i="11"/>
  <c r="CD576" i="11"/>
  <c r="CB576" i="11"/>
  <c r="BZ576" i="11"/>
  <c r="BX576" i="11"/>
  <c r="BV576" i="11"/>
  <c r="BT576" i="11"/>
  <c r="BR576" i="11"/>
  <c r="BP576" i="11"/>
  <c r="CJ576" i="11" s="1"/>
  <c r="CI575" i="11"/>
  <c r="CH575" i="11"/>
  <c r="CF575" i="11"/>
  <c r="CD575" i="11"/>
  <c r="CB575" i="11"/>
  <c r="BZ575" i="11"/>
  <c r="BX575" i="11"/>
  <c r="BV575" i="11"/>
  <c r="BT575" i="11"/>
  <c r="BR575" i="11"/>
  <c r="BP575" i="11"/>
  <c r="CJ575" i="11" s="1"/>
  <c r="CI574" i="11"/>
  <c r="CH574" i="11"/>
  <c r="CF574" i="11"/>
  <c r="CD574" i="11"/>
  <c r="CB574" i="11"/>
  <c r="BZ574" i="11"/>
  <c r="BX574" i="11"/>
  <c r="BV574" i="11"/>
  <c r="BT574" i="11"/>
  <c r="BR574" i="11"/>
  <c r="BP574" i="11"/>
  <c r="CJ574" i="11" s="1"/>
  <c r="CI573" i="11"/>
  <c r="CH573" i="11"/>
  <c r="CF573" i="11"/>
  <c r="CD573" i="11"/>
  <c r="CB573" i="11"/>
  <c r="BZ573" i="11"/>
  <c r="BX573" i="11"/>
  <c r="BV573" i="11"/>
  <c r="BT573" i="11"/>
  <c r="BR573" i="11"/>
  <c r="BP573" i="11"/>
  <c r="CJ573" i="11" s="1"/>
  <c r="CI572" i="11"/>
  <c r="CH572" i="11"/>
  <c r="CF572" i="11"/>
  <c r="CD572" i="11"/>
  <c r="CB572" i="11"/>
  <c r="BZ572" i="11"/>
  <c r="BX572" i="11"/>
  <c r="BV572" i="11"/>
  <c r="BT572" i="11"/>
  <c r="BR572" i="11"/>
  <c r="BP572" i="11"/>
  <c r="CJ572" i="11" s="1"/>
  <c r="CI571" i="11"/>
  <c r="CH571" i="11"/>
  <c r="CF571" i="11"/>
  <c r="CD571" i="11"/>
  <c r="CB571" i="11"/>
  <c r="BZ571" i="11"/>
  <c r="BX571" i="11"/>
  <c r="BV571" i="11"/>
  <c r="BT571" i="11"/>
  <c r="BR571" i="11"/>
  <c r="BP571" i="11"/>
  <c r="CJ571" i="11" s="1"/>
  <c r="CI570" i="11"/>
  <c r="CH570" i="11"/>
  <c r="CF570" i="11"/>
  <c r="CD570" i="11"/>
  <c r="CB570" i="11"/>
  <c r="BZ570" i="11"/>
  <c r="BX570" i="11"/>
  <c r="BV570" i="11"/>
  <c r="BT570" i="11"/>
  <c r="BR570" i="11"/>
  <c r="BP570" i="11"/>
  <c r="CJ570" i="11" s="1"/>
  <c r="CI569" i="11"/>
  <c r="CH569" i="11"/>
  <c r="CF569" i="11"/>
  <c r="CD569" i="11"/>
  <c r="CB569" i="11"/>
  <c r="BZ569" i="11"/>
  <c r="BX569" i="11"/>
  <c r="BV569" i="11"/>
  <c r="BT569" i="11"/>
  <c r="BR569" i="11"/>
  <c r="BP569" i="11"/>
  <c r="CJ569" i="11" s="1"/>
  <c r="CI568" i="11"/>
  <c r="CH568" i="11"/>
  <c r="CF568" i="11"/>
  <c r="CD568" i="11"/>
  <c r="CB568" i="11"/>
  <c r="BZ568" i="11"/>
  <c r="BX568" i="11"/>
  <c r="BV568" i="11"/>
  <c r="BT568" i="11"/>
  <c r="BR568" i="11"/>
  <c r="BP568" i="11"/>
  <c r="CJ568" i="11" s="1"/>
  <c r="CI567" i="11"/>
  <c r="CH567" i="11"/>
  <c r="CF567" i="11"/>
  <c r="CD567" i="11"/>
  <c r="CB567" i="11"/>
  <c r="BZ567" i="11"/>
  <c r="BX567" i="11"/>
  <c r="BV567" i="11"/>
  <c r="BT567" i="11"/>
  <c r="BR567" i="11"/>
  <c r="BP567" i="11"/>
  <c r="CJ567" i="11" s="1"/>
  <c r="CI566" i="11"/>
  <c r="CH566" i="11"/>
  <c r="CF566" i="11"/>
  <c r="CD566" i="11"/>
  <c r="CB566" i="11"/>
  <c r="BZ566" i="11"/>
  <c r="BX566" i="11"/>
  <c r="BV566" i="11"/>
  <c r="BT566" i="11"/>
  <c r="BR566" i="11"/>
  <c r="BP566" i="11"/>
  <c r="CJ566" i="11" s="1"/>
  <c r="CI565" i="11"/>
  <c r="CH565" i="11"/>
  <c r="CF565" i="11"/>
  <c r="CD565" i="11"/>
  <c r="CB565" i="11"/>
  <c r="BZ565" i="11"/>
  <c r="BX565" i="11"/>
  <c r="BV565" i="11"/>
  <c r="BT565" i="11"/>
  <c r="BR565" i="11"/>
  <c r="BP565" i="11"/>
  <c r="CJ565" i="11" s="1"/>
  <c r="CI564" i="11"/>
  <c r="CH564" i="11"/>
  <c r="CF564" i="11"/>
  <c r="CD564" i="11"/>
  <c r="CB564" i="11"/>
  <c r="BZ564" i="11"/>
  <c r="BX564" i="11"/>
  <c r="BV564" i="11"/>
  <c r="BT564" i="11"/>
  <c r="BR564" i="11"/>
  <c r="BP564" i="11"/>
  <c r="CJ564" i="11" s="1"/>
  <c r="CI563" i="11"/>
  <c r="CH563" i="11"/>
  <c r="CF563" i="11"/>
  <c r="CD563" i="11"/>
  <c r="CB563" i="11"/>
  <c r="BZ563" i="11"/>
  <c r="BX563" i="11"/>
  <c r="BV563" i="11"/>
  <c r="BT563" i="11"/>
  <c r="BR563" i="11"/>
  <c r="BP563" i="11"/>
  <c r="CJ563" i="11" s="1"/>
  <c r="CI562" i="11"/>
  <c r="CH562" i="11"/>
  <c r="CF562" i="11"/>
  <c r="CD562" i="11"/>
  <c r="CB562" i="11"/>
  <c r="BZ562" i="11"/>
  <c r="BX562" i="11"/>
  <c r="BV562" i="11"/>
  <c r="BT562" i="11"/>
  <c r="BR562" i="11"/>
  <c r="BP562" i="11"/>
  <c r="CJ562" i="11" s="1"/>
  <c r="CI561" i="11"/>
  <c r="CH561" i="11"/>
  <c r="CF561" i="11"/>
  <c r="CD561" i="11"/>
  <c r="CB561" i="11"/>
  <c r="BZ561" i="11"/>
  <c r="BX561" i="11"/>
  <c r="BV561" i="11"/>
  <c r="BT561" i="11"/>
  <c r="BR561" i="11"/>
  <c r="BP561" i="11"/>
  <c r="CJ561" i="11" s="1"/>
  <c r="CI560" i="11"/>
  <c r="CH560" i="11"/>
  <c r="CF560" i="11"/>
  <c r="CD560" i="11"/>
  <c r="CB560" i="11"/>
  <c r="BZ560" i="11"/>
  <c r="BX560" i="11"/>
  <c r="BV560" i="11"/>
  <c r="BT560" i="11"/>
  <c r="BR560" i="11"/>
  <c r="BP560" i="11"/>
  <c r="CJ560" i="11" s="1"/>
  <c r="CI559" i="11"/>
  <c r="CH559" i="11"/>
  <c r="CF559" i="11"/>
  <c r="CD559" i="11"/>
  <c r="CB559" i="11"/>
  <c r="BZ559" i="11"/>
  <c r="BX559" i="11"/>
  <c r="BV559" i="11"/>
  <c r="BT559" i="11"/>
  <c r="BR559" i="11"/>
  <c r="BP559" i="11"/>
  <c r="CJ559" i="11" s="1"/>
  <c r="CI558" i="11"/>
  <c r="CH558" i="11"/>
  <c r="CF558" i="11"/>
  <c r="CD558" i="11"/>
  <c r="CB558" i="11"/>
  <c r="BZ558" i="11"/>
  <c r="BX558" i="11"/>
  <c r="BV558" i="11"/>
  <c r="BT558" i="11"/>
  <c r="BR558" i="11"/>
  <c r="BP558" i="11"/>
  <c r="CJ558" i="11" s="1"/>
  <c r="CI557" i="11"/>
  <c r="CH557" i="11"/>
  <c r="CF557" i="11"/>
  <c r="CD557" i="11"/>
  <c r="CB557" i="11"/>
  <c r="BZ557" i="11"/>
  <c r="BX557" i="11"/>
  <c r="BV557" i="11"/>
  <c r="BT557" i="11"/>
  <c r="BR557" i="11"/>
  <c r="BP557" i="11"/>
  <c r="CJ557" i="11" s="1"/>
  <c r="CI556" i="11"/>
  <c r="CH556" i="11"/>
  <c r="CF556" i="11"/>
  <c r="CD556" i="11"/>
  <c r="CB556" i="11"/>
  <c r="BZ556" i="11"/>
  <c r="BX556" i="11"/>
  <c r="BV556" i="11"/>
  <c r="BT556" i="11"/>
  <c r="BR556" i="11"/>
  <c r="BP556" i="11"/>
  <c r="CJ556" i="11" s="1"/>
  <c r="CI555" i="11"/>
  <c r="CH555" i="11"/>
  <c r="CF555" i="11"/>
  <c r="CD555" i="11"/>
  <c r="CB555" i="11"/>
  <c r="BZ555" i="11"/>
  <c r="BX555" i="11"/>
  <c r="BV555" i="11"/>
  <c r="BT555" i="11"/>
  <c r="BR555" i="11"/>
  <c r="BP555" i="11"/>
  <c r="CJ555" i="11" s="1"/>
  <c r="CI554" i="11"/>
  <c r="CH554" i="11"/>
  <c r="CF554" i="11"/>
  <c r="CD554" i="11"/>
  <c r="CB554" i="11"/>
  <c r="BZ554" i="11"/>
  <c r="BX554" i="11"/>
  <c r="BV554" i="11"/>
  <c r="BT554" i="11"/>
  <c r="BR554" i="11"/>
  <c r="BP554" i="11"/>
  <c r="CJ554" i="11" s="1"/>
  <c r="CI553" i="11"/>
  <c r="CH553" i="11"/>
  <c r="CF553" i="11"/>
  <c r="CD553" i="11"/>
  <c r="CB553" i="11"/>
  <c r="BZ553" i="11"/>
  <c r="BX553" i="11"/>
  <c r="BV553" i="11"/>
  <c r="BT553" i="11"/>
  <c r="BR553" i="11"/>
  <c r="BP553" i="11"/>
  <c r="CJ553" i="11" s="1"/>
  <c r="CI552" i="11"/>
  <c r="CH552" i="11"/>
  <c r="CF552" i="11"/>
  <c r="CD552" i="11"/>
  <c r="CB552" i="11"/>
  <c r="BZ552" i="11"/>
  <c r="BX552" i="11"/>
  <c r="BV552" i="11"/>
  <c r="BT552" i="11"/>
  <c r="BR552" i="11"/>
  <c r="BP552" i="11"/>
  <c r="CJ552" i="11" s="1"/>
  <c r="CI551" i="11"/>
  <c r="CH551" i="11"/>
  <c r="CF551" i="11"/>
  <c r="CD551" i="11"/>
  <c r="CB551" i="11"/>
  <c r="BZ551" i="11"/>
  <c r="BX551" i="11"/>
  <c r="BV551" i="11"/>
  <c r="BT551" i="11"/>
  <c r="BR551" i="11"/>
  <c r="BP551" i="11"/>
  <c r="CJ551" i="11" s="1"/>
  <c r="CI550" i="11"/>
  <c r="CH550" i="11"/>
  <c r="CF550" i="11"/>
  <c r="CD550" i="11"/>
  <c r="CB550" i="11"/>
  <c r="BZ550" i="11"/>
  <c r="BX550" i="11"/>
  <c r="BV550" i="11"/>
  <c r="BT550" i="11"/>
  <c r="BR550" i="11"/>
  <c r="BP550" i="11"/>
  <c r="CJ550" i="11" s="1"/>
  <c r="CI549" i="11"/>
  <c r="CH549" i="11"/>
  <c r="CF549" i="11"/>
  <c r="CD549" i="11"/>
  <c r="CB549" i="11"/>
  <c r="BZ549" i="11"/>
  <c r="BX549" i="11"/>
  <c r="BV549" i="11"/>
  <c r="BT549" i="11"/>
  <c r="BR549" i="11"/>
  <c r="BP549" i="11"/>
  <c r="CJ549" i="11" s="1"/>
  <c r="CI548" i="11"/>
  <c r="CH548" i="11"/>
  <c r="CF548" i="11"/>
  <c r="CD548" i="11"/>
  <c r="CB548" i="11"/>
  <c r="BZ548" i="11"/>
  <c r="BX548" i="11"/>
  <c r="BV548" i="11"/>
  <c r="BT548" i="11"/>
  <c r="BR548" i="11"/>
  <c r="BP548" i="11"/>
  <c r="CJ548" i="11" s="1"/>
  <c r="CI547" i="11"/>
  <c r="CH547" i="11"/>
  <c r="CF547" i="11"/>
  <c r="CD547" i="11"/>
  <c r="CB547" i="11"/>
  <c r="BZ547" i="11"/>
  <c r="BX547" i="11"/>
  <c r="BV547" i="11"/>
  <c r="BT547" i="11"/>
  <c r="BR547" i="11"/>
  <c r="BP547" i="11"/>
  <c r="CJ547" i="11" s="1"/>
  <c r="CI546" i="11"/>
  <c r="CH546" i="11"/>
  <c r="CF546" i="11"/>
  <c r="CD546" i="11"/>
  <c r="CB546" i="11"/>
  <c r="BZ546" i="11"/>
  <c r="BX546" i="11"/>
  <c r="BV546" i="11"/>
  <c r="BT546" i="11"/>
  <c r="BR546" i="11"/>
  <c r="BP546" i="11"/>
  <c r="CJ546" i="11" s="1"/>
  <c r="CI545" i="11"/>
  <c r="CH545" i="11"/>
  <c r="CF545" i="11"/>
  <c r="CD545" i="11"/>
  <c r="CB545" i="11"/>
  <c r="BZ545" i="11"/>
  <c r="BX545" i="11"/>
  <c r="BV545" i="11"/>
  <c r="BT545" i="11"/>
  <c r="BR545" i="11"/>
  <c r="BP545" i="11"/>
  <c r="CJ545" i="11" s="1"/>
  <c r="CI544" i="11"/>
  <c r="CH544" i="11"/>
  <c r="CF544" i="11"/>
  <c r="CD544" i="11"/>
  <c r="CB544" i="11"/>
  <c r="BZ544" i="11"/>
  <c r="BX544" i="11"/>
  <c r="BV544" i="11"/>
  <c r="BT544" i="11"/>
  <c r="BR544" i="11"/>
  <c r="BP544" i="11"/>
  <c r="CJ544" i="11" s="1"/>
  <c r="CI543" i="11"/>
  <c r="CH543" i="11"/>
  <c r="CF543" i="11"/>
  <c r="CD543" i="11"/>
  <c r="CB543" i="11"/>
  <c r="BZ543" i="11"/>
  <c r="BX543" i="11"/>
  <c r="BV543" i="11"/>
  <c r="BT543" i="11"/>
  <c r="BR543" i="11"/>
  <c r="BP543" i="11"/>
  <c r="CJ543" i="11" s="1"/>
  <c r="CI542" i="11"/>
  <c r="CH542" i="11"/>
  <c r="CF542" i="11"/>
  <c r="CD542" i="11"/>
  <c r="CB542" i="11"/>
  <c r="BZ542" i="11"/>
  <c r="BX542" i="11"/>
  <c r="BV542" i="11"/>
  <c r="BT542" i="11"/>
  <c r="BR542" i="11"/>
  <c r="BP542" i="11"/>
  <c r="CJ542" i="11" s="1"/>
  <c r="CI541" i="11"/>
  <c r="CH541" i="11"/>
  <c r="CF541" i="11"/>
  <c r="CD541" i="11"/>
  <c r="CB541" i="11"/>
  <c r="BZ541" i="11"/>
  <c r="BX541" i="11"/>
  <c r="BV541" i="11"/>
  <c r="BT541" i="11"/>
  <c r="BR541" i="11"/>
  <c r="BP541" i="11"/>
  <c r="CJ541" i="11" s="1"/>
  <c r="CI540" i="11"/>
  <c r="CH540" i="11"/>
  <c r="CF540" i="11"/>
  <c r="CD540" i="11"/>
  <c r="CB540" i="11"/>
  <c r="BZ540" i="11"/>
  <c r="BX540" i="11"/>
  <c r="BV540" i="11"/>
  <c r="BT540" i="11"/>
  <c r="BR540" i="11"/>
  <c r="BP540" i="11"/>
  <c r="CJ540" i="11" s="1"/>
  <c r="CI539" i="11"/>
  <c r="CH539" i="11"/>
  <c r="CF539" i="11"/>
  <c r="CD539" i="11"/>
  <c r="CB539" i="11"/>
  <c r="BZ539" i="11"/>
  <c r="BX539" i="11"/>
  <c r="BV539" i="11"/>
  <c r="BT539" i="11"/>
  <c r="BR539" i="11"/>
  <c r="BP539" i="11"/>
  <c r="CJ539" i="11" s="1"/>
  <c r="CI538" i="11"/>
  <c r="CH538" i="11"/>
  <c r="CF538" i="11"/>
  <c r="CD538" i="11"/>
  <c r="CB538" i="11"/>
  <c r="BZ538" i="11"/>
  <c r="BX538" i="11"/>
  <c r="BV538" i="11"/>
  <c r="BT538" i="11"/>
  <c r="BR538" i="11"/>
  <c r="BP538" i="11"/>
  <c r="CJ538" i="11" s="1"/>
  <c r="CI537" i="11"/>
  <c r="CH537" i="11"/>
  <c r="CF537" i="11"/>
  <c r="CD537" i="11"/>
  <c r="CB537" i="11"/>
  <c r="BZ537" i="11"/>
  <c r="BX537" i="11"/>
  <c r="BV537" i="11"/>
  <c r="CJ537" i="11" s="1"/>
  <c r="BT537" i="11"/>
  <c r="BR537" i="11"/>
  <c r="BP537" i="11"/>
  <c r="CI536" i="11"/>
  <c r="CH536" i="11"/>
  <c r="CF536" i="11"/>
  <c r="CD536" i="11"/>
  <c r="CB536" i="11"/>
  <c r="BZ536" i="11"/>
  <c r="BX536" i="11"/>
  <c r="BV536" i="11"/>
  <c r="CJ536" i="11" s="1"/>
  <c r="BT536" i="11"/>
  <c r="BR536" i="11"/>
  <c r="BP536" i="11"/>
  <c r="CI535" i="11"/>
  <c r="CH535" i="11"/>
  <c r="CF535" i="11"/>
  <c r="CD535" i="11"/>
  <c r="CB535" i="11"/>
  <c r="BZ535" i="11"/>
  <c r="BX535" i="11"/>
  <c r="BV535" i="11"/>
  <c r="CJ535" i="11" s="1"/>
  <c r="BT535" i="11"/>
  <c r="BR535" i="11"/>
  <c r="BP535" i="11"/>
  <c r="CI534" i="11"/>
  <c r="CH534" i="11"/>
  <c r="CF534" i="11"/>
  <c r="CD534" i="11"/>
  <c r="CB534" i="11"/>
  <c r="BZ534" i="11"/>
  <c r="BX534" i="11"/>
  <c r="BV534" i="11"/>
  <c r="CJ534" i="11" s="1"/>
  <c r="BT534" i="11"/>
  <c r="BR534" i="11"/>
  <c r="BP534" i="11"/>
  <c r="CI533" i="11"/>
  <c r="CH533" i="11"/>
  <c r="CF533" i="11"/>
  <c r="CD533" i="11"/>
  <c r="CB533" i="11"/>
  <c r="BZ533" i="11"/>
  <c r="BX533" i="11"/>
  <c r="BV533" i="11"/>
  <c r="CJ533" i="11" s="1"/>
  <c r="BT533" i="11"/>
  <c r="BR533" i="11"/>
  <c r="BP533" i="11"/>
  <c r="CI532" i="11"/>
  <c r="CH532" i="11"/>
  <c r="CF532" i="11"/>
  <c r="CD532" i="11"/>
  <c r="CB532" i="11"/>
  <c r="BZ532" i="11"/>
  <c r="BX532" i="11"/>
  <c r="BV532" i="11"/>
  <c r="CJ532" i="11" s="1"/>
  <c r="BT532" i="11"/>
  <c r="BR532" i="11"/>
  <c r="BP532" i="11"/>
  <c r="CI531" i="11"/>
  <c r="CH531" i="11"/>
  <c r="CF531" i="11"/>
  <c r="CD531" i="11"/>
  <c r="CB531" i="11"/>
  <c r="BZ531" i="11"/>
  <c r="BX531" i="11"/>
  <c r="BV531" i="11"/>
  <c r="CJ531" i="11" s="1"/>
  <c r="BT531" i="11"/>
  <c r="BR531" i="11"/>
  <c r="BP531" i="11"/>
  <c r="CI530" i="11"/>
  <c r="CH530" i="11"/>
  <c r="CF530" i="11"/>
  <c r="CD530" i="11"/>
  <c r="CB530" i="11"/>
  <c r="BZ530" i="11"/>
  <c r="BX530" i="11"/>
  <c r="BV530" i="11"/>
  <c r="CJ530" i="11" s="1"/>
  <c r="BT530" i="11"/>
  <c r="BR530" i="11"/>
  <c r="BP530" i="11"/>
  <c r="CI529" i="11"/>
  <c r="CH529" i="11"/>
  <c r="CF529" i="11"/>
  <c r="CD529" i="11"/>
  <c r="CB529" i="11"/>
  <c r="BZ529" i="11"/>
  <c r="BX529" i="11"/>
  <c r="BV529" i="11"/>
  <c r="CJ529" i="11" s="1"/>
  <c r="BT529" i="11"/>
  <c r="BR529" i="11"/>
  <c r="BP529" i="11"/>
  <c r="CI528" i="11"/>
  <c r="CH528" i="11"/>
  <c r="CF528" i="11"/>
  <c r="CD528" i="11"/>
  <c r="CB528" i="11"/>
  <c r="BZ528" i="11"/>
  <c r="BX528" i="11"/>
  <c r="BV528" i="11"/>
  <c r="BT528" i="11"/>
  <c r="BR528" i="11"/>
  <c r="BP528" i="11"/>
  <c r="CJ528" i="11" s="1"/>
  <c r="CI527" i="11"/>
  <c r="CH527" i="11"/>
  <c r="CF527" i="11"/>
  <c r="CD527" i="11"/>
  <c r="CB527" i="11"/>
  <c r="BZ527" i="11"/>
  <c r="BX527" i="11"/>
  <c r="BV527" i="11"/>
  <c r="BT527" i="11"/>
  <c r="BR527" i="11"/>
  <c r="BP527" i="11"/>
  <c r="CJ527" i="11" s="1"/>
  <c r="CI526" i="11"/>
  <c r="CH526" i="11"/>
  <c r="CF526" i="11"/>
  <c r="CD526" i="11"/>
  <c r="CB526" i="11"/>
  <c r="BZ526" i="11"/>
  <c r="BX526" i="11"/>
  <c r="BV526" i="11"/>
  <c r="BT526" i="11"/>
  <c r="BR526" i="11"/>
  <c r="BP526" i="11"/>
  <c r="CJ526" i="11" s="1"/>
  <c r="CI525" i="11"/>
  <c r="CH525" i="11"/>
  <c r="CF525" i="11"/>
  <c r="CD525" i="11"/>
  <c r="CB525" i="11"/>
  <c r="BZ525" i="11"/>
  <c r="BX525" i="11"/>
  <c r="BV525" i="11"/>
  <c r="BT525" i="11"/>
  <c r="BR525" i="11"/>
  <c r="BP525" i="11"/>
  <c r="CJ525" i="11" s="1"/>
  <c r="CI524" i="11"/>
  <c r="CH524" i="11"/>
  <c r="CF524" i="11"/>
  <c r="CD524" i="11"/>
  <c r="CB524" i="11"/>
  <c r="BZ524" i="11"/>
  <c r="BX524" i="11"/>
  <c r="BV524" i="11"/>
  <c r="BT524" i="11"/>
  <c r="BR524" i="11"/>
  <c r="BP524" i="11"/>
  <c r="CJ524" i="11" s="1"/>
  <c r="CI523" i="11"/>
  <c r="CH523" i="11"/>
  <c r="CF523" i="11"/>
  <c r="CD523" i="11"/>
  <c r="CB523" i="11"/>
  <c r="BZ523" i="11"/>
  <c r="BX523" i="11"/>
  <c r="BV523" i="11"/>
  <c r="BT523" i="11"/>
  <c r="BR523" i="11"/>
  <c r="BP523" i="11"/>
  <c r="CJ523" i="11" s="1"/>
  <c r="CI522" i="11"/>
  <c r="CH522" i="11"/>
  <c r="CF522" i="11"/>
  <c r="CD522" i="11"/>
  <c r="CB522" i="11"/>
  <c r="BZ522" i="11"/>
  <c r="BX522" i="11"/>
  <c r="BV522" i="11"/>
  <c r="BT522" i="11"/>
  <c r="BR522" i="11"/>
  <c r="BP522" i="11"/>
  <c r="CJ522" i="11" s="1"/>
  <c r="CI521" i="11"/>
  <c r="CH521" i="11"/>
  <c r="CF521" i="11"/>
  <c r="CD521" i="11"/>
  <c r="CB521" i="11"/>
  <c r="BZ521" i="11"/>
  <c r="BX521" i="11"/>
  <c r="BV521" i="11"/>
  <c r="BT521" i="11"/>
  <c r="BR521" i="11"/>
  <c r="BP521" i="11"/>
  <c r="CJ521" i="11" s="1"/>
  <c r="CI520" i="11"/>
  <c r="CH520" i="11"/>
  <c r="CF520" i="11"/>
  <c r="CD520" i="11"/>
  <c r="CB520" i="11"/>
  <c r="BZ520" i="11"/>
  <c r="BX520" i="11"/>
  <c r="BV520" i="11"/>
  <c r="BT520" i="11"/>
  <c r="BR520" i="11"/>
  <c r="BP520" i="11"/>
  <c r="CJ520" i="11" s="1"/>
  <c r="CI519" i="11"/>
  <c r="CH519" i="11"/>
  <c r="CF519" i="11"/>
  <c r="CD519" i="11"/>
  <c r="CB519" i="11"/>
  <c r="BZ519" i="11"/>
  <c r="BX519" i="11"/>
  <c r="BV519" i="11"/>
  <c r="BT519" i="11"/>
  <c r="BR519" i="11"/>
  <c r="BP519" i="11"/>
  <c r="CJ519" i="11" s="1"/>
  <c r="CI518" i="11"/>
  <c r="CH518" i="11"/>
  <c r="CF518" i="11"/>
  <c r="CD518" i="11"/>
  <c r="CB518" i="11"/>
  <c r="BZ518" i="11"/>
  <c r="BX518" i="11"/>
  <c r="BV518" i="11"/>
  <c r="BT518" i="11"/>
  <c r="BR518" i="11"/>
  <c r="BP518" i="11"/>
  <c r="CJ518" i="11" s="1"/>
  <c r="CI517" i="11"/>
  <c r="CH517" i="11"/>
  <c r="CF517" i="11"/>
  <c r="CD517" i="11"/>
  <c r="CB517" i="11"/>
  <c r="BZ517" i="11"/>
  <c r="BX517" i="11"/>
  <c r="BV517" i="11"/>
  <c r="BT517" i="11"/>
  <c r="BR517" i="11"/>
  <c r="BP517" i="11"/>
  <c r="CJ517" i="11" s="1"/>
  <c r="CI516" i="11"/>
  <c r="CH516" i="11"/>
  <c r="CF516" i="11"/>
  <c r="CD516" i="11"/>
  <c r="CB516" i="11"/>
  <c r="BZ516" i="11"/>
  <c r="BX516" i="11"/>
  <c r="BV516" i="11"/>
  <c r="BT516" i="11"/>
  <c r="BR516" i="11"/>
  <c r="BP516" i="11"/>
  <c r="CJ516" i="11" s="1"/>
  <c r="CI515" i="11"/>
  <c r="CH515" i="11"/>
  <c r="CF515" i="11"/>
  <c r="CD515" i="11"/>
  <c r="CB515" i="11"/>
  <c r="BZ515" i="11"/>
  <c r="BX515" i="11"/>
  <c r="BV515" i="11"/>
  <c r="BT515" i="11"/>
  <c r="BR515" i="11"/>
  <c r="BP515" i="11"/>
  <c r="CJ515" i="11" s="1"/>
  <c r="CI514" i="11"/>
  <c r="CH514" i="11"/>
  <c r="CF514" i="11"/>
  <c r="CD514" i="11"/>
  <c r="CB514" i="11"/>
  <c r="BZ514" i="11"/>
  <c r="BX514" i="11"/>
  <c r="BV514" i="11"/>
  <c r="BT514" i="11"/>
  <c r="BR514" i="11"/>
  <c r="BP514" i="11"/>
  <c r="CJ514" i="11" s="1"/>
  <c r="CI513" i="11"/>
  <c r="CH513" i="11"/>
  <c r="CF513" i="11"/>
  <c r="CD513" i="11"/>
  <c r="CB513" i="11"/>
  <c r="BZ513" i="11"/>
  <c r="BX513" i="11"/>
  <c r="BV513" i="11"/>
  <c r="BT513" i="11"/>
  <c r="BR513" i="11"/>
  <c r="BP513" i="11"/>
  <c r="CJ513" i="11" s="1"/>
  <c r="CI512" i="11"/>
  <c r="CH512" i="11"/>
  <c r="CF512" i="11"/>
  <c r="CD512" i="11"/>
  <c r="CB512" i="11"/>
  <c r="BZ512" i="11"/>
  <c r="BX512" i="11"/>
  <c r="BV512" i="11"/>
  <c r="BT512" i="11"/>
  <c r="BR512" i="11"/>
  <c r="BP512" i="11"/>
  <c r="CJ512" i="11" s="1"/>
  <c r="CI511" i="11"/>
  <c r="CH511" i="11"/>
  <c r="CF511" i="11"/>
  <c r="CD511" i="11"/>
  <c r="CB511" i="11"/>
  <c r="BZ511" i="11"/>
  <c r="BX511" i="11"/>
  <c r="BV511" i="11"/>
  <c r="BT511" i="11"/>
  <c r="BR511" i="11"/>
  <c r="BP511" i="11"/>
  <c r="CJ511" i="11" s="1"/>
  <c r="CI510" i="11"/>
  <c r="CH510" i="11"/>
  <c r="CF510" i="11"/>
  <c r="CD510" i="11"/>
  <c r="CB510" i="11"/>
  <c r="BZ510" i="11"/>
  <c r="BX510" i="11"/>
  <c r="BV510" i="11"/>
  <c r="BT510" i="11"/>
  <c r="BR510" i="11"/>
  <c r="BP510" i="11"/>
  <c r="CJ510" i="11" s="1"/>
  <c r="CI509" i="11"/>
  <c r="CH509" i="11"/>
  <c r="CF509" i="11"/>
  <c r="CD509" i="11"/>
  <c r="CB509" i="11"/>
  <c r="BZ509" i="11"/>
  <c r="BX509" i="11"/>
  <c r="BV509" i="11"/>
  <c r="BT509" i="11"/>
  <c r="BR509" i="11"/>
  <c r="BP509" i="11"/>
  <c r="CJ509" i="11" s="1"/>
  <c r="CI508" i="11"/>
  <c r="CH508" i="11"/>
  <c r="CF508" i="11"/>
  <c r="CD508" i="11"/>
  <c r="CB508" i="11"/>
  <c r="BZ508" i="11"/>
  <c r="BX508" i="11"/>
  <c r="BV508" i="11"/>
  <c r="BT508" i="11"/>
  <c r="BR508" i="11"/>
  <c r="BP508" i="11"/>
  <c r="CJ508" i="11" s="1"/>
  <c r="CI507" i="11"/>
  <c r="CH507" i="11"/>
  <c r="CF507" i="11"/>
  <c r="CD507" i="11"/>
  <c r="CB507" i="11"/>
  <c r="BZ507" i="11"/>
  <c r="BX507" i="11"/>
  <c r="BV507" i="11"/>
  <c r="BT507" i="11"/>
  <c r="BR507" i="11"/>
  <c r="BP507" i="11"/>
  <c r="CJ507" i="11" s="1"/>
  <c r="CI506" i="11"/>
  <c r="CH506" i="11"/>
  <c r="CF506" i="11"/>
  <c r="CD506" i="11"/>
  <c r="CB506" i="11"/>
  <c r="BZ506" i="11"/>
  <c r="BX506" i="11"/>
  <c r="BV506" i="11"/>
  <c r="BT506" i="11"/>
  <c r="BR506" i="11"/>
  <c r="BP506" i="11"/>
  <c r="CJ506" i="11" s="1"/>
  <c r="CI505" i="11"/>
  <c r="CH505" i="11"/>
  <c r="CF505" i="11"/>
  <c r="CD505" i="11"/>
  <c r="CB505" i="11"/>
  <c r="BZ505" i="11"/>
  <c r="BX505" i="11"/>
  <c r="BV505" i="11"/>
  <c r="BT505" i="11"/>
  <c r="BR505" i="11"/>
  <c r="BP505" i="11"/>
  <c r="CJ505" i="11" s="1"/>
  <c r="CI504" i="11"/>
  <c r="CH504" i="11"/>
  <c r="CF504" i="11"/>
  <c r="CD504" i="11"/>
  <c r="CB504" i="11"/>
  <c r="BZ504" i="11"/>
  <c r="BX504" i="11"/>
  <c r="BV504" i="11"/>
  <c r="BT504" i="11"/>
  <c r="BR504" i="11"/>
  <c r="BP504" i="11"/>
  <c r="CJ504" i="11" s="1"/>
  <c r="CI503" i="11"/>
  <c r="CH503" i="11"/>
  <c r="CF503" i="11"/>
  <c r="CD503" i="11"/>
  <c r="CB503" i="11"/>
  <c r="BZ503" i="11"/>
  <c r="BX503" i="11"/>
  <c r="BV503" i="11"/>
  <c r="BT503" i="11"/>
  <c r="BR503" i="11"/>
  <c r="BP503" i="11"/>
  <c r="CJ503" i="11" s="1"/>
  <c r="CI502" i="11"/>
  <c r="CH502" i="11"/>
  <c r="CF502" i="11"/>
  <c r="CD502" i="11"/>
  <c r="CB502" i="11"/>
  <c r="BZ502" i="11"/>
  <c r="BX502" i="11"/>
  <c r="BV502" i="11"/>
  <c r="BT502" i="11"/>
  <c r="BR502" i="11"/>
  <c r="BP502" i="11"/>
  <c r="CJ502" i="11" s="1"/>
  <c r="CI501" i="11"/>
  <c r="CH501" i="11"/>
  <c r="CF501" i="11"/>
  <c r="CD501" i="11"/>
  <c r="CB501" i="11"/>
  <c r="BZ501" i="11"/>
  <c r="BX501" i="11"/>
  <c r="BV501" i="11"/>
  <c r="BT501" i="11"/>
  <c r="BR501" i="11"/>
  <c r="BP501" i="11"/>
  <c r="CJ501" i="11" s="1"/>
  <c r="CI500" i="11"/>
  <c r="CH500" i="11"/>
  <c r="CF500" i="11"/>
  <c r="CD500" i="11"/>
  <c r="CB500" i="11"/>
  <c r="BZ500" i="11"/>
  <c r="BX500" i="11"/>
  <c r="BV500" i="11"/>
  <c r="BT500" i="11"/>
  <c r="BR500" i="11"/>
  <c r="BP500" i="11"/>
  <c r="CJ500" i="11" s="1"/>
  <c r="CI499" i="11"/>
  <c r="CH499" i="11"/>
  <c r="CF499" i="11"/>
  <c r="CD499" i="11"/>
  <c r="CB499" i="11"/>
  <c r="BZ499" i="11"/>
  <c r="BX499" i="11"/>
  <c r="BV499" i="11"/>
  <c r="BT499" i="11"/>
  <c r="BR499" i="11"/>
  <c r="BP499" i="11"/>
  <c r="CJ499" i="11" s="1"/>
  <c r="CI498" i="11"/>
  <c r="CH498" i="11"/>
  <c r="CF498" i="11"/>
  <c r="CD498" i="11"/>
  <c r="CB498" i="11"/>
  <c r="BZ498" i="11"/>
  <c r="BX498" i="11"/>
  <c r="BV498" i="11"/>
  <c r="BT498" i="11"/>
  <c r="BR498" i="11"/>
  <c r="BP498" i="11"/>
  <c r="CJ498" i="11" s="1"/>
  <c r="CI497" i="11"/>
  <c r="CH497" i="11"/>
  <c r="CF497" i="11"/>
  <c r="CD497" i="11"/>
  <c r="CB497" i="11"/>
  <c r="BZ497" i="11"/>
  <c r="BX497" i="11"/>
  <c r="BV497" i="11"/>
  <c r="BT497" i="11"/>
  <c r="BR497" i="11"/>
  <c r="BP497" i="11"/>
  <c r="CJ497" i="11" s="1"/>
  <c r="CI496" i="11"/>
  <c r="CH496" i="11"/>
  <c r="CF496" i="11"/>
  <c r="CD496" i="11"/>
  <c r="CB496" i="11"/>
  <c r="BZ496" i="11"/>
  <c r="BX496" i="11"/>
  <c r="BV496" i="11"/>
  <c r="BT496" i="11"/>
  <c r="BR496" i="11"/>
  <c r="BP496" i="11"/>
  <c r="CJ496" i="11" s="1"/>
  <c r="CI495" i="11"/>
  <c r="CH495" i="11"/>
  <c r="CF495" i="11"/>
  <c r="CD495" i="11"/>
  <c r="CB495" i="11"/>
  <c r="BZ495" i="11"/>
  <c r="BX495" i="11"/>
  <c r="BV495" i="11"/>
  <c r="BT495" i="11"/>
  <c r="BR495" i="11"/>
  <c r="BP495" i="11"/>
  <c r="CJ495" i="11" s="1"/>
  <c r="CI494" i="11"/>
  <c r="CH494" i="11"/>
  <c r="CF494" i="11"/>
  <c r="CD494" i="11"/>
  <c r="CB494" i="11"/>
  <c r="BZ494" i="11"/>
  <c r="BX494" i="11"/>
  <c r="BV494" i="11"/>
  <c r="BT494" i="11"/>
  <c r="BR494" i="11"/>
  <c r="BP494" i="11"/>
  <c r="CJ494" i="11" s="1"/>
  <c r="CI493" i="11"/>
  <c r="CH493" i="11"/>
  <c r="CF493" i="11"/>
  <c r="CD493" i="11"/>
  <c r="CB493" i="11"/>
  <c r="BZ493" i="11"/>
  <c r="BX493" i="11"/>
  <c r="BV493" i="11"/>
  <c r="BT493" i="11"/>
  <c r="BR493" i="11"/>
  <c r="BP493" i="11"/>
  <c r="CJ493" i="11" s="1"/>
  <c r="CI492" i="11"/>
  <c r="CH492" i="11"/>
  <c r="CF492" i="11"/>
  <c r="CD492" i="11"/>
  <c r="CB492" i="11"/>
  <c r="BZ492" i="11"/>
  <c r="BX492" i="11"/>
  <c r="BV492" i="11"/>
  <c r="BT492" i="11"/>
  <c r="BR492" i="11"/>
  <c r="BP492" i="11"/>
  <c r="CJ492" i="11" s="1"/>
  <c r="CI491" i="11"/>
  <c r="CH491" i="11"/>
  <c r="CF491" i="11"/>
  <c r="CD491" i="11"/>
  <c r="CB491" i="11"/>
  <c r="BZ491" i="11"/>
  <c r="BX491" i="11"/>
  <c r="BV491" i="11"/>
  <c r="BT491" i="11"/>
  <c r="BR491" i="11"/>
  <c r="BP491" i="11"/>
  <c r="CJ491" i="11" s="1"/>
  <c r="CI490" i="11"/>
  <c r="CH490" i="11"/>
  <c r="CF490" i="11"/>
  <c r="CD490" i="11"/>
  <c r="CB490" i="11"/>
  <c r="BZ490" i="11"/>
  <c r="BX490" i="11"/>
  <c r="BV490" i="11"/>
  <c r="BT490" i="11"/>
  <c r="BR490" i="11"/>
  <c r="BP490" i="11"/>
  <c r="CJ490" i="11" s="1"/>
  <c r="CI489" i="11"/>
  <c r="CH489" i="11"/>
  <c r="CF489" i="11"/>
  <c r="CD489" i="11"/>
  <c r="CB489" i="11"/>
  <c r="BZ489" i="11"/>
  <c r="BX489" i="11"/>
  <c r="BV489" i="11"/>
  <c r="BT489" i="11"/>
  <c r="BR489" i="11"/>
  <c r="BP489" i="11"/>
  <c r="CJ489" i="11" s="1"/>
  <c r="CI488" i="11"/>
  <c r="CH488" i="11"/>
  <c r="CF488" i="11"/>
  <c r="CD488" i="11"/>
  <c r="CB488" i="11"/>
  <c r="BZ488" i="11"/>
  <c r="BX488" i="11"/>
  <c r="BV488" i="11"/>
  <c r="BT488" i="11"/>
  <c r="BR488" i="11"/>
  <c r="BP488" i="11"/>
  <c r="CJ488" i="11" s="1"/>
  <c r="CI487" i="11"/>
  <c r="CH487" i="11"/>
  <c r="CF487" i="11"/>
  <c r="CD487" i="11"/>
  <c r="CB487" i="11"/>
  <c r="BZ487" i="11"/>
  <c r="BX487" i="11"/>
  <c r="BV487" i="11"/>
  <c r="BT487" i="11"/>
  <c r="BR487" i="11"/>
  <c r="BP487" i="11"/>
  <c r="CJ487" i="11" s="1"/>
  <c r="CI486" i="11"/>
  <c r="CH486" i="11"/>
  <c r="CF486" i="11"/>
  <c r="CD486" i="11"/>
  <c r="CB486" i="11"/>
  <c r="BZ486" i="11"/>
  <c r="BX486" i="11"/>
  <c r="BV486" i="11"/>
  <c r="BT486" i="11"/>
  <c r="BR486" i="11"/>
  <c r="BP486" i="11"/>
  <c r="CJ486" i="11" s="1"/>
  <c r="CI485" i="11"/>
  <c r="CH485" i="11"/>
  <c r="CF485" i="11"/>
  <c r="CD485" i="11"/>
  <c r="CB485" i="11"/>
  <c r="BZ485" i="11"/>
  <c r="BX485" i="11"/>
  <c r="BV485" i="11"/>
  <c r="CJ485" i="11" s="1"/>
  <c r="BT485" i="11"/>
  <c r="BR485" i="11"/>
  <c r="BP485" i="11"/>
  <c r="CI484" i="11"/>
  <c r="CH484" i="11"/>
  <c r="CF484" i="11"/>
  <c r="CD484" i="11"/>
  <c r="CB484" i="11"/>
  <c r="BZ484" i="11"/>
  <c r="BX484" i="11"/>
  <c r="BV484" i="11"/>
  <c r="CJ484" i="11" s="1"/>
  <c r="BT484" i="11"/>
  <c r="BR484" i="11"/>
  <c r="BP484" i="11"/>
  <c r="CI483" i="11"/>
  <c r="CH483" i="11"/>
  <c r="CF483" i="11"/>
  <c r="CD483" i="11"/>
  <c r="CB483" i="11"/>
  <c r="BZ483" i="11"/>
  <c r="BX483" i="11"/>
  <c r="BV483" i="11"/>
  <c r="CJ483" i="11" s="1"/>
  <c r="BT483" i="11"/>
  <c r="BR483" i="11"/>
  <c r="BP483" i="11"/>
  <c r="CI482" i="11"/>
  <c r="CH482" i="11"/>
  <c r="CF482" i="11"/>
  <c r="CD482" i="11"/>
  <c r="CB482" i="11"/>
  <c r="BZ482" i="11"/>
  <c r="BX482" i="11"/>
  <c r="BV482" i="11"/>
  <c r="CJ482" i="11" s="1"/>
  <c r="BT482" i="11"/>
  <c r="BR482" i="11"/>
  <c r="BP482" i="11"/>
  <c r="CI481" i="11"/>
  <c r="CH481" i="11"/>
  <c r="CF481" i="11"/>
  <c r="CD481" i="11"/>
  <c r="CB481" i="11"/>
  <c r="BZ481" i="11"/>
  <c r="BX481" i="11"/>
  <c r="BV481" i="11"/>
  <c r="CJ481" i="11" s="1"/>
  <c r="BT481" i="11"/>
  <c r="BR481" i="11"/>
  <c r="BP481" i="11"/>
  <c r="CI480" i="11"/>
  <c r="CH480" i="11"/>
  <c r="CF480" i="11"/>
  <c r="CD480" i="11"/>
  <c r="CB480" i="11"/>
  <c r="BZ480" i="11"/>
  <c r="BX480" i="11"/>
  <c r="BV480" i="11"/>
  <c r="CJ480" i="11" s="1"/>
  <c r="BT480" i="11"/>
  <c r="BR480" i="11"/>
  <c r="BP480" i="11"/>
  <c r="CI479" i="11"/>
  <c r="CH479" i="11"/>
  <c r="CF479" i="11"/>
  <c r="CD479" i="11"/>
  <c r="CB479" i="11"/>
  <c r="BZ479" i="11"/>
  <c r="BX479" i="11"/>
  <c r="BV479" i="11"/>
  <c r="CJ479" i="11" s="1"/>
  <c r="BT479" i="11"/>
  <c r="BR479" i="11"/>
  <c r="BP479" i="11"/>
  <c r="CI478" i="11"/>
  <c r="CH478" i="11"/>
  <c r="CF478" i="11"/>
  <c r="CD478" i="11"/>
  <c r="CB478" i="11"/>
  <c r="BZ478" i="11"/>
  <c r="BX478" i="11"/>
  <c r="BV478" i="11"/>
  <c r="CJ478" i="11" s="1"/>
  <c r="BT478" i="11"/>
  <c r="BR478" i="11"/>
  <c r="BP478" i="11"/>
  <c r="CI477" i="11"/>
  <c r="CH477" i="11"/>
  <c r="CF477" i="11"/>
  <c r="CD477" i="11"/>
  <c r="CB477" i="11"/>
  <c r="BZ477" i="11"/>
  <c r="BX477" i="11"/>
  <c r="BV477" i="11"/>
  <c r="CJ477" i="11" s="1"/>
  <c r="BT477" i="11"/>
  <c r="BR477" i="11"/>
  <c r="BP477" i="11"/>
  <c r="CI476" i="11"/>
  <c r="CH476" i="11"/>
  <c r="CF476" i="11"/>
  <c r="CD476" i="11"/>
  <c r="CB476" i="11"/>
  <c r="BZ476" i="11"/>
  <c r="BX476" i="11"/>
  <c r="BV476" i="11"/>
  <c r="CJ476" i="11" s="1"/>
  <c r="BT476" i="11"/>
  <c r="BR476" i="11"/>
  <c r="BP476" i="11"/>
  <c r="CI475" i="11"/>
  <c r="CH475" i="11"/>
  <c r="CF475" i="11"/>
  <c r="CD475" i="11"/>
  <c r="CB475" i="11"/>
  <c r="BZ475" i="11"/>
  <c r="BX475" i="11"/>
  <c r="BV475" i="11"/>
  <c r="CJ475" i="11" s="1"/>
  <c r="BT475" i="11"/>
  <c r="BR475" i="11"/>
  <c r="BP475" i="11"/>
  <c r="CI474" i="11"/>
  <c r="CH474" i="11"/>
  <c r="CF474" i="11"/>
  <c r="CD474" i="11"/>
  <c r="CB474" i="11"/>
  <c r="BZ474" i="11"/>
  <c r="BX474" i="11"/>
  <c r="BV474" i="11"/>
  <c r="CJ474" i="11" s="1"/>
  <c r="BT474" i="11"/>
  <c r="BR474" i="11"/>
  <c r="BP474" i="11"/>
  <c r="CI473" i="11"/>
  <c r="CH473" i="11"/>
  <c r="CF473" i="11"/>
  <c r="CD473" i="11"/>
  <c r="CB473" i="11"/>
  <c r="BZ473" i="11"/>
  <c r="BX473" i="11"/>
  <c r="BV473" i="11"/>
  <c r="CJ473" i="11" s="1"/>
  <c r="BT473" i="11"/>
  <c r="BR473" i="11"/>
  <c r="BP473" i="11"/>
  <c r="CI472" i="11"/>
  <c r="CH472" i="11"/>
  <c r="CF472" i="11"/>
  <c r="CD472" i="11"/>
  <c r="CB472" i="11"/>
  <c r="BZ472" i="11"/>
  <c r="BX472" i="11"/>
  <c r="BV472" i="11"/>
  <c r="CJ472" i="11" s="1"/>
  <c r="BT472" i="11"/>
  <c r="BR472" i="11"/>
  <c r="BP472" i="11"/>
  <c r="CI471" i="11"/>
  <c r="CH471" i="11"/>
  <c r="CF471" i="11"/>
  <c r="CD471" i="11"/>
  <c r="CB471" i="11"/>
  <c r="BZ471" i="11"/>
  <c r="BX471" i="11"/>
  <c r="BV471" i="11"/>
  <c r="CJ471" i="11" s="1"/>
  <c r="BT471" i="11"/>
  <c r="BR471" i="11"/>
  <c r="BP471" i="11"/>
  <c r="CI470" i="11"/>
  <c r="CH470" i="11"/>
  <c r="CF470" i="11"/>
  <c r="CD470" i="11"/>
  <c r="CB470" i="11"/>
  <c r="BZ470" i="11"/>
  <c r="BX470" i="11"/>
  <c r="BV470" i="11"/>
  <c r="CJ470" i="11" s="1"/>
  <c r="BT470" i="11"/>
  <c r="BR470" i="11"/>
  <c r="BP470" i="11"/>
  <c r="CI469" i="11"/>
  <c r="CH469" i="11"/>
  <c r="CF469" i="11"/>
  <c r="CD469" i="11"/>
  <c r="CB469" i="11"/>
  <c r="BZ469" i="11"/>
  <c r="BX469" i="11"/>
  <c r="BV469" i="11"/>
  <c r="CJ469" i="11" s="1"/>
  <c r="BT469" i="11"/>
  <c r="BR469" i="11"/>
  <c r="BP469" i="11"/>
  <c r="CI468" i="11"/>
  <c r="CH468" i="11"/>
  <c r="CF468" i="11"/>
  <c r="CD468" i="11"/>
  <c r="CB468" i="11"/>
  <c r="BZ468" i="11"/>
  <c r="BX468" i="11"/>
  <c r="BV468" i="11"/>
  <c r="CJ468" i="11" s="1"/>
  <c r="BT468" i="11"/>
  <c r="BR468" i="11"/>
  <c r="BP468" i="11"/>
  <c r="CI467" i="11"/>
  <c r="CH467" i="11"/>
  <c r="CF467" i="11"/>
  <c r="CD467" i="11"/>
  <c r="CB467" i="11"/>
  <c r="BZ467" i="11"/>
  <c r="BX467" i="11"/>
  <c r="BV467" i="11"/>
  <c r="CJ467" i="11" s="1"/>
  <c r="BT467" i="11"/>
  <c r="BR467" i="11"/>
  <c r="BP467" i="11"/>
  <c r="CI466" i="11"/>
  <c r="CH466" i="11"/>
  <c r="CF466" i="11"/>
  <c r="CD466" i="11"/>
  <c r="CB466" i="11"/>
  <c r="BZ466" i="11"/>
  <c r="BX466" i="11"/>
  <c r="BV466" i="11"/>
  <c r="CJ466" i="11" s="1"/>
  <c r="BT466" i="11"/>
  <c r="BR466" i="11"/>
  <c r="BP466" i="11"/>
  <c r="CI465" i="11"/>
  <c r="CH465" i="11"/>
  <c r="CF465" i="11"/>
  <c r="CD465" i="11"/>
  <c r="CB465" i="11"/>
  <c r="BZ465" i="11"/>
  <c r="BX465" i="11"/>
  <c r="BV465" i="11"/>
  <c r="CJ465" i="11" s="1"/>
  <c r="BT465" i="11"/>
  <c r="BR465" i="11"/>
  <c r="BP465" i="11"/>
  <c r="CI464" i="11"/>
  <c r="CH464" i="11"/>
  <c r="CF464" i="11"/>
  <c r="CD464" i="11"/>
  <c r="CB464" i="11"/>
  <c r="BZ464" i="11"/>
  <c r="BX464" i="11"/>
  <c r="BV464" i="11"/>
  <c r="CJ464" i="11" s="1"/>
  <c r="BT464" i="11"/>
  <c r="BR464" i="11"/>
  <c r="BP464" i="11"/>
  <c r="CI463" i="11"/>
  <c r="CH463" i="11"/>
  <c r="CF463" i="11"/>
  <c r="CD463" i="11"/>
  <c r="CB463" i="11"/>
  <c r="BZ463" i="11"/>
  <c r="BX463" i="11"/>
  <c r="BV463" i="11"/>
  <c r="CJ463" i="11" s="1"/>
  <c r="BT463" i="11"/>
  <c r="BR463" i="11"/>
  <c r="BP463" i="11"/>
  <c r="CI462" i="11"/>
  <c r="CH462" i="11"/>
  <c r="CF462" i="11"/>
  <c r="CD462" i="11"/>
  <c r="CB462" i="11"/>
  <c r="BZ462" i="11"/>
  <c r="BX462" i="11"/>
  <c r="BV462" i="11"/>
  <c r="CJ462" i="11" s="1"/>
  <c r="BT462" i="11"/>
  <c r="BR462" i="11"/>
  <c r="BP462" i="11"/>
  <c r="CI461" i="11"/>
  <c r="CH461" i="11"/>
  <c r="CF461" i="11"/>
  <c r="CD461" i="11"/>
  <c r="CB461" i="11"/>
  <c r="BZ461" i="11"/>
  <c r="BX461" i="11"/>
  <c r="BV461" i="11"/>
  <c r="CJ461" i="11" s="1"/>
  <c r="BT461" i="11"/>
  <c r="BR461" i="11"/>
  <c r="BP461" i="11"/>
  <c r="CI460" i="11"/>
  <c r="CH460" i="11"/>
  <c r="CF460" i="11"/>
  <c r="CD460" i="11"/>
  <c r="CB460" i="11"/>
  <c r="BZ460" i="11"/>
  <c r="BX460" i="11"/>
  <c r="BV460" i="11"/>
  <c r="CJ460" i="11" s="1"/>
  <c r="BT460" i="11"/>
  <c r="BR460" i="11"/>
  <c r="BP460" i="11"/>
  <c r="CI459" i="11"/>
  <c r="CH459" i="11"/>
  <c r="CF459" i="11"/>
  <c r="CD459" i="11"/>
  <c r="CB459" i="11"/>
  <c r="BZ459" i="11"/>
  <c r="BX459" i="11"/>
  <c r="BV459" i="11"/>
  <c r="CJ459" i="11" s="1"/>
  <c r="BT459" i="11"/>
  <c r="BR459" i="11"/>
  <c r="BP459" i="11"/>
  <c r="CI458" i="11"/>
  <c r="CH458" i="11"/>
  <c r="CF458" i="11"/>
  <c r="CD458" i="11"/>
  <c r="CB458" i="11"/>
  <c r="BZ458" i="11"/>
  <c r="BX458" i="11"/>
  <c r="BV458" i="11"/>
  <c r="CJ458" i="11" s="1"/>
  <c r="BT458" i="11"/>
  <c r="BR458" i="11"/>
  <c r="BP458" i="11"/>
  <c r="CI457" i="11"/>
  <c r="CH457" i="11"/>
  <c r="CF457" i="11"/>
  <c r="CD457" i="11"/>
  <c r="CB457" i="11"/>
  <c r="BZ457" i="11"/>
  <c r="BX457" i="11"/>
  <c r="BV457" i="11"/>
  <c r="CJ457" i="11" s="1"/>
  <c r="BT457" i="11"/>
  <c r="BR457" i="11"/>
  <c r="BP457" i="11"/>
  <c r="CI456" i="11"/>
  <c r="CH456" i="11"/>
  <c r="CF456" i="11"/>
  <c r="CD456" i="11"/>
  <c r="CB456" i="11"/>
  <c r="BZ456" i="11"/>
  <c r="BX456" i="11"/>
  <c r="BV456" i="11"/>
  <c r="CJ456" i="11" s="1"/>
  <c r="BT456" i="11"/>
  <c r="BR456" i="11"/>
  <c r="BP456" i="11"/>
  <c r="CI455" i="11"/>
  <c r="CH455" i="11"/>
  <c r="CF455" i="11"/>
  <c r="CD455" i="11"/>
  <c r="CB455" i="11"/>
  <c r="BZ455" i="11"/>
  <c r="BX455" i="11"/>
  <c r="BV455" i="11"/>
  <c r="CJ455" i="11" s="1"/>
  <c r="BT455" i="11"/>
  <c r="BR455" i="11"/>
  <c r="BP455" i="11"/>
  <c r="CI454" i="11"/>
  <c r="CH454" i="11"/>
  <c r="CF454" i="11"/>
  <c r="CD454" i="11"/>
  <c r="CB454" i="11"/>
  <c r="BZ454" i="11"/>
  <c r="BX454" i="11"/>
  <c r="BV454" i="11"/>
  <c r="CJ454" i="11" s="1"/>
  <c r="BT454" i="11"/>
  <c r="BR454" i="11"/>
  <c r="BP454" i="11"/>
  <c r="CI453" i="11"/>
  <c r="CH453" i="11"/>
  <c r="CF453" i="11"/>
  <c r="CD453" i="11"/>
  <c r="CB453" i="11"/>
  <c r="BZ453" i="11"/>
  <c r="BX453" i="11"/>
  <c r="BV453" i="11"/>
  <c r="CJ453" i="11" s="1"/>
  <c r="BT453" i="11"/>
  <c r="BR453" i="11"/>
  <c r="BP453" i="11"/>
  <c r="CI452" i="11"/>
  <c r="CH452" i="11"/>
  <c r="CF452" i="11"/>
  <c r="CD452" i="11"/>
  <c r="CB452" i="11"/>
  <c r="BZ452" i="11"/>
  <c r="BX452" i="11"/>
  <c r="BV452" i="11"/>
  <c r="CJ452" i="11" s="1"/>
  <c r="BT452" i="11"/>
  <c r="BR452" i="11"/>
  <c r="BP452" i="11"/>
  <c r="CI451" i="11"/>
  <c r="CH451" i="11"/>
  <c r="CF451" i="11"/>
  <c r="CD451" i="11"/>
  <c r="CB451" i="11"/>
  <c r="BZ451" i="11"/>
  <c r="BX451" i="11"/>
  <c r="BV451" i="11"/>
  <c r="CJ451" i="11" s="1"/>
  <c r="BT451" i="11"/>
  <c r="BR451" i="11"/>
  <c r="BP451" i="11"/>
  <c r="CI450" i="11"/>
  <c r="CH450" i="11"/>
  <c r="CF450" i="11"/>
  <c r="CD450" i="11"/>
  <c r="CB450" i="11"/>
  <c r="BZ450" i="11"/>
  <c r="BX450" i="11"/>
  <c r="BV450" i="11"/>
  <c r="CJ450" i="11" s="1"/>
  <c r="BT450" i="11"/>
  <c r="BR450" i="11"/>
  <c r="BP450" i="11"/>
  <c r="CI449" i="11"/>
  <c r="CH449" i="11"/>
  <c r="CF449" i="11"/>
  <c r="CD449" i="11"/>
  <c r="CB449" i="11"/>
  <c r="BZ449" i="11"/>
  <c r="BX449" i="11"/>
  <c r="BV449" i="11"/>
  <c r="CJ449" i="11" s="1"/>
  <c r="BT449" i="11"/>
  <c r="BR449" i="11"/>
  <c r="BP449" i="11"/>
  <c r="CI448" i="11"/>
  <c r="CH448" i="11"/>
  <c r="CF448" i="11"/>
  <c r="CD448" i="11"/>
  <c r="CB448" i="11"/>
  <c r="BZ448" i="11"/>
  <c r="BX448" i="11"/>
  <c r="BV448" i="11"/>
  <c r="CJ448" i="11" s="1"/>
  <c r="BT448" i="11"/>
  <c r="BR448" i="11"/>
  <c r="BP448" i="11"/>
  <c r="CI447" i="11"/>
  <c r="CH447" i="11"/>
  <c r="CF447" i="11"/>
  <c r="CD447" i="11"/>
  <c r="CB447" i="11"/>
  <c r="BZ447" i="11"/>
  <c r="BX447" i="11"/>
  <c r="BV447" i="11"/>
  <c r="CJ447" i="11" s="1"/>
  <c r="BT447" i="11"/>
  <c r="BR447" i="11"/>
  <c r="BP447" i="11"/>
  <c r="CI446" i="11"/>
  <c r="CH446" i="11"/>
  <c r="CF446" i="11"/>
  <c r="CD446" i="11"/>
  <c r="CB446" i="11"/>
  <c r="BZ446" i="11"/>
  <c r="BX446" i="11"/>
  <c r="BV446" i="11"/>
  <c r="CJ446" i="11" s="1"/>
  <c r="BT446" i="11"/>
  <c r="BR446" i="11"/>
  <c r="BP446" i="11"/>
  <c r="CI445" i="11"/>
  <c r="CH445" i="11"/>
  <c r="CF445" i="11"/>
  <c r="CD445" i="11"/>
  <c r="CB445" i="11"/>
  <c r="BZ445" i="11"/>
  <c r="BX445" i="11"/>
  <c r="BV445" i="11"/>
  <c r="CJ445" i="11" s="1"/>
  <c r="BT445" i="11"/>
  <c r="BR445" i="11"/>
  <c r="BP445" i="11"/>
  <c r="CI444" i="11"/>
  <c r="CH444" i="11"/>
  <c r="CF444" i="11"/>
  <c r="CD444" i="11"/>
  <c r="CB444" i="11"/>
  <c r="BZ444" i="11"/>
  <c r="BX444" i="11"/>
  <c r="BV444" i="11"/>
  <c r="CJ444" i="11" s="1"/>
  <c r="BT444" i="11"/>
  <c r="BR444" i="11"/>
  <c r="BP444" i="11"/>
  <c r="CI443" i="11"/>
  <c r="CH443" i="11"/>
  <c r="CF443" i="11"/>
  <c r="CD443" i="11"/>
  <c r="CB443" i="11"/>
  <c r="BZ443" i="11"/>
  <c r="BX443" i="11"/>
  <c r="BV443" i="11"/>
  <c r="CJ443" i="11" s="1"/>
  <c r="BT443" i="11"/>
  <c r="BR443" i="11"/>
  <c r="BP443" i="11"/>
  <c r="CI442" i="11"/>
  <c r="CH442" i="11"/>
  <c r="CF442" i="11"/>
  <c r="CD442" i="11"/>
  <c r="CB442" i="11"/>
  <c r="BZ442" i="11"/>
  <c r="BX442" i="11"/>
  <c r="BV442" i="11"/>
  <c r="CJ442" i="11" s="1"/>
  <c r="BT442" i="11"/>
  <c r="BR442" i="11"/>
  <c r="BP442" i="11"/>
  <c r="CI441" i="11"/>
  <c r="CH441" i="11"/>
  <c r="CF441" i="11"/>
  <c r="CD441" i="11"/>
  <c r="CB441" i="11"/>
  <c r="BZ441" i="11"/>
  <c r="BX441" i="11"/>
  <c r="BV441" i="11"/>
  <c r="CJ441" i="11" s="1"/>
  <c r="BT441" i="11"/>
  <c r="BR441" i="11"/>
  <c r="BP441" i="11"/>
  <c r="CI440" i="11"/>
  <c r="CH440" i="11"/>
  <c r="CF440" i="11"/>
  <c r="CD440" i="11"/>
  <c r="CB440" i="11"/>
  <c r="BZ440" i="11"/>
  <c r="BX440" i="11"/>
  <c r="BV440" i="11"/>
  <c r="CJ440" i="11" s="1"/>
  <c r="BT440" i="11"/>
  <c r="BR440" i="11"/>
  <c r="BP440" i="11"/>
  <c r="CI439" i="11"/>
  <c r="CH439" i="11"/>
  <c r="CF439" i="11"/>
  <c r="CD439" i="11"/>
  <c r="CB439" i="11"/>
  <c r="BZ439" i="11"/>
  <c r="BX439" i="11"/>
  <c r="BV439" i="11"/>
  <c r="CJ439" i="11" s="1"/>
  <c r="BT439" i="11"/>
  <c r="BR439" i="11"/>
  <c r="BP439" i="11"/>
  <c r="CI438" i="11"/>
  <c r="CH438" i="11"/>
  <c r="CF438" i="11"/>
  <c r="CD438" i="11"/>
  <c r="CB438" i="11"/>
  <c r="BZ438" i="11"/>
  <c r="BX438" i="11"/>
  <c r="BV438" i="11"/>
  <c r="CJ438" i="11" s="1"/>
  <c r="BT438" i="11"/>
  <c r="BR438" i="11"/>
  <c r="BP438" i="11"/>
  <c r="CI437" i="11"/>
  <c r="CH437" i="11"/>
  <c r="CF437" i="11"/>
  <c r="CD437" i="11"/>
  <c r="CB437" i="11"/>
  <c r="BZ437" i="11"/>
  <c r="BX437" i="11"/>
  <c r="BV437" i="11"/>
  <c r="CJ437" i="11" s="1"/>
  <c r="BT437" i="11"/>
  <c r="BR437" i="11"/>
  <c r="BP437" i="11"/>
  <c r="CI436" i="11"/>
  <c r="CH436" i="11"/>
  <c r="CF436" i="11"/>
  <c r="CD436" i="11"/>
  <c r="CB436" i="11"/>
  <c r="BZ436" i="11"/>
  <c r="BX436" i="11"/>
  <c r="BV436" i="11"/>
  <c r="CJ436" i="11" s="1"/>
  <c r="BT436" i="11"/>
  <c r="BR436" i="11"/>
  <c r="BP436" i="11"/>
  <c r="CI435" i="11"/>
  <c r="CH435" i="11"/>
  <c r="CF435" i="11"/>
  <c r="CD435" i="11"/>
  <c r="CB435" i="11"/>
  <c r="BZ435" i="11"/>
  <c r="BX435" i="11"/>
  <c r="BV435" i="11"/>
  <c r="CJ435" i="11" s="1"/>
  <c r="BT435" i="11"/>
  <c r="BR435" i="11"/>
  <c r="BP435" i="11"/>
  <c r="CI434" i="11"/>
  <c r="CH434" i="11"/>
  <c r="CF434" i="11"/>
  <c r="CD434" i="11"/>
  <c r="CB434" i="11"/>
  <c r="BZ434" i="11"/>
  <c r="BX434" i="11"/>
  <c r="BV434" i="11"/>
  <c r="CJ434" i="11" s="1"/>
  <c r="BT434" i="11"/>
  <c r="BR434" i="11"/>
  <c r="BP434" i="11"/>
  <c r="CI433" i="11"/>
  <c r="CH433" i="11"/>
  <c r="CF433" i="11"/>
  <c r="CD433" i="11"/>
  <c r="CB433" i="11"/>
  <c r="BZ433" i="11"/>
  <c r="BX433" i="11"/>
  <c r="BV433" i="11"/>
  <c r="CJ433" i="11" s="1"/>
  <c r="BT433" i="11"/>
  <c r="BR433" i="11"/>
  <c r="BP433" i="11"/>
  <c r="CI432" i="11"/>
  <c r="CH432" i="11"/>
  <c r="CF432" i="11"/>
  <c r="CD432" i="11"/>
  <c r="CB432" i="11"/>
  <c r="BZ432" i="11"/>
  <c r="BX432" i="11"/>
  <c r="BV432" i="11"/>
  <c r="CJ432" i="11" s="1"/>
  <c r="BT432" i="11"/>
  <c r="BR432" i="11"/>
  <c r="BP432" i="11"/>
  <c r="CI431" i="11"/>
  <c r="CH431" i="11"/>
  <c r="CF431" i="11"/>
  <c r="CD431" i="11"/>
  <c r="CB431" i="11"/>
  <c r="BZ431" i="11"/>
  <c r="BX431" i="11"/>
  <c r="BV431" i="11"/>
  <c r="CJ431" i="11" s="1"/>
  <c r="BT431" i="11"/>
  <c r="BR431" i="11"/>
  <c r="BP431" i="11"/>
  <c r="CI430" i="11"/>
  <c r="CH430" i="11"/>
  <c r="CF430" i="11"/>
  <c r="CD430" i="11"/>
  <c r="CB430" i="11"/>
  <c r="BZ430" i="11"/>
  <c r="BX430" i="11"/>
  <c r="BV430" i="11"/>
  <c r="CJ430" i="11" s="1"/>
  <c r="BT430" i="11"/>
  <c r="BR430" i="11"/>
  <c r="BP430" i="11"/>
  <c r="CI429" i="11"/>
  <c r="CH429" i="11"/>
  <c r="CF429" i="11"/>
  <c r="CD429" i="11"/>
  <c r="CB429" i="11"/>
  <c r="BZ429" i="11"/>
  <c r="BX429" i="11"/>
  <c r="BV429" i="11"/>
  <c r="CJ429" i="11" s="1"/>
  <c r="BT429" i="11"/>
  <c r="BR429" i="11"/>
  <c r="BP429" i="11"/>
  <c r="CI428" i="11"/>
  <c r="CH428" i="11"/>
  <c r="CF428" i="11"/>
  <c r="CD428" i="11"/>
  <c r="CB428" i="11"/>
  <c r="BZ428" i="11"/>
  <c r="BX428" i="11"/>
  <c r="BV428" i="11"/>
  <c r="CJ428" i="11" s="1"/>
  <c r="BT428" i="11"/>
  <c r="BR428" i="11"/>
  <c r="BP428" i="11"/>
  <c r="CI427" i="11"/>
  <c r="CH427" i="11"/>
  <c r="CF427" i="11"/>
  <c r="CD427" i="11"/>
  <c r="CB427" i="11"/>
  <c r="BZ427" i="11"/>
  <c r="BX427" i="11"/>
  <c r="BV427" i="11"/>
  <c r="CJ427" i="11" s="1"/>
  <c r="BT427" i="11"/>
  <c r="BR427" i="11"/>
  <c r="BP427" i="11"/>
  <c r="CI426" i="11"/>
  <c r="CH426" i="11"/>
  <c r="CF426" i="11"/>
  <c r="CD426" i="11"/>
  <c r="CB426" i="11"/>
  <c r="BZ426" i="11"/>
  <c r="BX426" i="11"/>
  <c r="BV426" i="11"/>
  <c r="CJ426" i="11" s="1"/>
  <c r="BT426" i="11"/>
  <c r="BR426" i="11"/>
  <c r="BP426" i="11"/>
  <c r="CI425" i="11"/>
  <c r="CH425" i="11"/>
  <c r="CF425" i="11"/>
  <c r="CD425" i="11"/>
  <c r="CB425" i="11"/>
  <c r="BZ425" i="11"/>
  <c r="BX425" i="11"/>
  <c r="BV425" i="11"/>
  <c r="CJ425" i="11" s="1"/>
  <c r="BT425" i="11"/>
  <c r="BR425" i="11"/>
  <c r="BP425" i="11"/>
  <c r="CI424" i="11"/>
  <c r="CH424" i="11"/>
  <c r="CF424" i="11"/>
  <c r="CD424" i="11"/>
  <c r="CB424" i="11"/>
  <c r="BZ424" i="11"/>
  <c r="BX424" i="11"/>
  <c r="BV424" i="11"/>
  <c r="CJ424" i="11" s="1"/>
  <c r="BT424" i="11"/>
  <c r="BR424" i="11"/>
  <c r="BP424" i="11"/>
  <c r="CI423" i="11"/>
  <c r="CH423" i="11"/>
  <c r="CF423" i="11"/>
  <c r="CD423" i="11"/>
  <c r="CB423" i="11"/>
  <c r="BZ423" i="11"/>
  <c r="BX423" i="11"/>
  <c r="BV423" i="11"/>
  <c r="CJ423" i="11" s="1"/>
  <c r="BT423" i="11"/>
  <c r="BR423" i="11"/>
  <c r="BP423" i="11"/>
  <c r="CI422" i="11"/>
  <c r="CH422" i="11"/>
  <c r="CF422" i="11"/>
  <c r="CD422" i="11"/>
  <c r="CB422" i="11"/>
  <c r="BZ422" i="11"/>
  <c r="BX422" i="11"/>
  <c r="BV422" i="11"/>
  <c r="CJ422" i="11" s="1"/>
  <c r="BT422" i="11"/>
  <c r="BR422" i="11"/>
  <c r="BP422" i="11"/>
  <c r="CI421" i="11"/>
  <c r="CH421" i="11"/>
  <c r="CF421" i="11"/>
  <c r="CD421" i="11"/>
  <c r="CB421" i="11"/>
  <c r="BZ421" i="11"/>
  <c r="BX421" i="11"/>
  <c r="BV421" i="11"/>
  <c r="CJ421" i="11" s="1"/>
  <c r="BT421" i="11"/>
  <c r="BR421" i="11"/>
  <c r="BP421" i="11"/>
  <c r="CI420" i="11"/>
  <c r="CH420" i="11"/>
  <c r="CF420" i="11"/>
  <c r="CD420" i="11"/>
  <c r="CB420" i="11"/>
  <c r="BZ420" i="11"/>
  <c r="BX420" i="11"/>
  <c r="BV420" i="11"/>
  <c r="CJ420" i="11" s="1"/>
  <c r="BT420" i="11"/>
  <c r="BR420" i="11"/>
  <c r="BP420" i="11"/>
  <c r="CI419" i="11"/>
  <c r="CH419" i="11"/>
  <c r="CF419" i="11"/>
  <c r="CD419" i="11"/>
  <c r="CB419" i="11"/>
  <c r="BZ419" i="11"/>
  <c r="BX419" i="11"/>
  <c r="BV419" i="11"/>
  <c r="CJ419" i="11" s="1"/>
  <c r="BT419" i="11"/>
  <c r="BR419" i="11"/>
  <c r="BP419" i="11"/>
  <c r="CI418" i="11"/>
  <c r="CH418" i="11"/>
  <c r="CF418" i="11"/>
  <c r="CD418" i="11"/>
  <c r="CB418" i="11"/>
  <c r="BZ418" i="11"/>
  <c r="BX418" i="11"/>
  <c r="BV418" i="11"/>
  <c r="CJ418" i="11" s="1"/>
  <c r="BT418" i="11"/>
  <c r="BR418" i="11"/>
  <c r="BP418" i="11"/>
  <c r="CI417" i="11"/>
  <c r="CH417" i="11"/>
  <c r="CF417" i="11"/>
  <c r="CD417" i="11"/>
  <c r="CB417" i="11"/>
  <c r="BZ417" i="11"/>
  <c r="BX417" i="11"/>
  <c r="BV417" i="11"/>
  <c r="CJ417" i="11" s="1"/>
  <c r="BT417" i="11"/>
  <c r="BR417" i="11"/>
  <c r="BP417" i="11"/>
  <c r="CI416" i="11"/>
  <c r="CH416" i="11"/>
  <c r="CF416" i="11"/>
  <c r="CD416" i="11"/>
  <c r="CB416" i="11"/>
  <c r="BZ416" i="11"/>
  <c r="BX416" i="11"/>
  <c r="BV416" i="11"/>
  <c r="CJ416" i="11" s="1"/>
  <c r="BT416" i="11"/>
  <c r="BR416" i="11"/>
  <c r="BP416" i="11"/>
  <c r="CI415" i="11"/>
  <c r="CH415" i="11"/>
  <c r="CF415" i="11"/>
  <c r="CD415" i="11"/>
  <c r="CB415" i="11"/>
  <c r="BZ415" i="11"/>
  <c r="BX415" i="11"/>
  <c r="BV415" i="11"/>
  <c r="CJ415" i="11" s="1"/>
  <c r="BT415" i="11"/>
  <c r="BR415" i="11"/>
  <c r="BP415" i="11"/>
  <c r="CI414" i="11"/>
  <c r="CH414" i="11"/>
  <c r="CF414" i="11"/>
  <c r="CD414" i="11"/>
  <c r="CB414" i="11"/>
  <c r="BZ414" i="11"/>
  <c r="BX414" i="11"/>
  <c r="BV414" i="11"/>
  <c r="CJ414" i="11" s="1"/>
  <c r="BT414" i="11"/>
  <c r="BR414" i="11"/>
  <c r="BP414" i="11"/>
  <c r="CI413" i="11"/>
  <c r="CH413" i="11"/>
  <c r="CF413" i="11"/>
  <c r="CD413" i="11"/>
  <c r="CB413" i="11"/>
  <c r="BZ413" i="11"/>
  <c r="BX413" i="11"/>
  <c r="BV413" i="11"/>
  <c r="CJ413" i="11" s="1"/>
  <c r="BT413" i="11"/>
  <c r="BR413" i="11"/>
  <c r="BP413" i="11"/>
  <c r="T413" i="11"/>
  <c r="CI412" i="11"/>
  <c r="CH412" i="11"/>
  <c r="CF412" i="11"/>
  <c r="CD412" i="11"/>
  <c r="CB412" i="11"/>
  <c r="BZ412" i="11"/>
  <c r="BX412" i="11"/>
  <c r="BV412" i="11"/>
  <c r="BT412" i="11"/>
  <c r="BR412" i="11"/>
  <c r="BP412" i="11"/>
  <c r="CJ412" i="11" s="1"/>
  <c r="T412" i="11"/>
  <c r="CI411" i="11"/>
  <c r="CH411" i="11"/>
  <c r="CF411" i="11"/>
  <c r="CD411" i="11"/>
  <c r="CB411" i="11"/>
  <c r="BZ411" i="11"/>
  <c r="BX411" i="11"/>
  <c r="BV411" i="11"/>
  <c r="BT411" i="11"/>
  <c r="BR411" i="11"/>
  <c r="BP411" i="11"/>
  <c r="CJ411" i="11" s="1"/>
  <c r="T411" i="11"/>
  <c r="CI410" i="11"/>
  <c r="CH410" i="11"/>
  <c r="CF410" i="11"/>
  <c r="CD410" i="11"/>
  <c r="CB410" i="11"/>
  <c r="BZ410" i="11"/>
  <c r="BX410" i="11"/>
  <c r="BV410" i="11"/>
  <c r="BT410" i="11"/>
  <c r="CJ410" i="11" s="1"/>
  <c r="BR410" i="11"/>
  <c r="BP410" i="11"/>
  <c r="T410" i="11"/>
  <c r="CI409" i="11"/>
  <c r="CH409" i="11"/>
  <c r="CF409" i="11"/>
  <c r="CD409" i="11"/>
  <c r="CB409" i="11"/>
  <c r="BZ409" i="11"/>
  <c r="BX409" i="11"/>
  <c r="BV409" i="11"/>
  <c r="BT409" i="11"/>
  <c r="BR409" i="11"/>
  <c r="BP409" i="11"/>
  <c r="CJ409" i="11" s="1"/>
  <c r="T409" i="11"/>
  <c r="CI408" i="11"/>
  <c r="CH408" i="11"/>
  <c r="CF408" i="11"/>
  <c r="CD408" i="11"/>
  <c r="CB408" i="11"/>
  <c r="BZ408" i="11"/>
  <c r="BX408" i="11"/>
  <c r="BV408" i="11"/>
  <c r="BT408" i="11"/>
  <c r="BR408" i="11"/>
  <c r="BP408" i="11"/>
  <c r="T408" i="11"/>
  <c r="CI407" i="11"/>
  <c r="CH407" i="11"/>
  <c r="CF407" i="11"/>
  <c r="CD407" i="11"/>
  <c r="CB407" i="11"/>
  <c r="BZ407" i="11"/>
  <c r="BX407" i="11"/>
  <c r="BV407" i="11"/>
  <c r="BT407" i="11"/>
  <c r="BR407" i="11"/>
  <c r="BP407" i="11"/>
  <c r="T407" i="11"/>
  <c r="CI406" i="11"/>
  <c r="CH406" i="11"/>
  <c r="CF406" i="11"/>
  <c r="CD406" i="11"/>
  <c r="CB406" i="11"/>
  <c r="BZ406" i="11"/>
  <c r="BX406" i="11"/>
  <c r="BV406" i="11"/>
  <c r="BT406" i="11"/>
  <c r="CJ406" i="11" s="1"/>
  <c r="BR406" i="11"/>
  <c r="BP406" i="11"/>
  <c r="T406" i="11"/>
  <c r="CI405" i="11"/>
  <c r="CH405" i="11"/>
  <c r="CF405" i="11"/>
  <c r="CD405" i="11"/>
  <c r="CB405" i="11"/>
  <c r="BZ405" i="11"/>
  <c r="BX405" i="11"/>
  <c r="BV405" i="11"/>
  <c r="CJ405" i="11" s="1"/>
  <c r="BT405" i="11"/>
  <c r="BR405" i="11"/>
  <c r="BP405" i="11"/>
  <c r="T405" i="11"/>
  <c r="CI404" i="11"/>
  <c r="CH404" i="11"/>
  <c r="CF404" i="11"/>
  <c r="CD404" i="11"/>
  <c r="CB404" i="11"/>
  <c r="BZ404" i="11"/>
  <c r="BX404" i="11"/>
  <c r="BV404" i="11"/>
  <c r="BT404" i="11"/>
  <c r="BR404" i="11"/>
  <c r="BP404" i="11"/>
  <c r="CJ404" i="11" s="1"/>
  <c r="T404" i="11"/>
  <c r="CI403" i="11"/>
  <c r="CH403" i="11"/>
  <c r="CF403" i="11"/>
  <c r="CD403" i="11"/>
  <c r="CB403" i="11"/>
  <c r="BZ403" i="11"/>
  <c r="BX403" i="11"/>
  <c r="BV403" i="11"/>
  <c r="BT403" i="11"/>
  <c r="BR403" i="11"/>
  <c r="BP403" i="11"/>
  <c r="CJ403" i="11" s="1"/>
  <c r="T403" i="11"/>
  <c r="CI402" i="11"/>
  <c r="CH402" i="11"/>
  <c r="CF402" i="11"/>
  <c r="CD402" i="11"/>
  <c r="CB402" i="11"/>
  <c r="BZ402" i="11"/>
  <c r="BX402" i="11"/>
  <c r="BV402" i="11"/>
  <c r="BT402" i="11"/>
  <c r="CJ402" i="11" s="1"/>
  <c r="BR402" i="11"/>
  <c r="BP402" i="11"/>
  <c r="T402" i="11"/>
  <c r="CI401" i="11"/>
  <c r="CH401" i="11"/>
  <c r="CF401" i="11"/>
  <c r="CD401" i="11"/>
  <c r="CB401" i="11"/>
  <c r="BZ401" i="11"/>
  <c r="BX401" i="11"/>
  <c r="BV401" i="11"/>
  <c r="CJ401" i="11" s="1"/>
  <c r="BT401" i="11"/>
  <c r="BR401" i="11"/>
  <c r="BP401" i="11"/>
  <c r="T401" i="11"/>
  <c r="CI400" i="11"/>
  <c r="CH400" i="11"/>
  <c r="CF400" i="11"/>
  <c r="CD400" i="11"/>
  <c r="CB400" i="11"/>
  <c r="BZ400" i="11"/>
  <c r="BX400" i="11"/>
  <c r="BV400" i="11"/>
  <c r="BT400" i="11"/>
  <c r="BR400" i="11"/>
  <c r="BP400" i="11"/>
  <c r="T400" i="11"/>
  <c r="CI399" i="11"/>
  <c r="CH399" i="11"/>
  <c r="CF399" i="11"/>
  <c r="CD399" i="11"/>
  <c r="CB399" i="11"/>
  <c r="BZ399" i="11"/>
  <c r="BX399" i="11"/>
  <c r="BV399" i="11"/>
  <c r="BT399" i="11"/>
  <c r="BR399" i="11"/>
  <c r="BP399" i="11"/>
  <c r="T399" i="11"/>
  <c r="CI398" i="11"/>
  <c r="CH398" i="11"/>
  <c r="CF398" i="11"/>
  <c r="CD398" i="11"/>
  <c r="CB398" i="11"/>
  <c r="BZ398" i="11"/>
  <c r="BX398" i="11"/>
  <c r="BV398" i="11"/>
  <c r="BT398" i="11"/>
  <c r="CJ398" i="11" s="1"/>
  <c r="BR398" i="11"/>
  <c r="BP398" i="11"/>
  <c r="T398" i="11"/>
  <c r="CI397" i="11"/>
  <c r="CH397" i="11"/>
  <c r="CF397" i="11"/>
  <c r="CD397" i="11"/>
  <c r="CB397" i="11"/>
  <c r="BZ397" i="11"/>
  <c r="BX397" i="11"/>
  <c r="BV397" i="11"/>
  <c r="CJ397" i="11" s="1"/>
  <c r="BT397" i="11"/>
  <c r="BR397" i="11"/>
  <c r="BP397" i="11"/>
  <c r="T397" i="11"/>
  <c r="CI396" i="11"/>
  <c r="CH396" i="11"/>
  <c r="CF396" i="11"/>
  <c r="CD396" i="11"/>
  <c r="CB396" i="11"/>
  <c r="BZ396" i="11"/>
  <c r="BX396" i="11"/>
  <c r="BV396" i="11"/>
  <c r="BT396" i="11"/>
  <c r="BR396" i="11"/>
  <c r="BP396" i="11"/>
  <c r="CJ396" i="11" s="1"/>
  <c r="T396" i="11"/>
  <c r="CI395" i="11"/>
  <c r="CH395" i="11"/>
  <c r="CF395" i="11"/>
  <c r="CD395" i="11"/>
  <c r="CB395" i="11"/>
  <c r="BZ395" i="11"/>
  <c r="BX395" i="11"/>
  <c r="BV395" i="11"/>
  <c r="BT395" i="11"/>
  <c r="BR395" i="11"/>
  <c r="BP395" i="11"/>
  <c r="CJ395" i="11" s="1"/>
  <c r="T395" i="11"/>
  <c r="CI394" i="11"/>
  <c r="CH394" i="11"/>
  <c r="CF394" i="11"/>
  <c r="CD394" i="11"/>
  <c r="CB394" i="11"/>
  <c r="BZ394" i="11"/>
  <c r="BX394" i="11"/>
  <c r="BV394" i="11"/>
  <c r="BT394" i="11"/>
  <c r="CJ394" i="11" s="1"/>
  <c r="BR394" i="11"/>
  <c r="BP394" i="11"/>
  <c r="T394" i="11"/>
  <c r="CI393" i="11"/>
  <c r="CH393" i="11"/>
  <c r="CF393" i="11"/>
  <c r="CD393" i="11"/>
  <c r="CB393" i="11"/>
  <c r="BZ393" i="11"/>
  <c r="BX393" i="11"/>
  <c r="BV393" i="11"/>
  <c r="BT393" i="11"/>
  <c r="BR393" i="11"/>
  <c r="BP393" i="11"/>
  <c r="CJ393" i="11" s="1"/>
  <c r="T393" i="11"/>
  <c r="CI392" i="11"/>
  <c r="CH392" i="11"/>
  <c r="CF392" i="11"/>
  <c r="CD392" i="11"/>
  <c r="CB392" i="11"/>
  <c r="BZ392" i="11"/>
  <c r="BX392" i="11"/>
  <c r="BV392" i="11"/>
  <c r="BT392" i="11"/>
  <c r="BR392" i="11"/>
  <c r="BP392" i="11"/>
  <c r="T392" i="11"/>
  <c r="CI391" i="11"/>
  <c r="CH391" i="11"/>
  <c r="CF391" i="11"/>
  <c r="CD391" i="11"/>
  <c r="CB391" i="11"/>
  <c r="BZ391" i="11"/>
  <c r="BX391" i="11"/>
  <c r="BV391" i="11"/>
  <c r="BT391" i="11"/>
  <c r="BR391" i="11"/>
  <c r="BP391" i="11"/>
  <c r="T391" i="11"/>
  <c r="CI390" i="11"/>
  <c r="CH390" i="11"/>
  <c r="CF390" i="11"/>
  <c r="CD390" i="11"/>
  <c r="CB390" i="11"/>
  <c r="BZ390" i="11"/>
  <c r="BX390" i="11"/>
  <c r="BV390" i="11"/>
  <c r="BT390" i="11"/>
  <c r="CJ390" i="11" s="1"/>
  <c r="BR390" i="11"/>
  <c r="BP390" i="11"/>
  <c r="T390" i="11"/>
  <c r="CI389" i="11"/>
  <c r="CH389" i="11"/>
  <c r="CF389" i="11"/>
  <c r="CD389" i="11"/>
  <c r="CB389" i="11"/>
  <c r="BZ389" i="11"/>
  <c r="BX389" i="11"/>
  <c r="BV389" i="11"/>
  <c r="CJ389" i="11" s="1"/>
  <c r="BT389" i="11"/>
  <c r="BR389" i="11"/>
  <c r="BP389" i="11"/>
  <c r="T389" i="11"/>
  <c r="CI388" i="11"/>
  <c r="CH388" i="11"/>
  <c r="CF388" i="11"/>
  <c r="CD388" i="11"/>
  <c r="CB388" i="11"/>
  <c r="BZ388" i="11"/>
  <c r="BX388" i="11"/>
  <c r="BV388" i="11"/>
  <c r="BT388" i="11"/>
  <c r="BR388" i="11"/>
  <c r="BP388" i="11"/>
  <c r="CJ388" i="11" s="1"/>
  <c r="T388" i="11"/>
  <c r="CI387" i="11"/>
  <c r="CH387" i="11"/>
  <c r="CF387" i="11"/>
  <c r="CD387" i="11"/>
  <c r="CB387" i="11"/>
  <c r="BZ387" i="11"/>
  <c r="BX387" i="11"/>
  <c r="BV387" i="11"/>
  <c r="BT387" i="11"/>
  <c r="BR387" i="11"/>
  <c r="BP387" i="11"/>
  <c r="CJ387" i="11" s="1"/>
  <c r="T387" i="11"/>
  <c r="CI386" i="11"/>
  <c r="CH386" i="11"/>
  <c r="CF386" i="11"/>
  <c r="CD386" i="11"/>
  <c r="CB386" i="11"/>
  <c r="BZ386" i="11"/>
  <c r="BX386" i="11"/>
  <c r="BV386" i="11"/>
  <c r="CJ386" i="11" s="1"/>
  <c r="BT386" i="11"/>
  <c r="BR386" i="11"/>
  <c r="BP386" i="11"/>
  <c r="T386" i="11"/>
  <c r="CI385" i="11"/>
  <c r="CH385" i="11"/>
  <c r="CF385" i="11"/>
  <c r="CD385" i="11"/>
  <c r="CB385" i="11"/>
  <c r="BZ385" i="11"/>
  <c r="BX385" i="11"/>
  <c r="BV385" i="11"/>
  <c r="BT385" i="11"/>
  <c r="BR385" i="11"/>
  <c r="BP385" i="11"/>
  <c r="CJ385" i="11" s="1"/>
  <c r="T385" i="11"/>
  <c r="CI384" i="11"/>
  <c r="CH384" i="11"/>
  <c r="CF384" i="11"/>
  <c r="CD384" i="11"/>
  <c r="CB384" i="11"/>
  <c r="BZ384" i="11"/>
  <c r="BX384" i="11"/>
  <c r="BV384" i="11"/>
  <c r="BT384" i="11"/>
  <c r="BR384" i="11"/>
  <c r="BP384" i="11"/>
  <c r="T384" i="11"/>
  <c r="CI383" i="11"/>
  <c r="CH383" i="11"/>
  <c r="CF383" i="11"/>
  <c r="CD383" i="11"/>
  <c r="CB383" i="11"/>
  <c r="BZ383" i="11"/>
  <c r="BX383" i="11"/>
  <c r="BV383" i="11"/>
  <c r="BT383" i="11"/>
  <c r="BR383" i="11"/>
  <c r="BP383" i="11"/>
  <c r="T383" i="11"/>
  <c r="CI382" i="11"/>
  <c r="CH382" i="11"/>
  <c r="CF382" i="11"/>
  <c r="CD382" i="11"/>
  <c r="CB382" i="11"/>
  <c r="BZ382" i="11"/>
  <c r="BX382" i="11"/>
  <c r="BV382" i="11"/>
  <c r="BT382" i="11"/>
  <c r="CJ382" i="11" s="1"/>
  <c r="BR382" i="11"/>
  <c r="BP382" i="11"/>
  <c r="T382" i="11"/>
  <c r="CI381" i="11"/>
  <c r="CH381" i="11"/>
  <c r="CF381" i="11"/>
  <c r="CD381" i="11"/>
  <c r="CB381" i="11"/>
  <c r="BZ381" i="11"/>
  <c r="BX381" i="11"/>
  <c r="BV381" i="11"/>
  <c r="CJ381" i="11" s="1"/>
  <c r="BT381" i="11"/>
  <c r="BR381" i="11"/>
  <c r="BP381" i="11"/>
  <c r="T381" i="11"/>
  <c r="CI380" i="11"/>
  <c r="CH380" i="11"/>
  <c r="CF380" i="11"/>
  <c r="CD380" i="11"/>
  <c r="CB380" i="11"/>
  <c r="BZ380" i="11"/>
  <c r="BX380" i="11"/>
  <c r="BV380" i="11"/>
  <c r="BT380" i="11"/>
  <c r="BR380" i="11"/>
  <c r="BP380" i="11"/>
  <c r="CJ380" i="11" s="1"/>
  <c r="T380" i="11"/>
  <c r="CI379" i="11"/>
  <c r="CH379" i="11"/>
  <c r="CF379" i="11"/>
  <c r="CD379" i="11"/>
  <c r="CB379" i="11"/>
  <c r="BZ379" i="11"/>
  <c r="BX379" i="11"/>
  <c r="BV379" i="11"/>
  <c r="BT379" i="11"/>
  <c r="BR379" i="11"/>
  <c r="BP379" i="11"/>
  <c r="CJ379" i="11" s="1"/>
  <c r="T379" i="11"/>
  <c r="CI378" i="11"/>
  <c r="CH378" i="11"/>
  <c r="CF378" i="11"/>
  <c r="CD378" i="11"/>
  <c r="CB378" i="11"/>
  <c r="BZ378" i="11"/>
  <c r="BX378" i="11"/>
  <c r="BV378" i="11"/>
  <c r="CJ378" i="11" s="1"/>
  <c r="BT378" i="11"/>
  <c r="BR378" i="11"/>
  <c r="BP378" i="11"/>
  <c r="T378" i="11"/>
  <c r="CI377" i="11"/>
  <c r="CH377" i="11"/>
  <c r="CF377" i="11"/>
  <c r="CD377" i="11"/>
  <c r="CB377" i="11"/>
  <c r="BZ377" i="11"/>
  <c r="BX377" i="11"/>
  <c r="BV377" i="11"/>
  <c r="BT377" i="11"/>
  <c r="BR377" i="11"/>
  <c r="BP377" i="11"/>
  <c r="CJ377" i="11" s="1"/>
  <c r="T377" i="11"/>
  <c r="CI376" i="11"/>
  <c r="CH376" i="11"/>
  <c r="CF376" i="11"/>
  <c r="CD376" i="11"/>
  <c r="CB376" i="11"/>
  <c r="BZ376" i="11"/>
  <c r="BX376" i="11"/>
  <c r="BV376" i="11"/>
  <c r="BT376" i="11"/>
  <c r="BR376" i="11"/>
  <c r="BP376" i="11"/>
  <c r="T376" i="11"/>
  <c r="CI375" i="11"/>
  <c r="CH375" i="11"/>
  <c r="CF375" i="11"/>
  <c r="CD375" i="11"/>
  <c r="CB375" i="11"/>
  <c r="BZ375" i="11"/>
  <c r="BX375" i="11"/>
  <c r="BV375" i="11"/>
  <c r="BT375" i="11"/>
  <c r="BR375" i="11"/>
  <c r="BP375" i="11"/>
  <c r="T375" i="11"/>
  <c r="CI374" i="11"/>
  <c r="CH374" i="11"/>
  <c r="CF374" i="11"/>
  <c r="CD374" i="11"/>
  <c r="CB374" i="11"/>
  <c r="BZ374" i="11"/>
  <c r="BX374" i="11"/>
  <c r="BV374" i="11"/>
  <c r="BT374" i="11"/>
  <c r="CJ374" i="11" s="1"/>
  <c r="BR374" i="11"/>
  <c r="BP374" i="11"/>
  <c r="T374" i="11"/>
  <c r="CI373" i="11"/>
  <c r="CH373" i="11"/>
  <c r="CF373" i="11"/>
  <c r="CD373" i="11"/>
  <c r="CB373" i="11"/>
  <c r="BZ373" i="11"/>
  <c r="BX373" i="11"/>
  <c r="BV373" i="11"/>
  <c r="CJ373" i="11" s="1"/>
  <c r="BT373" i="11"/>
  <c r="BR373" i="11"/>
  <c r="BP373" i="11"/>
  <c r="T373" i="11"/>
  <c r="CI372" i="11"/>
  <c r="CH372" i="11"/>
  <c r="CF372" i="11"/>
  <c r="CD372" i="11"/>
  <c r="CB372" i="11"/>
  <c r="BZ372" i="11"/>
  <c r="BX372" i="11"/>
  <c r="BV372" i="11"/>
  <c r="BT372" i="11"/>
  <c r="BR372" i="11"/>
  <c r="BP372" i="11"/>
  <c r="T372" i="11"/>
  <c r="CI371" i="11"/>
  <c r="CH371" i="11"/>
  <c r="CF371" i="11"/>
  <c r="CD371" i="11"/>
  <c r="CB371" i="11"/>
  <c r="BZ371" i="11"/>
  <c r="BX371" i="11"/>
  <c r="BV371" i="11"/>
  <c r="BT371" i="11"/>
  <c r="BR371" i="11"/>
  <c r="BP371" i="11"/>
  <c r="CJ371" i="11" s="1"/>
  <c r="T371" i="11"/>
  <c r="CI370" i="11"/>
  <c r="CH370" i="11"/>
  <c r="CF370" i="11"/>
  <c r="CD370" i="11"/>
  <c r="CB370" i="11"/>
  <c r="BZ370" i="11"/>
  <c r="BX370" i="11"/>
  <c r="BV370" i="11"/>
  <c r="BT370" i="11"/>
  <c r="BR370" i="11"/>
  <c r="CJ370" i="11" s="1"/>
  <c r="BP370" i="11"/>
  <c r="T370" i="11"/>
  <c r="CI369" i="11"/>
  <c r="CH369" i="11"/>
  <c r="CF369" i="11"/>
  <c r="CD369" i="11"/>
  <c r="CB369" i="11"/>
  <c r="BZ369" i="11"/>
  <c r="BX369" i="11"/>
  <c r="BV369" i="11"/>
  <c r="BT369" i="11"/>
  <c r="BR369" i="11"/>
  <c r="BP369" i="11"/>
  <c r="CJ369" i="11" s="1"/>
  <c r="T369" i="11"/>
  <c r="CI368" i="11"/>
  <c r="CH368" i="11"/>
  <c r="CF368" i="11"/>
  <c r="CD368" i="11"/>
  <c r="CB368" i="11"/>
  <c r="BZ368" i="11"/>
  <c r="BX368" i="11"/>
  <c r="BV368" i="11"/>
  <c r="CJ368" i="11" s="1"/>
  <c r="BT368" i="11"/>
  <c r="BR368" i="11"/>
  <c r="BP368" i="11"/>
  <c r="T368" i="11"/>
  <c r="CI367" i="11"/>
  <c r="CH367" i="11"/>
  <c r="CF367" i="11"/>
  <c r="CD367" i="11"/>
  <c r="CB367" i="11"/>
  <c r="BZ367" i="11"/>
  <c r="BX367" i="11"/>
  <c r="BV367" i="11"/>
  <c r="BT367" i="11"/>
  <c r="BR367" i="11"/>
  <c r="BP367" i="11"/>
  <c r="T367" i="11"/>
  <c r="CI366" i="11"/>
  <c r="CH366" i="11"/>
  <c r="CF366" i="11"/>
  <c r="CD366" i="11"/>
  <c r="CB366" i="11"/>
  <c r="BZ366" i="11"/>
  <c r="BX366" i="11"/>
  <c r="BV366" i="11"/>
  <c r="CJ366" i="11" s="1"/>
  <c r="BT366" i="11"/>
  <c r="BR366" i="11"/>
  <c r="BP366" i="11"/>
  <c r="T366" i="11"/>
  <c r="CI365" i="11"/>
  <c r="CH365" i="11"/>
  <c r="CF365" i="11"/>
  <c r="CD365" i="11"/>
  <c r="CB365" i="11"/>
  <c r="BZ365" i="11"/>
  <c r="BX365" i="11"/>
  <c r="BV365" i="11"/>
  <c r="BT365" i="11"/>
  <c r="BR365" i="11"/>
  <c r="BP365" i="11"/>
  <c r="CJ365" i="11" s="1"/>
  <c r="T365" i="11"/>
  <c r="CI364" i="11"/>
  <c r="CH364" i="11"/>
  <c r="CF364" i="11"/>
  <c r="CD364" i="11"/>
  <c r="CB364" i="11"/>
  <c r="BZ364" i="11"/>
  <c r="BX364" i="11"/>
  <c r="BV364" i="11"/>
  <c r="BT364" i="11"/>
  <c r="BR364" i="11"/>
  <c r="BP364" i="11"/>
  <c r="CJ364" i="11" s="1"/>
  <c r="T364" i="11"/>
  <c r="CI363" i="11"/>
  <c r="CH363" i="11"/>
  <c r="CF363" i="11"/>
  <c r="CD363" i="11"/>
  <c r="CB363" i="11"/>
  <c r="BZ363" i="11"/>
  <c r="BX363" i="11"/>
  <c r="BV363" i="11"/>
  <c r="BT363" i="11"/>
  <c r="BR363" i="11"/>
  <c r="BP363" i="11"/>
  <c r="T363" i="11"/>
  <c r="CI362" i="11"/>
  <c r="CH362" i="11"/>
  <c r="CF362" i="11"/>
  <c r="CD362" i="11"/>
  <c r="CB362" i="11"/>
  <c r="BZ362" i="11"/>
  <c r="BX362" i="11"/>
  <c r="BV362" i="11"/>
  <c r="BT362" i="11"/>
  <c r="CJ362" i="11" s="1"/>
  <c r="BR362" i="11"/>
  <c r="BP362" i="11"/>
  <c r="T362" i="11"/>
  <c r="CI361" i="11"/>
  <c r="CH361" i="11"/>
  <c r="CF361" i="11"/>
  <c r="CD361" i="11"/>
  <c r="CB361" i="11"/>
  <c r="BZ361" i="11"/>
  <c r="BX361" i="11"/>
  <c r="BV361" i="11"/>
  <c r="CJ361" i="11" s="1"/>
  <c r="BT361" i="11"/>
  <c r="BR361" i="11"/>
  <c r="BP361" i="11"/>
  <c r="T361" i="11"/>
  <c r="CI360" i="11"/>
  <c r="CH360" i="11"/>
  <c r="CF360" i="11"/>
  <c r="CD360" i="11"/>
  <c r="CB360" i="11"/>
  <c r="BZ360" i="11"/>
  <c r="BX360" i="11"/>
  <c r="BV360" i="11"/>
  <c r="BT360" i="11"/>
  <c r="BR360" i="11"/>
  <c r="BP360" i="11"/>
  <c r="CJ360" i="11" s="1"/>
  <c r="T360" i="11"/>
  <c r="CI359" i="11"/>
  <c r="CH359" i="11"/>
  <c r="CF359" i="11"/>
  <c r="CD359" i="11"/>
  <c r="CB359" i="11"/>
  <c r="BZ359" i="11"/>
  <c r="BX359" i="11"/>
  <c r="BV359" i="11"/>
  <c r="BT359" i="11"/>
  <c r="BR359" i="11"/>
  <c r="BP359" i="11"/>
  <c r="CJ359" i="11" s="1"/>
  <c r="T359" i="11"/>
  <c r="CI358" i="11"/>
  <c r="CH358" i="11"/>
  <c r="CF358" i="11"/>
  <c r="CD358" i="11"/>
  <c r="CB358" i="11"/>
  <c r="BZ358" i="11"/>
  <c r="BX358" i="11"/>
  <c r="BV358" i="11"/>
  <c r="BT358" i="11"/>
  <c r="CJ358" i="11" s="1"/>
  <c r="BR358" i="11"/>
  <c r="BP358" i="11"/>
  <c r="T358" i="11"/>
  <c r="CI357" i="11"/>
  <c r="CH357" i="11"/>
  <c r="CF357" i="11"/>
  <c r="CD357" i="11"/>
  <c r="CB357" i="11"/>
  <c r="BZ357" i="11"/>
  <c r="BX357" i="11"/>
  <c r="BV357" i="11"/>
  <c r="CJ357" i="11" s="1"/>
  <c r="BT357" i="11"/>
  <c r="BR357" i="11"/>
  <c r="BP357" i="11"/>
  <c r="T357" i="11"/>
  <c r="CI356" i="11"/>
  <c r="CH356" i="11"/>
  <c r="CF356" i="11"/>
  <c r="CD356" i="11"/>
  <c r="CB356" i="11"/>
  <c r="BZ356" i="11"/>
  <c r="BX356" i="11"/>
  <c r="BV356" i="11"/>
  <c r="BT356" i="11"/>
  <c r="BR356" i="11"/>
  <c r="BP356" i="11"/>
  <c r="CJ356" i="11" s="1"/>
  <c r="T356" i="11"/>
  <c r="CI355" i="11"/>
  <c r="CH355" i="11"/>
  <c r="CF355" i="11"/>
  <c r="CD355" i="11"/>
  <c r="CB355" i="11"/>
  <c r="BZ355" i="11"/>
  <c r="BX355" i="11"/>
  <c r="BV355" i="11"/>
  <c r="BT355" i="11"/>
  <c r="BR355" i="11"/>
  <c r="BP355" i="11"/>
  <c r="CJ355" i="11" s="1"/>
  <c r="T355" i="11"/>
  <c r="CI354" i="11"/>
  <c r="CH354" i="11"/>
  <c r="CF354" i="11"/>
  <c r="CD354" i="11"/>
  <c r="CB354" i="11"/>
  <c r="BZ354" i="11"/>
  <c r="BX354" i="11"/>
  <c r="BV354" i="11"/>
  <c r="BT354" i="11"/>
  <c r="CJ354" i="11" s="1"/>
  <c r="BR354" i="11"/>
  <c r="BP354" i="11"/>
  <c r="T354" i="11"/>
  <c r="CI353" i="11"/>
  <c r="CH353" i="11"/>
  <c r="CF353" i="11"/>
  <c r="CD353" i="11"/>
  <c r="CB353" i="11"/>
  <c r="BZ353" i="11"/>
  <c r="BX353" i="11"/>
  <c r="BV353" i="11"/>
  <c r="CJ353" i="11" s="1"/>
  <c r="BT353" i="11"/>
  <c r="BR353" i="11"/>
  <c r="BP353" i="11"/>
  <c r="T353" i="11"/>
  <c r="CI352" i="11"/>
  <c r="CH352" i="11"/>
  <c r="CF352" i="11"/>
  <c r="CD352" i="11"/>
  <c r="CB352" i="11"/>
  <c r="BZ352" i="11"/>
  <c r="BX352" i="11"/>
  <c r="BV352" i="11"/>
  <c r="BT352" i="11"/>
  <c r="BR352" i="11"/>
  <c r="BP352" i="11"/>
  <c r="CJ352" i="11" s="1"/>
  <c r="T352" i="11"/>
  <c r="CI351" i="11"/>
  <c r="CH351" i="11"/>
  <c r="CF351" i="11"/>
  <c r="CD351" i="11"/>
  <c r="CB351" i="11"/>
  <c r="BZ351" i="11"/>
  <c r="BX351" i="11"/>
  <c r="BV351" i="11"/>
  <c r="BT351" i="11"/>
  <c r="BR351" i="11"/>
  <c r="BP351" i="11"/>
  <c r="CJ351" i="11" s="1"/>
  <c r="T351" i="11"/>
  <c r="CI350" i="11"/>
  <c r="CH350" i="11"/>
  <c r="CF350" i="11"/>
  <c r="CD350" i="11"/>
  <c r="CB350" i="11"/>
  <c r="BZ350" i="11"/>
  <c r="BX350" i="11"/>
  <c r="BV350" i="11"/>
  <c r="BT350" i="11"/>
  <c r="CJ350" i="11" s="1"/>
  <c r="BR350" i="11"/>
  <c r="BP350" i="11"/>
  <c r="T350" i="11"/>
  <c r="CI349" i="11"/>
  <c r="CH349" i="11"/>
  <c r="CF349" i="11"/>
  <c r="CD349" i="11"/>
  <c r="CB349" i="11"/>
  <c r="BZ349" i="11"/>
  <c r="BX349" i="11"/>
  <c r="BV349" i="11"/>
  <c r="CJ349" i="11" s="1"/>
  <c r="BT349" i="11"/>
  <c r="BR349" i="11"/>
  <c r="BP349" i="11"/>
  <c r="T349" i="11"/>
  <c r="CI348" i="11"/>
  <c r="CH348" i="11"/>
  <c r="CF348" i="11"/>
  <c r="CD348" i="11"/>
  <c r="CB348" i="11"/>
  <c r="BZ348" i="11"/>
  <c r="BX348" i="11"/>
  <c r="BV348" i="11"/>
  <c r="BT348" i="11"/>
  <c r="BR348" i="11"/>
  <c r="BP348" i="11"/>
  <c r="CJ348" i="11" s="1"/>
  <c r="T348" i="11"/>
  <c r="CI347" i="11"/>
  <c r="CH347" i="11"/>
  <c r="CF347" i="11"/>
  <c r="CD347" i="11"/>
  <c r="CB347" i="11"/>
  <c r="BZ347" i="11"/>
  <c r="BX347" i="11"/>
  <c r="BV347" i="11"/>
  <c r="BT347" i="11"/>
  <c r="BR347" i="11"/>
  <c r="BP347" i="11"/>
  <c r="CJ347" i="11" s="1"/>
  <c r="T347" i="11"/>
  <c r="CI346" i="11"/>
  <c r="CH346" i="11"/>
  <c r="CF346" i="11"/>
  <c r="CD346" i="11"/>
  <c r="CB346" i="11"/>
  <c r="BZ346" i="11"/>
  <c r="BX346" i="11"/>
  <c r="BV346" i="11"/>
  <c r="BT346" i="11"/>
  <c r="CJ346" i="11" s="1"/>
  <c r="BR346" i="11"/>
  <c r="BP346" i="11"/>
  <c r="T346" i="11"/>
  <c r="CI345" i="11"/>
  <c r="CH345" i="11"/>
  <c r="CF345" i="11"/>
  <c r="CD345" i="11"/>
  <c r="CB345" i="11"/>
  <c r="BZ345" i="11"/>
  <c r="BX345" i="11"/>
  <c r="BV345" i="11"/>
  <c r="CJ345" i="11" s="1"/>
  <c r="BT345" i="11"/>
  <c r="BR345" i="11"/>
  <c r="BP345" i="11"/>
  <c r="T345" i="11"/>
  <c r="CI344" i="11"/>
  <c r="CH344" i="11"/>
  <c r="CF344" i="11"/>
  <c r="CD344" i="11"/>
  <c r="CB344" i="11"/>
  <c r="BZ344" i="11"/>
  <c r="BX344" i="11"/>
  <c r="BV344" i="11"/>
  <c r="BT344" i="11"/>
  <c r="BR344" i="11"/>
  <c r="BP344" i="11"/>
  <c r="CJ344" i="11" s="1"/>
  <c r="T344" i="11"/>
  <c r="CI343" i="11"/>
  <c r="CH343" i="11"/>
  <c r="CF343" i="11"/>
  <c r="CD343" i="11"/>
  <c r="CB343" i="11"/>
  <c r="BZ343" i="11"/>
  <c r="BX343" i="11"/>
  <c r="BV343" i="11"/>
  <c r="BT343" i="11"/>
  <c r="BR343" i="11"/>
  <c r="BP343" i="11"/>
  <c r="CJ343" i="11" s="1"/>
  <c r="T343" i="11"/>
  <c r="CI342" i="11"/>
  <c r="CH342" i="11"/>
  <c r="CF342" i="11"/>
  <c r="CD342" i="11"/>
  <c r="CB342" i="11"/>
  <c r="BZ342" i="11"/>
  <c r="BX342" i="11"/>
  <c r="BV342" i="11"/>
  <c r="BT342" i="11"/>
  <c r="CJ342" i="11" s="1"/>
  <c r="BR342" i="11"/>
  <c r="BP342" i="11"/>
  <c r="T342" i="11"/>
  <c r="CI341" i="11"/>
  <c r="CH341" i="11"/>
  <c r="CF341" i="11"/>
  <c r="CD341" i="11"/>
  <c r="CB341" i="11"/>
  <c r="BZ341" i="11"/>
  <c r="BX341" i="11"/>
  <c r="BV341" i="11"/>
  <c r="CJ341" i="11" s="1"/>
  <c r="BT341" i="11"/>
  <c r="BR341" i="11"/>
  <c r="BP341" i="11"/>
  <c r="T341" i="11"/>
  <c r="CI340" i="11"/>
  <c r="CH340" i="11"/>
  <c r="CF340" i="11"/>
  <c r="CD340" i="11"/>
  <c r="CB340" i="11"/>
  <c r="BZ340" i="11"/>
  <c r="BX340" i="11"/>
  <c r="BV340" i="11"/>
  <c r="BT340" i="11"/>
  <c r="BR340" i="11"/>
  <c r="BP340" i="11"/>
  <c r="CJ340" i="11" s="1"/>
  <c r="T340" i="11"/>
  <c r="CI339" i="11"/>
  <c r="CH339" i="11"/>
  <c r="CF339" i="11"/>
  <c r="CD339" i="11"/>
  <c r="CB339" i="11"/>
  <c r="BZ339" i="11"/>
  <c r="BX339" i="11"/>
  <c r="BV339" i="11"/>
  <c r="BT339" i="11"/>
  <c r="BR339" i="11"/>
  <c r="BP339" i="11"/>
  <c r="CJ339" i="11" s="1"/>
  <c r="T339" i="11"/>
  <c r="CI338" i="11"/>
  <c r="CH338" i="11"/>
  <c r="CF338" i="11"/>
  <c r="CD338" i="11"/>
  <c r="CB338" i="11"/>
  <c r="BZ338" i="11"/>
  <c r="BX338" i="11"/>
  <c r="BV338" i="11"/>
  <c r="BT338" i="11"/>
  <c r="CJ338" i="11" s="1"/>
  <c r="BR338" i="11"/>
  <c r="BP338" i="11"/>
  <c r="T338" i="11"/>
  <c r="CI337" i="11"/>
  <c r="CH337" i="11"/>
  <c r="CF337" i="11"/>
  <c r="CD337" i="11"/>
  <c r="CB337" i="11"/>
  <c r="BZ337" i="11"/>
  <c r="BX337" i="11"/>
  <c r="BV337" i="11"/>
  <c r="CJ337" i="11" s="1"/>
  <c r="BT337" i="11"/>
  <c r="BR337" i="11"/>
  <c r="BP337" i="11"/>
  <c r="T337" i="11"/>
  <c r="CI336" i="11"/>
  <c r="CH336" i="11"/>
  <c r="CF336" i="11"/>
  <c r="CD336" i="11"/>
  <c r="CB336" i="11"/>
  <c r="BZ336" i="11"/>
  <c r="BX336" i="11"/>
  <c r="BV336" i="11"/>
  <c r="BT336" i="11"/>
  <c r="BR336" i="11"/>
  <c r="BP336" i="11"/>
  <c r="CJ336" i="11" s="1"/>
  <c r="T336" i="11"/>
  <c r="CI335" i="11"/>
  <c r="CH335" i="11"/>
  <c r="CF335" i="11"/>
  <c r="CD335" i="11"/>
  <c r="CB335" i="11"/>
  <c r="BZ335" i="11"/>
  <c r="BX335" i="11"/>
  <c r="BV335" i="11"/>
  <c r="BT335" i="11"/>
  <c r="BR335" i="11"/>
  <c r="BP335" i="11"/>
  <c r="CJ335" i="11" s="1"/>
  <c r="T335" i="11"/>
  <c r="CI334" i="11"/>
  <c r="CH334" i="11"/>
  <c r="CF334" i="11"/>
  <c r="CD334" i="11"/>
  <c r="CB334" i="11"/>
  <c r="BZ334" i="11"/>
  <c r="BX334" i="11"/>
  <c r="BV334" i="11"/>
  <c r="BT334" i="11"/>
  <c r="BR334" i="11"/>
  <c r="CJ334" i="11" s="1"/>
  <c r="BP334" i="11"/>
  <c r="T334" i="11"/>
  <c r="CI333" i="11"/>
  <c r="CH333" i="11"/>
  <c r="CF333" i="11"/>
  <c r="CD333" i="11"/>
  <c r="CB333" i="11"/>
  <c r="BZ333" i="11"/>
  <c r="BX333" i="11"/>
  <c r="BV333" i="11"/>
  <c r="CJ333" i="11" s="1"/>
  <c r="BT333" i="11"/>
  <c r="BR333" i="11"/>
  <c r="BP333" i="11"/>
  <c r="T333" i="11"/>
  <c r="CI332" i="11"/>
  <c r="CH332" i="11"/>
  <c r="CF332" i="11"/>
  <c r="CD332" i="11"/>
  <c r="CB332" i="11"/>
  <c r="BZ332" i="11"/>
  <c r="BX332" i="11"/>
  <c r="BV332" i="11"/>
  <c r="BT332" i="11"/>
  <c r="BR332" i="11"/>
  <c r="BP332" i="11"/>
  <c r="CJ332" i="11" s="1"/>
  <c r="T332" i="11"/>
  <c r="CI331" i="11"/>
  <c r="CH331" i="11"/>
  <c r="CF331" i="11"/>
  <c r="CD331" i="11"/>
  <c r="CB331" i="11"/>
  <c r="BZ331" i="11"/>
  <c r="BX331" i="11"/>
  <c r="BV331" i="11"/>
  <c r="BT331" i="11"/>
  <c r="BR331" i="11"/>
  <c r="BP331" i="11"/>
  <c r="CJ331" i="11" s="1"/>
  <c r="T331" i="11"/>
  <c r="CI330" i="11"/>
  <c r="CH330" i="11"/>
  <c r="CF330" i="11"/>
  <c r="CD330" i="11"/>
  <c r="CB330" i="11"/>
  <c r="BZ330" i="11"/>
  <c r="BX330" i="11"/>
  <c r="BV330" i="11"/>
  <c r="BT330" i="11"/>
  <c r="BR330" i="11"/>
  <c r="CJ330" i="11" s="1"/>
  <c r="BP330" i="11"/>
  <c r="T330" i="11"/>
  <c r="CI329" i="11"/>
  <c r="CH329" i="11"/>
  <c r="CF329" i="11"/>
  <c r="CD329" i="11"/>
  <c r="CB329" i="11"/>
  <c r="BZ329" i="11"/>
  <c r="BX329" i="11"/>
  <c r="BV329" i="11"/>
  <c r="CJ329" i="11" s="1"/>
  <c r="BT329" i="11"/>
  <c r="BR329" i="11"/>
  <c r="BP329" i="11"/>
  <c r="T329" i="11"/>
  <c r="CI328" i="11"/>
  <c r="CH328" i="11"/>
  <c r="CF328" i="11"/>
  <c r="CD328" i="11"/>
  <c r="CB328" i="11"/>
  <c r="BZ328" i="11"/>
  <c r="BX328" i="11"/>
  <c r="BV328" i="11"/>
  <c r="BT328" i="11"/>
  <c r="BR328" i="11"/>
  <c r="BP328" i="11"/>
  <c r="CJ328" i="11" s="1"/>
  <c r="T328" i="11"/>
  <c r="CI327" i="11"/>
  <c r="CH327" i="11"/>
  <c r="CF327" i="11"/>
  <c r="CD327" i="11"/>
  <c r="CB327" i="11"/>
  <c r="BZ327" i="11"/>
  <c r="BX327" i="11"/>
  <c r="BV327" i="11"/>
  <c r="BT327" i="11"/>
  <c r="BR327" i="11"/>
  <c r="BP327" i="11"/>
  <c r="CJ327" i="11" s="1"/>
  <c r="T327" i="11"/>
  <c r="CI326" i="11"/>
  <c r="CH326" i="11"/>
  <c r="CF326" i="11"/>
  <c r="CD326" i="11"/>
  <c r="CB326" i="11"/>
  <c r="BZ326" i="11"/>
  <c r="BX326" i="11"/>
  <c r="BV326" i="11"/>
  <c r="BT326" i="11"/>
  <c r="BR326" i="11"/>
  <c r="CJ326" i="11" s="1"/>
  <c r="BP326" i="11"/>
  <c r="T326" i="11"/>
  <c r="CI325" i="11"/>
  <c r="CH325" i="11"/>
  <c r="CF325" i="11"/>
  <c r="CD325" i="11"/>
  <c r="CB325" i="11"/>
  <c r="BZ325" i="11"/>
  <c r="BX325" i="11"/>
  <c r="BV325" i="11"/>
  <c r="CJ325" i="11" s="1"/>
  <c r="BT325" i="11"/>
  <c r="BR325" i="11"/>
  <c r="BP325" i="11"/>
  <c r="T325" i="11"/>
  <c r="CI324" i="11"/>
  <c r="CH324" i="11"/>
  <c r="CF324" i="11"/>
  <c r="CD324" i="11"/>
  <c r="CB324" i="11"/>
  <c r="BZ324" i="11"/>
  <c r="BX324" i="11"/>
  <c r="BV324" i="11"/>
  <c r="BT324" i="11"/>
  <c r="BR324" i="11"/>
  <c r="BP324" i="11"/>
  <c r="CJ324" i="11" s="1"/>
  <c r="T324" i="11"/>
  <c r="CI323" i="11"/>
  <c r="CH323" i="11"/>
  <c r="CF323" i="11"/>
  <c r="CD323" i="11"/>
  <c r="CB323" i="11"/>
  <c r="BZ323" i="11"/>
  <c r="BX323" i="11"/>
  <c r="BV323" i="11"/>
  <c r="BT323" i="11"/>
  <c r="BR323" i="11"/>
  <c r="BP323" i="11"/>
  <c r="CJ323" i="11" s="1"/>
  <c r="T323" i="11"/>
  <c r="CI322" i="11"/>
  <c r="CH322" i="11"/>
  <c r="CF322" i="11"/>
  <c r="CD322" i="11"/>
  <c r="CB322" i="11"/>
  <c r="BZ322" i="11"/>
  <c r="BX322" i="11"/>
  <c r="BV322" i="11"/>
  <c r="BT322" i="11"/>
  <c r="BR322" i="11"/>
  <c r="CJ322" i="11" s="1"/>
  <c r="BP322" i="11"/>
  <c r="T322" i="11"/>
  <c r="CI321" i="11"/>
  <c r="CH321" i="11"/>
  <c r="CF321" i="11"/>
  <c r="CD321" i="11"/>
  <c r="CB321" i="11"/>
  <c r="BZ321" i="11"/>
  <c r="BX321" i="11"/>
  <c r="BV321" i="11"/>
  <c r="CJ321" i="11" s="1"/>
  <c r="BT321" i="11"/>
  <c r="BR321" i="11"/>
  <c r="BP321" i="11"/>
  <c r="T321" i="11"/>
  <c r="CI320" i="11"/>
  <c r="CH320" i="11"/>
  <c r="CF320" i="11"/>
  <c r="CD320" i="11"/>
  <c r="CB320" i="11"/>
  <c r="BZ320" i="11"/>
  <c r="BX320" i="11"/>
  <c r="BV320" i="11"/>
  <c r="BT320" i="11"/>
  <c r="BR320" i="11"/>
  <c r="BP320" i="11"/>
  <c r="CJ320" i="11" s="1"/>
  <c r="T320" i="11"/>
  <c r="CI319" i="11"/>
  <c r="CH319" i="11"/>
  <c r="CF319" i="11"/>
  <c r="CD319" i="11"/>
  <c r="CB319" i="11"/>
  <c r="BZ319" i="11"/>
  <c r="BX319" i="11"/>
  <c r="BV319" i="11"/>
  <c r="BT319" i="11"/>
  <c r="BR319" i="11"/>
  <c r="BP319" i="11"/>
  <c r="CJ319" i="11" s="1"/>
  <c r="T319" i="11"/>
  <c r="CI318" i="11"/>
  <c r="CH318" i="11"/>
  <c r="CF318" i="11"/>
  <c r="CD318" i="11"/>
  <c r="CB318" i="11"/>
  <c r="BZ318" i="11"/>
  <c r="BX318" i="11"/>
  <c r="BV318" i="11"/>
  <c r="BT318" i="11"/>
  <c r="BR318" i="11"/>
  <c r="CJ318" i="11" s="1"/>
  <c r="BP318" i="11"/>
  <c r="T318" i="11"/>
  <c r="CI317" i="11"/>
  <c r="CH317" i="11"/>
  <c r="CF317" i="11"/>
  <c r="CD317" i="11"/>
  <c r="CB317" i="11"/>
  <c r="BZ317" i="11"/>
  <c r="BX317" i="11"/>
  <c r="BV317" i="11"/>
  <c r="CJ317" i="11" s="1"/>
  <c r="BT317" i="11"/>
  <c r="BR317" i="11"/>
  <c r="BP317" i="11"/>
  <c r="T317" i="11"/>
  <c r="CI316" i="11"/>
  <c r="CH316" i="11"/>
  <c r="CF316" i="11"/>
  <c r="CD316" i="11"/>
  <c r="CB316" i="11"/>
  <c r="BZ316" i="11"/>
  <c r="BX316" i="11"/>
  <c r="BV316" i="11"/>
  <c r="BT316" i="11"/>
  <c r="BR316" i="11"/>
  <c r="BP316" i="11"/>
  <c r="CJ316" i="11" s="1"/>
  <c r="T316" i="11"/>
  <c r="CI315" i="11"/>
  <c r="CH315" i="11"/>
  <c r="CF315" i="11"/>
  <c r="CD315" i="11"/>
  <c r="CB315" i="11"/>
  <c r="BZ315" i="11"/>
  <c r="BX315" i="11"/>
  <c r="BV315" i="11"/>
  <c r="BT315" i="11"/>
  <c r="BR315" i="11"/>
  <c r="BP315" i="11"/>
  <c r="CJ315" i="11" s="1"/>
  <c r="T315" i="11"/>
  <c r="CI314" i="11"/>
  <c r="CH314" i="11"/>
  <c r="CF314" i="11"/>
  <c r="CD314" i="11"/>
  <c r="CB314" i="11"/>
  <c r="BZ314" i="11"/>
  <c r="BX314" i="11"/>
  <c r="BV314" i="11"/>
  <c r="BT314" i="11"/>
  <c r="BR314" i="11"/>
  <c r="CJ314" i="11" s="1"/>
  <c r="BP314" i="11"/>
  <c r="T314" i="11"/>
  <c r="CI313" i="11"/>
  <c r="CH313" i="11"/>
  <c r="CF313" i="11"/>
  <c r="CD313" i="11"/>
  <c r="CB313" i="11"/>
  <c r="BZ313" i="11"/>
  <c r="BX313" i="11"/>
  <c r="BV313" i="11"/>
  <c r="CJ313" i="11" s="1"/>
  <c r="BT313" i="11"/>
  <c r="BR313" i="11"/>
  <c r="BP313" i="11"/>
  <c r="T313" i="11"/>
  <c r="CI312" i="11"/>
  <c r="CH312" i="11"/>
  <c r="CF312" i="11"/>
  <c r="CD312" i="11"/>
  <c r="CB312" i="11"/>
  <c r="BZ312" i="11"/>
  <c r="BX312" i="11"/>
  <c r="BV312" i="11"/>
  <c r="BT312" i="11"/>
  <c r="BR312" i="11"/>
  <c r="BP312" i="11"/>
  <c r="CJ312" i="11" s="1"/>
  <c r="T312" i="11"/>
  <c r="CI311" i="11"/>
  <c r="CH311" i="11"/>
  <c r="CF311" i="11"/>
  <c r="CD311" i="11"/>
  <c r="CB311" i="11"/>
  <c r="BZ311" i="11"/>
  <c r="BX311" i="11"/>
  <c r="BV311" i="11"/>
  <c r="BT311" i="11"/>
  <c r="BR311" i="11"/>
  <c r="BP311" i="11"/>
  <c r="CJ311" i="11" s="1"/>
  <c r="T311" i="11"/>
  <c r="CI310" i="11"/>
  <c r="CH310" i="11"/>
  <c r="CF310" i="11"/>
  <c r="CD310" i="11"/>
  <c r="CB310" i="11"/>
  <c r="BZ310" i="11"/>
  <c r="BX310" i="11"/>
  <c r="BV310" i="11"/>
  <c r="BT310" i="11"/>
  <c r="BR310" i="11"/>
  <c r="BP310" i="11"/>
  <c r="CJ310" i="11" s="1"/>
  <c r="T310" i="11"/>
  <c r="CI309" i="11"/>
  <c r="CH309" i="11"/>
  <c r="CF309" i="11"/>
  <c r="CD309" i="11"/>
  <c r="CB309" i="11"/>
  <c r="BZ309" i="11"/>
  <c r="BX309" i="11"/>
  <c r="BV309" i="11"/>
  <c r="CJ309" i="11" s="1"/>
  <c r="BT309" i="11"/>
  <c r="BR309" i="11"/>
  <c r="BP309" i="11"/>
  <c r="T309" i="11"/>
  <c r="CI308" i="11"/>
  <c r="CH308" i="11"/>
  <c r="CF308" i="11"/>
  <c r="CD308" i="11"/>
  <c r="CB308" i="11"/>
  <c r="BZ308" i="11"/>
  <c r="BX308" i="11"/>
  <c r="BV308" i="11"/>
  <c r="BT308" i="11"/>
  <c r="BR308" i="11"/>
  <c r="BP308" i="11"/>
  <c r="CJ308" i="11" s="1"/>
  <c r="T308" i="11"/>
  <c r="CI307" i="11"/>
  <c r="CH307" i="11"/>
  <c r="CF307" i="11"/>
  <c r="CD307" i="11"/>
  <c r="CB307" i="11"/>
  <c r="BZ307" i="11"/>
  <c r="BX307" i="11"/>
  <c r="BV307" i="11"/>
  <c r="BT307" i="11"/>
  <c r="BR307" i="11"/>
  <c r="BP307" i="11"/>
  <c r="CJ307" i="11" s="1"/>
  <c r="T307" i="11"/>
  <c r="CI306" i="11"/>
  <c r="CH306" i="11"/>
  <c r="CF306" i="11"/>
  <c r="CD306" i="11"/>
  <c r="CB306" i="11"/>
  <c r="BZ306" i="11"/>
  <c r="BX306" i="11"/>
  <c r="BV306" i="11"/>
  <c r="BT306" i="11"/>
  <c r="BR306" i="11"/>
  <c r="BP306" i="11"/>
  <c r="CJ306" i="11" s="1"/>
  <c r="T306" i="11"/>
  <c r="CI305" i="11"/>
  <c r="CH305" i="11"/>
  <c r="CF305" i="11"/>
  <c r="CD305" i="11"/>
  <c r="CB305" i="11"/>
  <c r="BZ305" i="11"/>
  <c r="BX305" i="11"/>
  <c r="BV305" i="11"/>
  <c r="CJ305" i="11" s="1"/>
  <c r="BT305" i="11"/>
  <c r="BR305" i="11"/>
  <c r="BP305" i="11"/>
  <c r="T305" i="11"/>
  <c r="CI304" i="11"/>
  <c r="CH304" i="11"/>
  <c r="CF304" i="11"/>
  <c r="CD304" i="11"/>
  <c r="CB304" i="11"/>
  <c r="BZ304" i="11"/>
  <c r="BX304" i="11"/>
  <c r="BV304" i="11"/>
  <c r="BT304" i="11"/>
  <c r="BR304" i="11"/>
  <c r="BP304" i="11"/>
  <c r="CJ304" i="11" s="1"/>
  <c r="T304" i="11"/>
  <c r="CI303" i="11"/>
  <c r="CH303" i="11"/>
  <c r="CF303" i="11"/>
  <c r="CD303" i="11"/>
  <c r="CB303" i="11"/>
  <c r="BZ303" i="11"/>
  <c r="BX303" i="11"/>
  <c r="BV303" i="11"/>
  <c r="BT303" i="11"/>
  <c r="BR303" i="11"/>
  <c r="BP303" i="11"/>
  <c r="CJ303" i="11" s="1"/>
  <c r="T303" i="11"/>
  <c r="CI302" i="11"/>
  <c r="CH302" i="11"/>
  <c r="CF302" i="11"/>
  <c r="CD302" i="11"/>
  <c r="CB302" i="11"/>
  <c r="BZ302" i="11"/>
  <c r="BX302" i="11"/>
  <c r="BV302" i="11"/>
  <c r="BT302" i="11"/>
  <c r="BR302" i="11"/>
  <c r="BP302" i="11"/>
  <c r="CJ302" i="11" s="1"/>
  <c r="T302" i="11"/>
  <c r="CI301" i="11"/>
  <c r="CH301" i="11"/>
  <c r="CF301" i="11"/>
  <c r="CD301" i="11"/>
  <c r="CB301" i="11"/>
  <c r="BZ301" i="11"/>
  <c r="BX301" i="11"/>
  <c r="BV301" i="11"/>
  <c r="CJ301" i="11" s="1"/>
  <c r="BT301" i="11"/>
  <c r="BR301" i="11"/>
  <c r="BP301" i="11"/>
  <c r="T301" i="11"/>
  <c r="CI300" i="11"/>
  <c r="CH300" i="11"/>
  <c r="CF300" i="11"/>
  <c r="CD300" i="11"/>
  <c r="CB300" i="11"/>
  <c r="BZ300" i="11"/>
  <c r="BX300" i="11"/>
  <c r="BV300" i="11"/>
  <c r="BT300" i="11"/>
  <c r="BR300" i="11"/>
  <c r="BP300" i="11"/>
  <c r="CJ300" i="11" s="1"/>
  <c r="T300" i="11"/>
  <c r="CI299" i="11"/>
  <c r="CH299" i="11"/>
  <c r="CF299" i="11"/>
  <c r="CD299" i="11"/>
  <c r="CB299" i="11"/>
  <c r="BZ299" i="11"/>
  <c r="BX299" i="11"/>
  <c r="BV299" i="11"/>
  <c r="BT299" i="11"/>
  <c r="BR299" i="11"/>
  <c r="BP299" i="11"/>
  <c r="CJ299" i="11" s="1"/>
  <c r="T299" i="11"/>
  <c r="CI298" i="11"/>
  <c r="CH298" i="11"/>
  <c r="CF298" i="11"/>
  <c r="CD298" i="11"/>
  <c r="CB298" i="11"/>
  <c r="BZ298" i="11"/>
  <c r="BX298" i="11"/>
  <c r="BV298" i="11"/>
  <c r="BT298" i="11"/>
  <c r="BR298" i="11"/>
  <c r="BP298" i="11"/>
  <c r="CJ298" i="11" s="1"/>
  <c r="T298" i="11"/>
  <c r="CI297" i="11"/>
  <c r="CH297" i="11"/>
  <c r="CF297" i="11"/>
  <c r="CD297" i="11"/>
  <c r="CB297" i="11"/>
  <c r="BZ297" i="11"/>
  <c r="BX297" i="11"/>
  <c r="BV297" i="11"/>
  <c r="CJ297" i="11" s="1"/>
  <c r="BT297" i="11"/>
  <c r="BR297" i="11"/>
  <c r="BP297" i="11"/>
  <c r="T297" i="11"/>
  <c r="CI296" i="11"/>
  <c r="CH296" i="11"/>
  <c r="CF296" i="11"/>
  <c r="CD296" i="11"/>
  <c r="CB296" i="11"/>
  <c r="BZ296" i="11"/>
  <c r="BX296" i="11"/>
  <c r="BV296" i="11"/>
  <c r="BT296" i="11"/>
  <c r="BR296" i="11"/>
  <c r="BP296" i="11"/>
  <c r="CJ296" i="11" s="1"/>
  <c r="T296" i="11"/>
  <c r="CI295" i="11"/>
  <c r="CH295" i="11"/>
  <c r="CF295" i="11"/>
  <c r="CD295" i="11"/>
  <c r="CB295" i="11"/>
  <c r="BZ295" i="11"/>
  <c r="BX295" i="11"/>
  <c r="BV295" i="11"/>
  <c r="BT295" i="11"/>
  <c r="BR295" i="11"/>
  <c r="BP295" i="11"/>
  <c r="CJ295" i="11" s="1"/>
  <c r="T295" i="11"/>
  <c r="CI294" i="11"/>
  <c r="CH294" i="11"/>
  <c r="CF294" i="11"/>
  <c r="CD294" i="11"/>
  <c r="CB294" i="11"/>
  <c r="BZ294" i="11"/>
  <c r="BX294" i="11"/>
  <c r="BV294" i="11"/>
  <c r="BT294" i="11"/>
  <c r="BR294" i="11"/>
  <c r="BP294" i="11"/>
  <c r="CJ294" i="11" s="1"/>
  <c r="T294" i="11"/>
  <c r="CI293" i="11"/>
  <c r="CH293" i="11"/>
  <c r="CF293" i="11"/>
  <c r="CD293" i="11"/>
  <c r="CB293" i="11"/>
  <c r="BZ293" i="11"/>
  <c r="BX293" i="11"/>
  <c r="BV293" i="11"/>
  <c r="CJ293" i="11" s="1"/>
  <c r="BT293" i="11"/>
  <c r="BR293" i="11"/>
  <c r="BP293" i="11"/>
  <c r="T293" i="11"/>
  <c r="CI292" i="11"/>
  <c r="CH292" i="11"/>
  <c r="CF292" i="11"/>
  <c r="CD292" i="11"/>
  <c r="CB292" i="11"/>
  <c r="BZ292" i="11"/>
  <c r="BX292" i="11"/>
  <c r="BV292" i="11"/>
  <c r="BT292" i="11"/>
  <c r="BR292" i="11"/>
  <c r="BP292" i="11"/>
  <c r="CJ292" i="11" s="1"/>
  <c r="T292" i="11"/>
  <c r="CI291" i="11"/>
  <c r="CH291" i="11"/>
  <c r="CF291" i="11"/>
  <c r="CD291" i="11"/>
  <c r="CB291" i="11"/>
  <c r="BZ291" i="11"/>
  <c r="BX291" i="11"/>
  <c r="BV291" i="11"/>
  <c r="BT291" i="11"/>
  <c r="BR291" i="11"/>
  <c r="BP291" i="11"/>
  <c r="CJ291" i="11" s="1"/>
  <c r="T291" i="11"/>
  <c r="CI290" i="11"/>
  <c r="CH290" i="11"/>
  <c r="CF290" i="11"/>
  <c r="CD290" i="11"/>
  <c r="CB290" i="11"/>
  <c r="BZ290" i="11"/>
  <c r="BX290" i="11"/>
  <c r="BV290" i="11"/>
  <c r="BT290" i="11"/>
  <c r="BR290" i="11"/>
  <c r="BP290" i="11"/>
  <c r="CJ290" i="11" s="1"/>
  <c r="T290" i="11"/>
  <c r="CI289" i="11"/>
  <c r="CH289" i="11"/>
  <c r="CF289" i="11"/>
  <c r="CD289" i="11"/>
  <c r="CB289" i="11"/>
  <c r="BZ289" i="11"/>
  <c r="BX289" i="11"/>
  <c r="BV289" i="11"/>
  <c r="CJ289" i="11" s="1"/>
  <c r="BT289" i="11"/>
  <c r="BR289" i="11"/>
  <c r="BP289" i="11"/>
  <c r="T289" i="11"/>
  <c r="CI288" i="11"/>
  <c r="CH288" i="11"/>
  <c r="CF288" i="11"/>
  <c r="CD288" i="11"/>
  <c r="CB288" i="11"/>
  <c r="BZ288" i="11"/>
  <c r="BX288" i="11"/>
  <c r="BV288" i="11"/>
  <c r="BT288" i="11"/>
  <c r="BR288" i="11"/>
  <c r="BP288" i="11"/>
  <c r="CJ288" i="11" s="1"/>
  <c r="T288" i="11"/>
  <c r="CI287" i="11"/>
  <c r="CH287" i="11"/>
  <c r="CF287" i="11"/>
  <c r="CD287" i="11"/>
  <c r="CB287" i="11"/>
  <c r="BZ287" i="11"/>
  <c r="BX287" i="11"/>
  <c r="BV287" i="11"/>
  <c r="BT287" i="11"/>
  <c r="BR287" i="11"/>
  <c r="BP287" i="11"/>
  <c r="CJ287" i="11" s="1"/>
  <c r="T287" i="11"/>
  <c r="CI286" i="11"/>
  <c r="CH286" i="11"/>
  <c r="CF286" i="11"/>
  <c r="CD286" i="11"/>
  <c r="CB286" i="11"/>
  <c r="BZ286" i="11"/>
  <c r="BX286" i="11"/>
  <c r="BV286" i="11"/>
  <c r="BT286" i="11"/>
  <c r="BR286" i="11"/>
  <c r="BP286" i="11"/>
  <c r="CJ286" i="11" s="1"/>
  <c r="T286" i="11"/>
  <c r="CI285" i="11"/>
  <c r="CH285" i="11"/>
  <c r="CF285" i="11"/>
  <c r="CD285" i="11"/>
  <c r="CB285" i="11"/>
  <c r="BZ285" i="11"/>
  <c r="BX285" i="11"/>
  <c r="BV285" i="11"/>
  <c r="CJ285" i="11" s="1"/>
  <c r="BT285" i="11"/>
  <c r="BR285" i="11"/>
  <c r="BP285" i="11"/>
  <c r="T285" i="11"/>
  <c r="CI284" i="11"/>
  <c r="CH284" i="11"/>
  <c r="CF284" i="11"/>
  <c r="CD284" i="11"/>
  <c r="CB284" i="11"/>
  <c r="BZ284" i="11"/>
  <c r="BX284" i="11"/>
  <c r="BV284" i="11"/>
  <c r="BT284" i="11"/>
  <c r="BR284" i="11"/>
  <c r="BP284" i="11"/>
  <c r="CJ284" i="11" s="1"/>
  <c r="T284" i="11"/>
  <c r="CI283" i="11"/>
  <c r="CH283" i="11"/>
  <c r="CF283" i="11"/>
  <c r="CD283" i="11"/>
  <c r="CB283" i="11"/>
  <c r="BZ283" i="11"/>
  <c r="BX283" i="11"/>
  <c r="BV283" i="11"/>
  <c r="BT283" i="11"/>
  <c r="BR283" i="11"/>
  <c r="BP283" i="11"/>
  <c r="CJ283" i="11" s="1"/>
  <c r="T283" i="11"/>
  <c r="CI282" i="11"/>
  <c r="CH282" i="11"/>
  <c r="CF282" i="11"/>
  <c r="CD282" i="11"/>
  <c r="CB282" i="11"/>
  <c r="BZ282" i="11"/>
  <c r="BX282" i="11"/>
  <c r="BV282" i="11"/>
  <c r="BT282" i="11"/>
  <c r="BR282" i="11"/>
  <c r="BP282" i="11"/>
  <c r="CJ282" i="11" s="1"/>
  <c r="T282" i="11"/>
  <c r="CI281" i="11"/>
  <c r="CH281" i="11"/>
  <c r="CF281" i="11"/>
  <c r="CD281" i="11"/>
  <c r="CB281" i="11"/>
  <c r="BZ281" i="11"/>
  <c r="BX281" i="11"/>
  <c r="BV281" i="11"/>
  <c r="CJ281" i="11" s="1"/>
  <c r="BT281" i="11"/>
  <c r="BR281" i="11"/>
  <c r="BP281" i="11"/>
  <c r="T281" i="11"/>
  <c r="CI280" i="11"/>
  <c r="CH280" i="11"/>
  <c r="CF280" i="11"/>
  <c r="CD280" i="11"/>
  <c r="CB280" i="11"/>
  <c r="BZ280" i="11"/>
  <c r="BX280" i="11"/>
  <c r="BV280" i="11"/>
  <c r="BT280" i="11"/>
  <c r="BR280" i="11"/>
  <c r="BP280" i="11"/>
  <c r="CJ280" i="11" s="1"/>
  <c r="T280" i="11"/>
  <c r="CI279" i="11"/>
  <c r="CH279" i="11"/>
  <c r="CF279" i="11"/>
  <c r="CD279" i="11"/>
  <c r="CB279" i="11"/>
  <c r="BZ279" i="11"/>
  <c r="BX279" i="11"/>
  <c r="BV279" i="11"/>
  <c r="BT279" i="11"/>
  <c r="BR279" i="11"/>
  <c r="BP279" i="11"/>
  <c r="CJ279" i="11" s="1"/>
  <c r="T279" i="11"/>
  <c r="CI278" i="11"/>
  <c r="CH278" i="11"/>
  <c r="CF278" i="11"/>
  <c r="CD278" i="11"/>
  <c r="CB278" i="11"/>
  <c r="BZ278" i="11"/>
  <c r="BX278" i="11"/>
  <c r="BV278" i="11"/>
  <c r="BT278" i="11"/>
  <c r="BR278" i="11"/>
  <c r="BP278" i="11"/>
  <c r="CJ278" i="11" s="1"/>
  <c r="T278" i="11"/>
  <c r="CI277" i="11"/>
  <c r="CH277" i="11"/>
  <c r="CF277" i="11"/>
  <c r="CD277" i="11"/>
  <c r="CB277" i="11"/>
  <c r="BZ277" i="11"/>
  <c r="BX277" i="11"/>
  <c r="BV277" i="11"/>
  <c r="CJ277" i="11" s="1"/>
  <c r="BT277" i="11"/>
  <c r="BR277" i="11"/>
  <c r="BP277" i="11"/>
  <c r="T277" i="11"/>
  <c r="CI276" i="11"/>
  <c r="CH276" i="11"/>
  <c r="CF276" i="11"/>
  <c r="CD276" i="11"/>
  <c r="CB276" i="11"/>
  <c r="BZ276" i="11"/>
  <c r="BX276" i="11"/>
  <c r="BV276" i="11"/>
  <c r="BT276" i="11"/>
  <c r="BR276" i="11"/>
  <c r="BP276" i="11"/>
  <c r="CJ276" i="11" s="1"/>
  <c r="T276" i="11"/>
  <c r="CI275" i="11"/>
  <c r="CH275" i="11"/>
  <c r="CF275" i="11"/>
  <c r="CD275" i="11"/>
  <c r="CB275" i="11"/>
  <c r="BZ275" i="11"/>
  <c r="BX275" i="11"/>
  <c r="BV275" i="11"/>
  <c r="BT275" i="11"/>
  <c r="BR275" i="11"/>
  <c r="BP275" i="11"/>
  <c r="CJ275" i="11" s="1"/>
  <c r="T275" i="11"/>
  <c r="CI274" i="11"/>
  <c r="CH274" i="11"/>
  <c r="CF274" i="11"/>
  <c r="CD274" i="11"/>
  <c r="CB274" i="11"/>
  <c r="BZ274" i="11"/>
  <c r="BX274" i="11"/>
  <c r="BV274" i="11"/>
  <c r="BT274" i="11"/>
  <c r="BR274" i="11"/>
  <c r="BP274" i="11"/>
  <c r="CJ274" i="11" s="1"/>
  <c r="T274" i="11"/>
  <c r="CI273" i="11"/>
  <c r="CH273" i="11"/>
  <c r="CF273" i="11"/>
  <c r="CD273" i="11"/>
  <c r="CB273" i="11"/>
  <c r="BZ273" i="11"/>
  <c r="BX273" i="11"/>
  <c r="BV273" i="11"/>
  <c r="CJ273" i="11" s="1"/>
  <c r="BT273" i="11"/>
  <c r="BR273" i="11"/>
  <c r="BP273" i="11"/>
  <c r="T273" i="11"/>
  <c r="CI272" i="11"/>
  <c r="CH272" i="11"/>
  <c r="CF272" i="11"/>
  <c r="CD272" i="11"/>
  <c r="CB272" i="11"/>
  <c r="BZ272" i="11"/>
  <c r="BX272" i="11"/>
  <c r="BV272" i="11"/>
  <c r="BT272" i="11"/>
  <c r="BR272" i="11"/>
  <c r="BP272" i="11"/>
  <c r="CJ272" i="11" s="1"/>
  <c r="T272" i="11"/>
  <c r="CI271" i="11"/>
  <c r="CH271" i="11"/>
  <c r="CF271" i="11"/>
  <c r="CD271" i="11"/>
  <c r="CB271" i="11"/>
  <c r="BZ271" i="11"/>
  <c r="BX271" i="11"/>
  <c r="BV271" i="11"/>
  <c r="BT271" i="11"/>
  <c r="BR271" i="11"/>
  <c r="BP271" i="11"/>
  <c r="CJ271" i="11" s="1"/>
  <c r="T271" i="11"/>
  <c r="CI270" i="11"/>
  <c r="CH270" i="11"/>
  <c r="CF270" i="11"/>
  <c r="CD270" i="11"/>
  <c r="CB270" i="11"/>
  <c r="BZ270" i="11"/>
  <c r="BX270" i="11"/>
  <c r="BV270" i="11"/>
  <c r="BT270" i="11"/>
  <c r="BR270" i="11"/>
  <c r="BP270" i="11"/>
  <c r="CJ270" i="11" s="1"/>
  <c r="T270" i="11"/>
  <c r="CI269" i="11"/>
  <c r="CH269" i="11"/>
  <c r="CF269" i="11"/>
  <c r="CD269" i="11"/>
  <c r="CB269" i="11"/>
  <c r="BZ269" i="11"/>
  <c r="BX269" i="11"/>
  <c r="BV269" i="11"/>
  <c r="CJ269" i="11" s="1"/>
  <c r="BT269" i="11"/>
  <c r="BR269" i="11"/>
  <c r="BP269" i="11"/>
  <c r="T269" i="11"/>
  <c r="CI268" i="11"/>
  <c r="CH268" i="11"/>
  <c r="CF268" i="11"/>
  <c r="CD268" i="11"/>
  <c r="CB268" i="11"/>
  <c r="BZ268" i="11"/>
  <c r="BX268" i="11"/>
  <c r="BV268" i="11"/>
  <c r="BT268" i="11"/>
  <c r="BR268" i="11"/>
  <c r="BP268" i="11"/>
  <c r="CJ268" i="11" s="1"/>
  <c r="T268" i="11"/>
  <c r="CI267" i="11"/>
  <c r="CH267" i="11"/>
  <c r="CF267" i="11"/>
  <c r="CD267" i="11"/>
  <c r="CB267" i="11"/>
  <c r="BZ267" i="11"/>
  <c r="BX267" i="11"/>
  <c r="BV267" i="11"/>
  <c r="BT267" i="11"/>
  <c r="BR267" i="11"/>
  <c r="BP267" i="11"/>
  <c r="CJ267" i="11" s="1"/>
  <c r="T267" i="11"/>
  <c r="CI266" i="11"/>
  <c r="CH266" i="11"/>
  <c r="CF266" i="11"/>
  <c r="CD266" i="11"/>
  <c r="CB266" i="11"/>
  <c r="BZ266" i="11"/>
  <c r="BX266" i="11"/>
  <c r="BV266" i="11"/>
  <c r="BT266" i="11"/>
  <c r="BR266" i="11"/>
  <c r="BP266" i="11"/>
  <c r="CJ266" i="11" s="1"/>
  <c r="T266" i="11"/>
  <c r="CI265" i="11"/>
  <c r="CH265" i="11"/>
  <c r="CF265" i="11"/>
  <c r="CD265" i="11"/>
  <c r="CB265" i="11"/>
  <c r="BZ265" i="11"/>
  <c r="BX265" i="11"/>
  <c r="BV265" i="11"/>
  <c r="CJ265" i="11" s="1"/>
  <c r="BT265" i="11"/>
  <c r="BR265" i="11"/>
  <c r="BP265" i="11"/>
  <c r="T265" i="11"/>
  <c r="CI264" i="11"/>
  <c r="CH264" i="11"/>
  <c r="CF264" i="11"/>
  <c r="CD264" i="11"/>
  <c r="CB264" i="11"/>
  <c r="BZ264" i="11"/>
  <c r="BX264" i="11"/>
  <c r="BV264" i="11"/>
  <c r="BT264" i="11"/>
  <c r="BR264" i="11"/>
  <c r="BP264" i="11"/>
  <c r="CJ264" i="11" s="1"/>
  <c r="T264" i="11"/>
  <c r="CI263" i="11"/>
  <c r="CH263" i="11"/>
  <c r="CF263" i="11"/>
  <c r="CD263" i="11"/>
  <c r="CB263" i="11"/>
  <c r="BZ263" i="11"/>
  <c r="BX263" i="11"/>
  <c r="BV263" i="11"/>
  <c r="BT263" i="11"/>
  <c r="BR263" i="11"/>
  <c r="BP263" i="11"/>
  <c r="CJ263" i="11" s="1"/>
  <c r="T263" i="11"/>
  <c r="CI262" i="11"/>
  <c r="CH262" i="11"/>
  <c r="CF262" i="11"/>
  <c r="CD262" i="11"/>
  <c r="CB262" i="11"/>
  <c r="BZ262" i="11"/>
  <c r="BX262" i="11"/>
  <c r="BV262" i="11"/>
  <c r="BT262" i="11"/>
  <c r="BR262" i="11"/>
  <c r="BP262" i="11"/>
  <c r="CJ262" i="11" s="1"/>
  <c r="T262" i="11"/>
  <c r="CI261" i="11"/>
  <c r="CH261" i="11"/>
  <c r="CF261" i="11"/>
  <c r="CD261" i="11"/>
  <c r="CB261" i="11"/>
  <c r="BZ261" i="11"/>
  <c r="BX261" i="11"/>
  <c r="BV261" i="11"/>
  <c r="CJ261" i="11" s="1"/>
  <c r="BT261" i="11"/>
  <c r="BR261" i="11"/>
  <c r="BP261" i="11"/>
  <c r="T261" i="11"/>
  <c r="CI260" i="11"/>
  <c r="CH260" i="11"/>
  <c r="CF260" i="11"/>
  <c r="CD260" i="11"/>
  <c r="CB260" i="11"/>
  <c r="BZ260" i="11"/>
  <c r="BX260" i="11"/>
  <c r="BV260" i="11"/>
  <c r="BT260" i="11"/>
  <c r="BR260" i="11"/>
  <c r="BP260" i="11"/>
  <c r="CJ260" i="11" s="1"/>
  <c r="T260" i="11"/>
  <c r="CI259" i="11"/>
  <c r="CH259" i="11"/>
  <c r="CF259" i="11"/>
  <c r="CD259" i="11"/>
  <c r="CB259" i="11"/>
  <c r="BZ259" i="11"/>
  <c r="BX259" i="11"/>
  <c r="BV259" i="11"/>
  <c r="BT259" i="11"/>
  <c r="BR259" i="11"/>
  <c r="CJ259" i="11" s="1"/>
  <c r="BP259" i="11"/>
  <c r="T259" i="11"/>
  <c r="CI258" i="11"/>
  <c r="CH258" i="11"/>
  <c r="CF258" i="11"/>
  <c r="CD258" i="11"/>
  <c r="CB258" i="11"/>
  <c r="BZ258" i="11"/>
  <c r="BX258" i="11"/>
  <c r="BV258" i="11"/>
  <c r="BT258" i="11"/>
  <c r="BR258" i="11"/>
  <c r="BP258" i="11"/>
  <c r="CJ258" i="11" s="1"/>
  <c r="T258" i="11"/>
  <c r="CI257" i="11"/>
  <c r="CH257" i="11"/>
  <c r="CF257" i="11"/>
  <c r="CD257" i="11"/>
  <c r="CB257" i="11"/>
  <c r="BZ257" i="11"/>
  <c r="BX257" i="11"/>
  <c r="BV257" i="11"/>
  <c r="CJ257" i="11" s="1"/>
  <c r="BT257" i="11"/>
  <c r="BR257" i="11"/>
  <c r="BP257" i="11"/>
  <c r="T257" i="11"/>
  <c r="CI256" i="11"/>
  <c r="CH256" i="11"/>
  <c r="CF256" i="11"/>
  <c r="CD256" i="11"/>
  <c r="CB256" i="11"/>
  <c r="BZ256" i="11"/>
  <c r="BX256" i="11"/>
  <c r="BV256" i="11"/>
  <c r="BT256" i="11"/>
  <c r="BR256" i="11"/>
  <c r="BP256" i="11"/>
  <c r="CJ256" i="11" s="1"/>
  <c r="T256" i="11"/>
  <c r="CI255" i="11"/>
  <c r="CH255" i="11"/>
  <c r="CF255" i="11"/>
  <c r="CD255" i="11"/>
  <c r="CB255" i="11"/>
  <c r="BZ255" i="11"/>
  <c r="BX255" i="11"/>
  <c r="BV255" i="11"/>
  <c r="BT255" i="11"/>
  <c r="BR255" i="11"/>
  <c r="CJ255" i="11" s="1"/>
  <c r="BP255" i="11"/>
  <c r="T255" i="11"/>
  <c r="CI254" i="11"/>
  <c r="CH254" i="11"/>
  <c r="CF254" i="11"/>
  <c r="CD254" i="11"/>
  <c r="CB254" i="11"/>
  <c r="BZ254" i="11"/>
  <c r="BX254" i="11"/>
  <c r="BV254" i="11"/>
  <c r="BT254" i="11"/>
  <c r="BR254" i="11"/>
  <c r="BP254" i="11"/>
  <c r="CJ254" i="11" s="1"/>
  <c r="T254" i="11"/>
  <c r="CI253" i="11"/>
  <c r="CH253" i="11"/>
  <c r="CF253" i="11"/>
  <c r="CD253" i="11"/>
  <c r="CB253" i="11"/>
  <c r="BZ253" i="11"/>
  <c r="BX253" i="11"/>
  <c r="BV253" i="11"/>
  <c r="CJ253" i="11" s="1"/>
  <c r="BT253" i="11"/>
  <c r="BR253" i="11"/>
  <c r="BP253" i="11"/>
  <c r="T253" i="11"/>
  <c r="CI252" i="11"/>
  <c r="CH252" i="11"/>
  <c r="CF252" i="11"/>
  <c r="CD252" i="11"/>
  <c r="CB252" i="11"/>
  <c r="BZ252" i="11"/>
  <c r="BX252" i="11"/>
  <c r="BV252" i="11"/>
  <c r="BT252" i="11"/>
  <c r="BR252" i="11"/>
  <c r="BP252" i="11"/>
  <c r="CJ252" i="11" s="1"/>
  <c r="T252" i="11"/>
  <c r="CI251" i="11"/>
  <c r="CH251" i="11"/>
  <c r="CF251" i="11"/>
  <c r="CD251" i="11"/>
  <c r="CB251" i="11"/>
  <c r="BZ251" i="11"/>
  <c r="BX251" i="11"/>
  <c r="BV251" i="11"/>
  <c r="BT251" i="11"/>
  <c r="BR251" i="11"/>
  <c r="CJ251" i="11" s="1"/>
  <c r="BP251" i="11"/>
  <c r="T251" i="11"/>
  <c r="CI250" i="11"/>
  <c r="CH250" i="11"/>
  <c r="CF250" i="11"/>
  <c r="CD250" i="11"/>
  <c r="CB250" i="11"/>
  <c r="BZ250" i="11"/>
  <c r="BX250" i="11"/>
  <c r="BV250" i="11"/>
  <c r="BT250" i="11"/>
  <c r="BR250" i="11"/>
  <c r="BP250" i="11"/>
  <c r="CJ250" i="11" s="1"/>
  <c r="T250" i="11"/>
  <c r="CI249" i="11"/>
  <c r="CH249" i="11"/>
  <c r="CF249" i="11"/>
  <c r="CD249" i="11"/>
  <c r="CB249" i="11"/>
  <c r="BZ249" i="11"/>
  <c r="BX249" i="11"/>
  <c r="BV249" i="11"/>
  <c r="CJ249" i="11" s="1"/>
  <c r="BT249" i="11"/>
  <c r="BR249" i="11"/>
  <c r="BP249" i="11"/>
  <c r="T249" i="11"/>
  <c r="CI248" i="11"/>
  <c r="CH248" i="11"/>
  <c r="CF248" i="11"/>
  <c r="CD248" i="11"/>
  <c r="CB248" i="11"/>
  <c r="BZ248" i="11"/>
  <c r="BX248" i="11"/>
  <c r="BV248" i="11"/>
  <c r="BT248" i="11"/>
  <c r="BR248" i="11"/>
  <c r="BP248" i="11"/>
  <c r="CJ248" i="11" s="1"/>
  <c r="T248" i="11"/>
  <c r="CI247" i="11"/>
  <c r="CH247" i="11"/>
  <c r="CF247" i="11"/>
  <c r="CD247" i="11"/>
  <c r="CB247" i="11"/>
  <c r="BZ247" i="11"/>
  <c r="BX247" i="11"/>
  <c r="BV247" i="11"/>
  <c r="BT247" i="11"/>
  <c r="BR247" i="11"/>
  <c r="CJ247" i="11" s="1"/>
  <c r="BP247" i="11"/>
  <c r="T247" i="11"/>
  <c r="CI246" i="11"/>
  <c r="CH246" i="11"/>
  <c r="CF246" i="11"/>
  <c r="CD246" i="11"/>
  <c r="CB246" i="11"/>
  <c r="BZ246" i="11"/>
  <c r="BX246" i="11"/>
  <c r="BV246" i="11"/>
  <c r="BT246" i="11"/>
  <c r="BR246" i="11"/>
  <c r="BP246" i="11"/>
  <c r="CJ246" i="11" s="1"/>
  <c r="T246" i="11"/>
  <c r="CI245" i="11"/>
  <c r="CH245" i="11"/>
  <c r="CF245" i="11"/>
  <c r="CD245" i="11"/>
  <c r="CB245" i="11"/>
  <c r="BZ245" i="11"/>
  <c r="BX245" i="11"/>
  <c r="BV245" i="11"/>
  <c r="CJ245" i="11" s="1"/>
  <c r="BT245" i="11"/>
  <c r="BR245" i="11"/>
  <c r="BP245" i="11"/>
  <c r="T245" i="11"/>
  <c r="CI244" i="11"/>
  <c r="CH244" i="11"/>
  <c r="CF244" i="11"/>
  <c r="CD244" i="11"/>
  <c r="CB244" i="11"/>
  <c r="BZ244" i="11"/>
  <c r="BX244" i="11"/>
  <c r="BV244" i="11"/>
  <c r="BT244" i="11"/>
  <c r="BR244" i="11"/>
  <c r="BP244" i="11"/>
  <c r="CJ244" i="11" s="1"/>
  <c r="T244" i="11"/>
  <c r="CI243" i="11"/>
  <c r="CH243" i="11"/>
  <c r="CF243" i="11"/>
  <c r="CD243" i="11"/>
  <c r="CB243" i="11"/>
  <c r="BZ243" i="11"/>
  <c r="BX243" i="11"/>
  <c r="BV243" i="11"/>
  <c r="BT243" i="11"/>
  <c r="BR243" i="11"/>
  <c r="CJ243" i="11" s="1"/>
  <c r="BP243" i="11"/>
  <c r="T243" i="11"/>
  <c r="CI242" i="11"/>
  <c r="CH242" i="11"/>
  <c r="CF242" i="11"/>
  <c r="CD242" i="11"/>
  <c r="CB242" i="11"/>
  <c r="BZ242" i="11"/>
  <c r="BX242" i="11"/>
  <c r="BV242" i="11"/>
  <c r="BT242" i="11"/>
  <c r="BR242" i="11"/>
  <c r="BP242" i="11"/>
  <c r="CJ242" i="11" s="1"/>
  <c r="T242" i="11"/>
  <c r="CI241" i="11"/>
  <c r="CH241" i="11"/>
  <c r="CF241" i="11"/>
  <c r="CD241" i="11"/>
  <c r="CB241" i="11"/>
  <c r="BZ241" i="11"/>
  <c r="BX241" i="11"/>
  <c r="BV241" i="11"/>
  <c r="CJ241" i="11" s="1"/>
  <c r="BT241" i="11"/>
  <c r="BR241" i="11"/>
  <c r="BP241" i="11"/>
  <c r="T241" i="11"/>
  <c r="CI240" i="11"/>
  <c r="CH240" i="11"/>
  <c r="CF240" i="11"/>
  <c r="CD240" i="11"/>
  <c r="CB240" i="11"/>
  <c r="BZ240" i="11"/>
  <c r="BX240" i="11"/>
  <c r="BV240" i="11"/>
  <c r="BT240" i="11"/>
  <c r="BR240" i="11"/>
  <c r="BP240" i="11"/>
  <c r="CJ240" i="11" s="1"/>
  <c r="T240" i="11"/>
  <c r="CI239" i="11"/>
  <c r="CH239" i="11"/>
  <c r="CF239" i="11"/>
  <c r="CD239" i="11"/>
  <c r="CB239" i="11"/>
  <c r="BZ239" i="11"/>
  <c r="BX239" i="11"/>
  <c r="BV239" i="11"/>
  <c r="BT239" i="11"/>
  <c r="BR239" i="11"/>
  <c r="CJ239" i="11" s="1"/>
  <c r="BP239" i="11"/>
  <c r="T239" i="11"/>
  <c r="CI238" i="11"/>
  <c r="CH238" i="11"/>
  <c r="CF238" i="11"/>
  <c r="CD238" i="11"/>
  <c r="CB238" i="11"/>
  <c r="BZ238" i="11"/>
  <c r="BX238" i="11"/>
  <c r="BV238" i="11"/>
  <c r="BT238" i="11"/>
  <c r="BR238" i="11"/>
  <c r="BP238" i="11"/>
  <c r="CJ238" i="11" s="1"/>
  <c r="T238" i="11"/>
  <c r="CI237" i="11"/>
  <c r="CH237" i="11"/>
  <c r="CF237" i="11"/>
  <c r="CD237" i="11"/>
  <c r="CB237" i="11"/>
  <c r="BZ237" i="11"/>
  <c r="BX237" i="11"/>
  <c r="BV237" i="11"/>
  <c r="CJ237" i="11" s="1"/>
  <c r="BT237" i="11"/>
  <c r="BR237" i="11"/>
  <c r="BP237" i="11"/>
  <c r="T237" i="11"/>
  <c r="CI236" i="11"/>
  <c r="CH236" i="11"/>
  <c r="CF236" i="11"/>
  <c r="CD236" i="11"/>
  <c r="CB236" i="11"/>
  <c r="BZ236" i="11"/>
  <c r="BX236" i="11"/>
  <c r="BV236" i="11"/>
  <c r="BT236" i="11"/>
  <c r="BR236" i="11"/>
  <c r="BP236" i="11"/>
  <c r="CJ236" i="11" s="1"/>
  <c r="T236" i="11"/>
  <c r="CI235" i="11"/>
  <c r="CH235" i="11"/>
  <c r="CF235" i="11"/>
  <c r="CD235" i="11"/>
  <c r="CB235" i="11"/>
  <c r="BZ235" i="11"/>
  <c r="BX235" i="11"/>
  <c r="BV235" i="11"/>
  <c r="BT235" i="11"/>
  <c r="BR235" i="11"/>
  <c r="CJ235" i="11" s="1"/>
  <c r="BP235" i="11"/>
  <c r="T235" i="11"/>
  <c r="CI234" i="11"/>
  <c r="CH234" i="11"/>
  <c r="CF234" i="11"/>
  <c r="CD234" i="11"/>
  <c r="CB234" i="11"/>
  <c r="BZ234" i="11"/>
  <c r="BX234" i="11"/>
  <c r="BV234" i="11"/>
  <c r="BT234" i="11"/>
  <c r="BR234" i="11"/>
  <c r="BP234" i="11"/>
  <c r="CJ234" i="11" s="1"/>
  <c r="T234" i="11"/>
  <c r="CI233" i="11"/>
  <c r="CH233" i="11"/>
  <c r="CF233" i="11"/>
  <c r="CD233" i="11"/>
  <c r="CB233" i="11"/>
  <c r="BZ233" i="11"/>
  <c r="BX233" i="11"/>
  <c r="BV233" i="11"/>
  <c r="CJ233" i="11" s="1"/>
  <c r="BT233" i="11"/>
  <c r="BR233" i="11"/>
  <c r="BP233" i="11"/>
  <c r="T233" i="11"/>
  <c r="CI232" i="11"/>
  <c r="CH232" i="11"/>
  <c r="CF232" i="11"/>
  <c r="CD232" i="11"/>
  <c r="CB232" i="11"/>
  <c r="BZ232" i="11"/>
  <c r="BX232" i="11"/>
  <c r="BV232" i="11"/>
  <c r="BT232" i="11"/>
  <c r="BR232" i="11"/>
  <c r="BP232" i="11"/>
  <c r="CJ232" i="11" s="1"/>
  <c r="T232" i="11"/>
  <c r="CI231" i="11"/>
  <c r="CH231" i="11"/>
  <c r="CF231" i="11"/>
  <c r="CD231" i="11"/>
  <c r="CB231" i="11"/>
  <c r="BZ231" i="11"/>
  <c r="BX231" i="11"/>
  <c r="BV231" i="11"/>
  <c r="BT231" i="11"/>
  <c r="BR231" i="11"/>
  <c r="CJ231" i="11" s="1"/>
  <c r="BP231" i="11"/>
  <c r="T231" i="11"/>
  <c r="CI230" i="11"/>
  <c r="CH230" i="11"/>
  <c r="CF230" i="11"/>
  <c r="CD230" i="11"/>
  <c r="CB230" i="11"/>
  <c r="BZ230" i="11"/>
  <c r="BX230" i="11"/>
  <c r="BV230" i="11"/>
  <c r="BT230" i="11"/>
  <c r="BR230" i="11"/>
  <c r="BP230" i="11"/>
  <c r="CJ230" i="11" s="1"/>
  <c r="T230" i="11"/>
  <c r="CI229" i="11"/>
  <c r="CH229" i="11"/>
  <c r="CF229" i="11"/>
  <c r="CD229" i="11"/>
  <c r="CB229" i="11"/>
  <c r="BZ229" i="11"/>
  <c r="BX229" i="11"/>
  <c r="BV229" i="11"/>
  <c r="CJ229" i="11" s="1"/>
  <c r="BT229" i="11"/>
  <c r="BR229" i="11"/>
  <c r="BP229" i="11"/>
  <c r="T229" i="11"/>
  <c r="CI228" i="11"/>
  <c r="CH228" i="11"/>
  <c r="CF228" i="11"/>
  <c r="CD228" i="11"/>
  <c r="CB228" i="11"/>
  <c r="BZ228" i="11"/>
  <c r="BX228" i="11"/>
  <c r="BV228" i="11"/>
  <c r="BT228" i="11"/>
  <c r="BR228" i="11"/>
  <c r="BP228" i="11"/>
  <c r="CJ228" i="11" s="1"/>
  <c r="T228" i="11"/>
  <c r="CI227" i="11"/>
  <c r="CH227" i="11"/>
  <c r="CF227" i="11"/>
  <c r="CD227" i="11"/>
  <c r="CB227" i="11"/>
  <c r="BZ227" i="11"/>
  <c r="BX227" i="11"/>
  <c r="BV227" i="11"/>
  <c r="BT227" i="11"/>
  <c r="BR227" i="11"/>
  <c r="CJ227" i="11" s="1"/>
  <c r="BP227" i="11"/>
  <c r="T227" i="11"/>
  <c r="CI226" i="11"/>
  <c r="CH226" i="11"/>
  <c r="CF226" i="11"/>
  <c r="CD226" i="11"/>
  <c r="CB226" i="11"/>
  <c r="BZ226" i="11"/>
  <c r="BX226" i="11"/>
  <c r="BV226" i="11"/>
  <c r="BT226" i="11"/>
  <c r="BR226" i="11"/>
  <c r="BP226" i="11"/>
  <c r="CJ226" i="11" s="1"/>
  <c r="T226" i="11"/>
  <c r="CI225" i="11"/>
  <c r="CH225" i="11"/>
  <c r="CF225" i="11"/>
  <c r="CD225" i="11"/>
  <c r="CB225" i="11"/>
  <c r="BZ225" i="11"/>
  <c r="BX225" i="11"/>
  <c r="BV225" i="11"/>
  <c r="CJ225" i="11" s="1"/>
  <c r="BT225" i="11"/>
  <c r="BR225" i="11"/>
  <c r="BP225" i="11"/>
  <c r="T225" i="11"/>
  <c r="CI224" i="11"/>
  <c r="CH224" i="11"/>
  <c r="CF224" i="11"/>
  <c r="CD224" i="11"/>
  <c r="CB224" i="11"/>
  <c r="BZ224" i="11"/>
  <c r="BX224" i="11"/>
  <c r="BV224" i="11"/>
  <c r="BT224" i="11"/>
  <c r="BR224" i="11"/>
  <c r="BP224" i="11"/>
  <c r="CJ224" i="11" s="1"/>
  <c r="T224" i="11"/>
  <c r="CI223" i="11"/>
  <c r="CH223" i="11"/>
  <c r="CF223" i="11"/>
  <c r="CD223" i="11"/>
  <c r="CB223" i="11"/>
  <c r="BZ223" i="11"/>
  <c r="BX223" i="11"/>
  <c r="BV223" i="11"/>
  <c r="BT223" i="11"/>
  <c r="BR223" i="11"/>
  <c r="CJ223" i="11" s="1"/>
  <c r="BP223" i="11"/>
  <c r="T223" i="11"/>
  <c r="CI222" i="11"/>
  <c r="CH222" i="11"/>
  <c r="CF222" i="11"/>
  <c r="CD222" i="11"/>
  <c r="CB222" i="11"/>
  <c r="BZ222" i="11"/>
  <c r="BX222" i="11"/>
  <c r="BV222" i="11"/>
  <c r="BT222" i="11"/>
  <c r="BR222" i="11"/>
  <c r="BP222" i="11"/>
  <c r="CJ222" i="11" s="1"/>
  <c r="T222" i="11"/>
  <c r="CI221" i="11"/>
  <c r="CH221" i="11"/>
  <c r="CF221" i="11"/>
  <c r="CD221" i="11"/>
  <c r="CB221" i="11"/>
  <c r="BZ221" i="11"/>
  <c r="BX221" i="11"/>
  <c r="BV221" i="11"/>
  <c r="CJ221" i="11" s="1"/>
  <c r="BT221" i="11"/>
  <c r="BR221" i="11"/>
  <c r="BP221" i="11"/>
  <c r="T221" i="11"/>
  <c r="CI220" i="11"/>
  <c r="CH220" i="11"/>
  <c r="CF220" i="11"/>
  <c r="CD220" i="11"/>
  <c r="CB220" i="11"/>
  <c r="BZ220" i="11"/>
  <c r="BX220" i="11"/>
  <c r="BV220" i="11"/>
  <c r="BT220" i="11"/>
  <c r="BR220" i="11"/>
  <c r="BP220" i="11"/>
  <c r="CJ220" i="11" s="1"/>
  <c r="T220" i="11"/>
  <c r="CI219" i="11"/>
  <c r="CH219" i="11"/>
  <c r="CF219" i="11"/>
  <c r="CD219" i="11"/>
  <c r="CB219" i="11"/>
  <c r="BZ219" i="11"/>
  <c r="BX219" i="11"/>
  <c r="BV219" i="11"/>
  <c r="BT219" i="11"/>
  <c r="BR219" i="11"/>
  <c r="CJ219" i="11" s="1"/>
  <c r="BP219" i="11"/>
  <c r="T219" i="11"/>
  <c r="CI218" i="11"/>
  <c r="CH218" i="11"/>
  <c r="CF218" i="11"/>
  <c r="CD218" i="11"/>
  <c r="CB218" i="11"/>
  <c r="BZ218" i="11"/>
  <c r="BX218" i="11"/>
  <c r="BV218" i="11"/>
  <c r="BT218" i="11"/>
  <c r="BR218" i="11"/>
  <c r="BP218" i="11"/>
  <c r="CJ218" i="11" s="1"/>
  <c r="T218" i="11"/>
  <c r="CI217" i="11"/>
  <c r="CH217" i="11"/>
  <c r="CF217" i="11"/>
  <c r="CD217" i="11"/>
  <c r="CB217" i="11"/>
  <c r="BZ217" i="11"/>
  <c r="BX217" i="11"/>
  <c r="BV217" i="11"/>
  <c r="CJ217" i="11" s="1"/>
  <c r="BT217" i="11"/>
  <c r="BR217" i="11"/>
  <c r="BP217" i="11"/>
  <c r="T217" i="11"/>
  <c r="CI216" i="11"/>
  <c r="CH216" i="11"/>
  <c r="CF216" i="11"/>
  <c r="CD216" i="11"/>
  <c r="CB216" i="11"/>
  <c r="BZ216" i="11"/>
  <c r="BX216" i="11"/>
  <c r="BV216" i="11"/>
  <c r="BT216" i="11"/>
  <c r="BR216" i="11"/>
  <c r="BP216" i="11"/>
  <c r="CJ216" i="11" s="1"/>
  <c r="T216" i="11"/>
  <c r="CI215" i="11"/>
  <c r="CH215" i="11"/>
  <c r="CF215" i="11"/>
  <c r="CD215" i="11"/>
  <c r="CB215" i="11"/>
  <c r="BZ215" i="11"/>
  <c r="BX215" i="11"/>
  <c r="BV215" i="11"/>
  <c r="BT215" i="11"/>
  <c r="BR215" i="11"/>
  <c r="CJ215" i="11" s="1"/>
  <c r="BP215" i="11"/>
  <c r="T215" i="11"/>
  <c r="CI214" i="11"/>
  <c r="CH214" i="11"/>
  <c r="CF214" i="11"/>
  <c r="CD214" i="11"/>
  <c r="CB214" i="11"/>
  <c r="BZ214" i="11"/>
  <c r="BX214" i="11"/>
  <c r="BV214" i="11"/>
  <c r="BT214" i="11"/>
  <c r="BR214" i="11"/>
  <c r="BP214" i="11"/>
  <c r="CJ214" i="11" s="1"/>
  <c r="T214" i="11"/>
  <c r="CI213" i="11"/>
  <c r="CH213" i="11"/>
  <c r="CF213" i="11"/>
  <c r="CD213" i="11"/>
  <c r="CB213" i="11"/>
  <c r="BZ213" i="11"/>
  <c r="BX213" i="11"/>
  <c r="BV213" i="11"/>
  <c r="CJ213" i="11" s="1"/>
  <c r="BT213" i="11"/>
  <c r="BR213" i="11"/>
  <c r="BP213" i="11"/>
  <c r="T213" i="11"/>
  <c r="CI212" i="11"/>
  <c r="CH212" i="11"/>
  <c r="CF212" i="11"/>
  <c r="CD212" i="11"/>
  <c r="CB212" i="11"/>
  <c r="BZ212" i="11"/>
  <c r="BX212" i="11"/>
  <c r="BV212" i="11"/>
  <c r="BT212" i="11"/>
  <c r="BR212" i="11"/>
  <c r="BP212" i="11"/>
  <c r="CJ212" i="11" s="1"/>
  <c r="T212" i="11"/>
  <c r="CI211" i="11"/>
  <c r="CH211" i="11"/>
  <c r="CF211" i="11"/>
  <c r="CD211" i="11"/>
  <c r="CB211" i="11"/>
  <c r="BZ211" i="11"/>
  <c r="BX211" i="11"/>
  <c r="BV211" i="11"/>
  <c r="BT211" i="11"/>
  <c r="BR211" i="11"/>
  <c r="BP211" i="11"/>
  <c r="CJ211" i="11" s="1"/>
  <c r="T211" i="11"/>
  <c r="CI210" i="11"/>
  <c r="CH210" i="11"/>
  <c r="CF210" i="11"/>
  <c r="CD210" i="11"/>
  <c r="CB210" i="11"/>
  <c r="BZ210" i="11"/>
  <c r="BX210" i="11"/>
  <c r="BV210" i="11"/>
  <c r="BT210" i="11"/>
  <c r="BR210" i="11"/>
  <c r="BP210" i="11"/>
  <c r="CJ210" i="11" s="1"/>
  <c r="T210" i="11"/>
  <c r="CI209" i="11"/>
  <c r="CH209" i="11"/>
  <c r="CF209" i="11"/>
  <c r="CD209" i="11"/>
  <c r="CB209" i="11"/>
  <c r="BZ209" i="11"/>
  <c r="BX209" i="11"/>
  <c r="BV209" i="11"/>
  <c r="CJ209" i="11" s="1"/>
  <c r="BT209" i="11"/>
  <c r="BR209" i="11"/>
  <c r="BP209" i="11"/>
  <c r="T209" i="11"/>
  <c r="CI208" i="11"/>
  <c r="CH208" i="11"/>
  <c r="CF208" i="11"/>
  <c r="CD208" i="11"/>
  <c r="CB208" i="11"/>
  <c r="BZ208" i="11"/>
  <c r="BX208" i="11"/>
  <c r="BV208" i="11"/>
  <c r="BT208" i="11"/>
  <c r="BR208" i="11"/>
  <c r="BP208" i="11"/>
  <c r="CJ208" i="11" s="1"/>
  <c r="T208" i="11"/>
  <c r="CI207" i="11"/>
  <c r="CH207" i="11"/>
  <c r="CF207" i="11"/>
  <c r="CD207" i="11"/>
  <c r="CB207" i="11"/>
  <c r="BZ207" i="11"/>
  <c r="BX207" i="11"/>
  <c r="BV207" i="11"/>
  <c r="BT207" i="11"/>
  <c r="BR207" i="11"/>
  <c r="BP207" i="11"/>
  <c r="CJ207" i="11" s="1"/>
  <c r="T207" i="11"/>
  <c r="CI206" i="11"/>
  <c r="CH206" i="11"/>
  <c r="CF206" i="11"/>
  <c r="CD206" i="11"/>
  <c r="CB206" i="11"/>
  <c r="BZ206" i="11"/>
  <c r="BX206" i="11"/>
  <c r="BV206" i="11"/>
  <c r="BT206" i="11"/>
  <c r="BR206" i="11"/>
  <c r="BP206" i="11"/>
  <c r="CJ206" i="11" s="1"/>
  <c r="T206" i="11"/>
  <c r="CI205" i="11"/>
  <c r="CH205" i="11"/>
  <c r="CF205" i="11"/>
  <c r="CD205" i="11"/>
  <c r="CB205" i="11"/>
  <c r="BZ205" i="11"/>
  <c r="BX205" i="11"/>
  <c r="BV205" i="11"/>
  <c r="CJ205" i="11" s="1"/>
  <c r="BT205" i="11"/>
  <c r="BR205" i="11"/>
  <c r="BP205" i="11"/>
  <c r="T205" i="11"/>
  <c r="CI204" i="11"/>
  <c r="CH204" i="11"/>
  <c r="CF204" i="11"/>
  <c r="CD204" i="11"/>
  <c r="CB204" i="11"/>
  <c r="BZ204" i="11"/>
  <c r="BX204" i="11"/>
  <c r="BV204" i="11"/>
  <c r="BT204" i="11"/>
  <c r="BR204" i="11"/>
  <c r="BP204" i="11"/>
  <c r="CJ204" i="11" s="1"/>
  <c r="T204" i="11"/>
  <c r="CI203" i="11"/>
  <c r="CH203" i="11"/>
  <c r="CF203" i="11"/>
  <c r="CD203" i="11"/>
  <c r="CB203" i="11"/>
  <c r="BZ203" i="11"/>
  <c r="BX203" i="11"/>
  <c r="BV203" i="11"/>
  <c r="BT203" i="11"/>
  <c r="BR203" i="11"/>
  <c r="BP203" i="11"/>
  <c r="CJ203" i="11" s="1"/>
  <c r="T203" i="11"/>
  <c r="CI202" i="11"/>
  <c r="CH202" i="11"/>
  <c r="CF202" i="11"/>
  <c r="CD202" i="11"/>
  <c r="CB202" i="11"/>
  <c r="BZ202" i="11"/>
  <c r="BX202" i="11"/>
  <c r="BV202" i="11"/>
  <c r="BT202" i="11"/>
  <c r="BR202" i="11"/>
  <c r="BP202" i="11"/>
  <c r="CJ202" i="11" s="1"/>
  <c r="T202" i="11"/>
  <c r="CI201" i="11"/>
  <c r="CH201" i="11"/>
  <c r="CF201" i="11"/>
  <c r="CD201" i="11"/>
  <c r="CB201" i="11"/>
  <c r="BZ201" i="11"/>
  <c r="BX201" i="11"/>
  <c r="BV201" i="11"/>
  <c r="CJ201" i="11" s="1"/>
  <c r="BT201" i="11"/>
  <c r="BR201" i="11"/>
  <c r="BP201" i="11"/>
  <c r="T201" i="11"/>
  <c r="CI200" i="11"/>
  <c r="CH200" i="11"/>
  <c r="CF200" i="11"/>
  <c r="CD200" i="11"/>
  <c r="CB200" i="11"/>
  <c r="BZ200" i="11"/>
  <c r="BX200" i="11"/>
  <c r="BV200" i="11"/>
  <c r="BT200" i="11"/>
  <c r="BR200" i="11"/>
  <c r="BP200" i="11"/>
  <c r="CJ200" i="11" s="1"/>
  <c r="T200" i="11"/>
  <c r="CI199" i="11"/>
  <c r="CH199" i="11"/>
  <c r="CF199" i="11"/>
  <c r="CD199" i="11"/>
  <c r="CB199" i="11"/>
  <c r="BZ199" i="11"/>
  <c r="BX199" i="11"/>
  <c r="BV199" i="11"/>
  <c r="BT199" i="11"/>
  <c r="BR199" i="11"/>
  <c r="BP199" i="11"/>
  <c r="CJ199" i="11" s="1"/>
  <c r="T199" i="11"/>
  <c r="CI198" i="11"/>
  <c r="CH198" i="11"/>
  <c r="CF198" i="11"/>
  <c r="CD198" i="11"/>
  <c r="CB198" i="11"/>
  <c r="BZ198" i="11"/>
  <c r="BX198" i="11"/>
  <c r="BV198" i="11"/>
  <c r="BT198" i="11"/>
  <c r="BR198" i="11"/>
  <c r="BP198" i="11"/>
  <c r="CJ198" i="11" s="1"/>
  <c r="T198" i="11"/>
  <c r="CI197" i="11"/>
  <c r="CH197" i="11"/>
  <c r="CF197" i="11"/>
  <c r="CD197" i="11"/>
  <c r="CB197" i="11"/>
  <c r="BZ197" i="11"/>
  <c r="BX197" i="11"/>
  <c r="BV197" i="11"/>
  <c r="CJ197" i="11" s="1"/>
  <c r="BT197" i="11"/>
  <c r="BR197" i="11"/>
  <c r="BP197" i="11"/>
  <c r="T197" i="11"/>
  <c r="CI196" i="11"/>
  <c r="CH196" i="11"/>
  <c r="CF196" i="11"/>
  <c r="CD196" i="11"/>
  <c r="CB196" i="11"/>
  <c r="BZ196" i="11"/>
  <c r="BX196" i="11"/>
  <c r="BV196" i="11"/>
  <c r="BT196" i="11"/>
  <c r="BR196" i="11"/>
  <c r="BP196" i="11"/>
  <c r="CJ196" i="11" s="1"/>
  <c r="T196" i="11"/>
  <c r="CI195" i="11"/>
  <c r="CH195" i="11"/>
  <c r="CF195" i="11"/>
  <c r="CD195" i="11"/>
  <c r="CB195" i="11"/>
  <c r="BZ195" i="11"/>
  <c r="BX195" i="11"/>
  <c r="BV195" i="11"/>
  <c r="BT195" i="11"/>
  <c r="BR195" i="11"/>
  <c r="CJ195" i="11" s="1"/>
  <c r="BP195" i="11"/>
  <c r="T195" i="11"/>
  <c r="CI194" i="11"/>
  <c r="CH194" i="11"/>
  <c r="CF194" i="11"/>
  <c r="CD194" i="11"/>
  <c r="CB194" i="11"/>
  <c r="BZ194" i="11"/>
  <c r="BX194" i="11"/>
  <c r="BV194" i="11"/>
  <c r="BT194" i="11"/>
  <c r="BR194" i="11"/>
  <c r="BP194" i="11"/>
  <c r="CJ194" i="11" s="1"/>
  <c r="T194" i="11"/>
  <c r="CI193" i="11"/>
  <c r="CH193" i="11"/>
  <c r="CF193" i="11"/>
  <c r="CD193" i="11"/>
  <c r="CB193" i="11"/>
  <c r="BZ193" i="11"/>
  <c r="BX193" i="11"/>
  <c r="BV193" i="11"/>
  <c r="CJ193" i="11" s="1"/>
  <c r="BT193" i="11"/>
  <c r="BR193" i="11"/>
  <c r="BP193" i="11"/>
  <c r="T193" i="11"/>
  <c r="CI192" i="11"/>
  <c r="CH192" i="11"/>
  <c r="CF192" i="11"/>
  <c r="CD192" i="11"/>
  <c r="CB192" i="11"/>
  <c r="BZ192" i="11"/>
  <c r="BX192" i="11"/>
  <c r="BV192" i="11"/>
  <c r="BT192" i="11"/>
  <c r="BR192" i="11"/>
  <c r="BP192" i="11"/>
  <c r="CJ192" i="11" s="1"/>
  <c r="T192" i="11"/>
  <c r="CI191" i="11"/>
  <c r="CH191" i="11"/>
  <c r="CF191" i="11"/>
  <c r="CD191" i="11"/>
  <c r="CB191" i="11"/>
  <c r="BZ191" i="11"/>
  <c r="BX191" i="11"/>
  <c r="BV191" i="11"/>
  <c r="BT191" i="11"/>
  <c r="BR191" i="11"/>
  <c r="BP191" i="11"/>
  <c r="CJ191" i="11" s="1"/>
  <c r="T191" i="11"/>
  <c r="CI190" i="11"/>
  <c r="CH190" i="11"/>
  <c r="CF190" i="11"/>
  <c r="CD190" i="11"/>
  <c r="CB190" i="11"/>
  <c r="BZ190" i="11"/>
  <c r="BX190" i="11"/>
  <c r="BV190" i="11"/>
  <c r="BT190" i="11"/>
  <c r="BR190" i="11"/>
  <c r="BP190" i="11"/>
  <c r="CJ190" i="11" s="1"/>
  <c r="T190" i="11"/>
  <c r="CI189" i="11"/>
  <c r="CH189" i="11"/>
  <c r="CF189" i="11"/>
  <c r="CD189" i="11"/>
  <c r="CB189" i="11"/>
  <c r="BZ189" i="11"/>
  <c r="BX189" i="11"/>
  <c r="BV189" i="11"/>
  <c r="CJ189" i="11" s="1"/>
  <c r="BT189" i="11"/>
  <c r="BR189" i="11"/>
  <c r="BP189" i="11"/>
  <c r="T189" i="11"/>
  <c r="CI188" i="11"/>
  <c r="CH188" i="11"/>
  <c r="CF188" i="11"/>
  <c r="CD188" i="11"/>
  <c r="CB188" i="11"/>
  <c r="BZ188" i="11"/>
  <c r="BX188" i="11"/>
  <c r="BV188" i="11"/>
  <c r="BT188" i="11"/>
  <c r="BR188" i="11"/>
  <c r="BP188" i="11"/>
  <c r="CJ188" i="11" s="1"/>
  <c r="T188" i="11"/>
  <c r="CI187" i="11"/>
  <c r="CH187" i="11"/>
  <c r="CF187" i="11"/>
  <c r="CD187" i="11"/>
  <c r="CB187" i="11"/>
  <c r="BZ187" i="11"/>
  <c r="BX187" i="11"/>
  <c r="BV187" i="11"/>
  <c r="BT187" i="11"/>
  <c r="BR187" i="11"/>
  <c r="BP187" i="11"/>
  <c r="CJ187" i="11" s="1"/>
  <c r="T187" i="11"/>
  <c r="CI186" i="11"/>
  <c r="CH186" i="11"/>
  <c r="CF186" i="11"/>
  <c r="CD186" i="11"/>
  <c r="CB186" i="11"/>
  <c r="BZ186" i="11"/>
  <c r="BX186" i="11"/>
  <c r="BV186" i="11"/>
  <c r="BT186" i="11"/>
  <c r="BR186" i="11"/>
  <c r="BP186" i="11"/>
  <c r="CJ186" i="11" s="1"/>
  <c r="T186" i="11"/>
  <c r="CI185" i="11"/>
  <c r="CH185" i="11"/>
  <c r="CF185" i="11"/>
  <c r="CD185" i="11"/>
  <c r="CB185" i="11"/>
  <c r="BZ185" i="11"/>
  <c r="BX185" i="11"/>
  <c r="BV185" i="11"/>
  <c r="CJ185" i="11" s="1"/>
  <c r="BT185" i="11"/>
  <c r="BR185" i="11"/>
  <c r="BP185" i="11"/>
  <c r="T185" i="11"/>
  <c r="CI184" i="11"/>
  <c r="CH184" i="11"/>
  <c r="CF184" i="11"/>
  <c r="CD184" i="11"/>
  <c r="CB184" i="11"/>
  <c r="BZ184" i="11"/>
  <c r="BX184" i="11"/>
  <c r="BV184" i="11"/>
  <c r="BT184" i="11"/>
  <c r="BR184" i="11"/>
  <c r="BP184" i="11"/>
  <c r="CJ184" i="11" s="1"/>
  <c r="T184" i="11"/>
  <c r="CI183" i="11"/>
  <c r="CH183" i="11"/>
  <c r="CF183" i="11"/>
  <c r="CD183" i="11"/>
  <c r="CB183" i="11"/>
  <c r="BZ183" i="11"/>
  <c r="BX183" i="11"/>
  <c r="BV183" i="11"/>
  <c r="BT183" i="11"/>
  <c r="BR183" i="11"/>
  <c r="BP183" i="11"/>
  <c r="T183" i="11"/>
  <c r="CI182" i="11"/>
  <c r="CH182" i="11"/>
  <c r="CF182" i="11"/>
  <c r="CD182" i="11"/>
  <c r="CB182" i="11"/>
  <c r="BZ182" i="11"/>
  <c r="BX182" i="11"/>
  <c r="BV182" i="11"/>
  <c r="BT182" i="11"/>
  <c r="BR182" i="11"/>
  <c r="BP182" i="11"/>
  <c r="CJ182" i="11" s="1"/>
  <c r="T182" i="11"/>
  <c r="CI181" i="11"/>
  <c r="CH181" i="11"/>
  <c r="CF181" i="11"/>
  <c r="CD181" i="11"/>
  <c r="CB181" i="11"/>
  <c r="BZ181" i="11"/>
  <c r="BX181" i="11"/>
  <c r="BV181" i="11"/>
  <c r="CJ181" i="11" s="1"/>
  <c r="BT181" i="11"/>
  <c r="BR181" i="11"/>
  <c r="BP181" i="11"/>
  <c r="T181" i="11"/>
  <c r="CI180" i="11"/>
  <c r="CH180" i="11"/>
  <c r="CF180" i="11"/>
  <c r="CD180" i="11"/>
  <c r="CB180" i="11"/>
  <c r="BZ180" i="11"/>
  <c r="BX180" i="11"/>
  <c r="BV180" i="11"/>
  <c r="BT180" i="11"/>
  <c r="BR180" i="11"/>
  <c r="BP180" i="11"/>
  <c r="CJ180" i="11" s="1"/>
  <c r="T180" i="11"/>
  <c r="CI179" i="11"/>
  <c r="CH179" i="11"/>
  <c r="CF179" i="11"/>
  <c r="CD179" i="11"/>
  <c r="CB179" i="11"/>
  <c r="BZ179" i="11"/>
  <c r="BX179" i="11"/>
  <c r="BV179" i="11"/>
  <c r="BT179" i="11"/>
  <c r="BR179" i="11"/>
  <c r="BP179" i="11"/>
  <c r="CJ179" i="11" s="1"/>
  <c r="T179" i="11"/>
  <c r="CI178" i="11"/>
  <c r="CH178" i="11"/>
  <c r="CF178" i="11"/>
  <c r="CD178" i="11"/>
  <c r="CB178" i="11"/>
  <c r="BZ178" i="11"/>
  <c r="BX178" i="11"/>
  <c r="BV178" i="11"/>
  <c r="BT178" i="11"/>
  <c r="BR178" i="11"/>
  <c r="BP178" i="11"/>
  <c r="T178" i="11"/>
  <c r="CI177" i="11"/>
  <c r="CH177" i="11"/>
  <c r="CF177" i="11"/>
  <c r="CD177" i="11"/>
  <c r="CB177" i="11"/>
  <c r="BZ177" i="11"/>
  <c r="BX177" i="11"/>
  <c r="BV177" i="11"/>
  <c r="CJ177" i="11" s="1"/>
  <c r="BT177" i="11"/>
  <c r="BR177" i="11"/>
  <c r="BP177" i="11"/>
  <c r="T177" i="11"/>
  <c r="CI176" i="11"/>
  <c r="CH176" i="11"/>
  <c r="CF176" i="11"/>
  <c r="CD176" i="11"/>
  <c r="CB176" i="11"/>
  <c r="BZ176" i="11"/>
  <c r="BX176" i="11"/>
  <c r="BV176" i="11"/>
  <c r="BT176" i="11"/>
  <c r="BR176" i="11"/>
  <c r="BP176" i="11"/>
  <c r="CJ176" i="11" s="1"/>
  <c r="T176" i="11"/>
  <c r="CI175" i="11"/>
  <c r="CH175" i="11"/>
  <c r="CF175" i="11"/>
  <c r="CD175" i="11"/>
  <c r="CB175" i="11"/>
  <c r="BZ175" i="11"/>
  <c r="BX175" i="11"/>
  <c r="BV175" i="11"/>
  <c r="BT175" i="11"/>
  <c r="BR175" i="11"/>
  <c r="BP175" i="11"/>
  <c r="T175" i="11"/>
  <c r="CI174" i="11"/>
  <c r="CH174" i="11"/>
  <c r="CF174" i="11"/>
  <c r="CD174" i="11"/>
  <c r="CB174" i="11"/>
  <c r="BZ174" i="11"/>
  <c r="BX174" i="11"/>
  <c r="BV174" i="11"/>
  <c r="BT174" i="11"/>
  <c r="BR174" i="11"/>
  <c r="BP174" i="11"/>
  <c r="T174" i="11"/>
  <c r="CI173" i="11"/>
  <c r="CH173" i="11"/>
  <c r="CF173" i="11"/>
  <c r="CD173" i="11"/>
  <c r="CB173" i="11"/>
  <c r="BZ173" i="11"/>
  <c r="BX173" i="11"/>
  <c r="BV173" i="11"/>
  <c r="CJ173" i="11" s="1"/>
  <c r="BT173" i="11"/>
  <c r="BR173" i="11"/>
  <c r="BP173" i="11"/>
  <c r="T173" i="11"/>
  <c r="CI172" i="11"/>
  <c r="CH172" i="11"/>
  <c r="CF172" i="11"/>
  <c r="CD172" i="11"/>
  <c r="CB172" i="11"/>
  <c r="BZ172" i="11"/>
  <c r="BX172" i="11"/>
  <c r="BV172" i="11"/>
  <c r="BT172" i="11"/>
  <c r="BR172" i="11"/>
  <c r="BP172" i="11"/>
  <c r="CJ172" i="11" s="1"/>
  <c r="T172" i="11"/>
  <c r="CI171" i="11"/>
  <c r="CH171" i="11"/>
  <c r="CF171" i="11"/>
  <c r="CD171" i="11"/>
  <c r="CB171" i="11"/>
  <c r="BZ171" i="11"/>
  <c r="BX171" i="11"/>
  <c r="BV171" i="11"/>
  <c r="BT171" i="11"/>
  <c r="BR171" i="11"/>
  <c r="BP171" i="11"/>
  <c r="CJ171" i="11" s="1"/>
  <c r="T171" i="11"/>
  <c r="CI170" i="11"/>
  <c r="CH170" i="11"/>
  <c r="CF170" i="11"/>
  <c r="CD170" i="11"/>
  <c r="CB170" i="11"/>
  <c r="BZ170" i="11"/>
  <c r="BX170" i="11"/>
  <c r="BV170" i="11"/>
  <c r="BT170" i="11"/>
  <c r="BR170" i="11"/>
  <c r="BP170" i="11"/>
  <c r="CJ170" i="11" s="1"/>
  <c r="T170" i="11"/>
  <c r="CI169" i="11"/>
  <c r="CH169" i="11"/>
  <c r="CF169" i="11"/>
  <c r="CD169" i="11"/>
  <c r="CB169" i="11"/>
  <c r="BZ169" i="11"/>
  <c r="BX169" i="11"/>
  <c r="BV169" i="11"/>
  <c r="CJ169" i="11" s="1"/>
  <c r="BT169" i="11"/>
  <c r="BR169" i="11"/>
  <c r="BP169" i="11"/>
  <c r="T169" i="11"/>
  <c r="CI168" i="11"/>
  <c r="CH168" i="11"/>
  <c r="CF168" i="11"/>
  <c r="CD168" i="11"/>
  <c r="CB168" i="11"/>
  <c r="BZ168" i="11"/>
  <c r="BX168" i="11"/>
  <c r="BV168" i="11"/>
  <c r="BT168" i="11"/>
  <c r="BR168" i="11"/>
  <c r="BP168" i="11"/>
  <c r="CJ168" i="11" s="1"/>
  <c r="T168" i="11"/>
  <c r="CI167" i="11"/>
  <c r="CH167" i="11"/>
  <c r="CF167" i="11"/>
  <c r="CD167" i="11"/>
  <c r="CB167" i="11"/>
  <c r="BZ167" i="11"/>
  <c r="BX167" i="11"/>
  <c r="BV167" i="11"/>
  <c r="BT167" i="11"/>
  <c r="BR167" i="11"/>
  <c r="CJ167" i="11" s="1"/>
  <c r="BP167" i="11"/>
  <c r="T167" i="11"/>
  <c r="CI166" i="11"/>
  <c r="CH166" i="11"/>
  <c r="CF166" i="11"/>
  <c r="CD166" i="11"/>
  <c r="CB166" i="11"/>
  <c r="BZ166" i="11"/>
  <c r="BX166" i="11"/>
  <c r="BV166" i="11"/>
  <c r="BT166" i="11"/>
  <c r="BR166" i="11"/>
  <c r="BP166" i="11"/>
  <c r="CJ166" i="11" s="1"/>
  <c r="T166" i="11"/>
  <c r="CI165" i="11"/>
  <c r="CH165" i="11"/>
  <c r="CF165" i="11"/>
  <c r="CD165" i="11"/>
  <c r="CB165" i="11"/>
  <c r="BZ165" i="11"/>
  <c r="BX165" i="11"/>
  <c r="BV165" i="11"/>
  <c r="CJ165" i="11" s="1"/>
  <c r="BT165" i="11"/>
  <c r="BR165" i="11"/>
  <c r="BP165" i="11"/>
  <c r="T165" i="11"/>
  <c r="CI164" i="11"/>
  <c r="CH164" i="11"/>
  <c r="CF164" i="11"/>
  <c r="CD164" i="11"/>
  <c r="CB164" i="11"/>
  <c r="BZ164" i="11"/>
  <c r="BX164" i="11"/>
  <c r="BV164" i="11"/>
  <c r="BT164" i="11"/>
  <c r="BR164" i="11"/>
  <c r="BP164" i="11"/>
  <c r="CJ164" i="11" s="1"/>
  <c r="T164" i="11"/>
  <c r="CI163" i="11"/>
  <c r="CH163" i="11"/>
  <c r="CF163" i="11"/>
  <c r="CD163" i="11"/>
  <c r="CB163" i="11"/>
  <c r="BZ163" i="11"/>
  <c r="BX163" i="11"/>
  <c r="BV163" i="11"/>
  <c r="BT163" i="11"/>
  <c r="BR163" i="11"/>
  <c r="BP163" i="11"/>
  <c r="CJ163" i="11" s="1"/>
  <c r="T163" i="11"/>
  <c r="CI162" i="11"/>
  <c r="CH162" i="11"/>
  <c r="CF162" i="11"/>
  <c r="CD162" i="11"/>
  <c r="CB162" i="11"/>
  <c r="BZ162" i="11"/>
  <c r="BX162" i="11"/>
  <c r="BV162" i="11"/>
  <c r="BT162" i="11"/>
  <c r="BR162" i="11"/>
  <c r="BP162" i="11"/>
  <c r="T162" i="11"/>
  <c r="CI161" i="11"/>
  <c r="CH161" i="11"/>
  <c r="CF161" i="11"/>
  <c r="CD161" i="11"/>
  <c r="CB161" i="11"/>
  <c r="BZ161" i="11"/>
  <c r="BX161" i="11"/>
  <c r="BV161" i="11"/>
  <c r="CJ161" i="11" s="1"/>
  <c r="BT161" i="11"/>
  <c r="BR161" i="11"/>
  <c r="BP161" i="11"/>
  <c r="T161" i="11"/>
  <c r="CI160" i="11"/>
  <c r="CH160" i="11"/>
  <c r="CF160" i="11"/>
  <c r="CD160" i="11"/>
  <c r="CB160" i="11"/>
  <c r="BZ160" i="11"/>
  <c r="BX160" i="11"/>
  <c r="BV160" i="11"/>
  <c r="BT160" i="11"/>
  <c r="BR160" i="11"/>
  <c r="BP160" i="11"/>
  <c r="CJ160" i="11" s="1"/>
  <c r="T160" i="11"/>
  <c r="CI159" i="11"/>
  <c r="CH159" i="11"/>
  <c r="CF159" i="11"/>
  <c r="CD159" i="11"/>
  <c r="CB159" i="11"/>
  <c r="BZ159" i="11"/>
  <c r="BX159" i="11"/>
  <c r="BV159" i="11"/>
  <c r="BT159" i="11"/>
  <c r="BR159" i="11"/>
  <c r="CJ159" i="11" s="1"/>
  <c r="BP159" i="11"/>
  <c r="T159" i="11"/>
  <c r="CI158" i="11"/>
  <c r="CH158" i="11"/>
  <c r="CF158" i="11"/>
  <c r="CD158" i="11"/>
  <c r="CB158" i="11"/>
  <c r="BZ158" i="11"/>
  <c r="BX158" i="11"/>
  <c r="BV158" i="11"/>
  <c r="BT158" i="11"/>
  <c r="BR158" i="11"/>
  <c r="BP158" i="11"/>
  <c r="CJ158" i="11" s="1"/>
  <c r="T158" i="11"/>
  <c r="CI157" i="11"/>
  <c r="CH157" i="11"/>
  <c r="CF157" i="11"/>
  <c r="CD157" i="11"/>
  <c r="CB157" i="11"/>
  <c r="BZ157" i="11"/>
  <c r="BX157" i="11"/>
  <c r="BV157" i="11"/>
  <c r="CJ157" i="11" s="1"/>
  <c r="BT157" i="11"/>
  <c r="BR157" i="11"/>
  <c r="BP157" i="11"/>
  <c r="T157" i="11"/>
  <c r="CI156" i="11"/>
  <c r="CH156" i="11"/>
  <c r="CF156" i="11"/>
  <c r="CD156" i="11"/>
  <c r="CB156" i="11"/>
  <c r="BZ156" i="11"/>
  <c r="BX156" i="11"/>
  <c r="BV156" i="11"/>
  <c r="BT156" i="11"/>
  <c r="BR156" i="11"/>
  <c r="BP156" i="11"/>
  <c r="CJ156" i="11" s="1"/>
  <c r="T156" i="11"/>
  <c r="CI155" i="11"/>
  <c r="CH155" i="11"/>
  <c r="CF155" i="11"/>
  <c r="CD155" i="11"/>
  <c r="CB155" i="11"/>
  <c r="BZ155" i="11"/>
  <c r="BX155" i="11"/>
  <c r="BV155" i="11"/>
  <c r="BT155" i="11"/>
  <c r="BR155" i="11"/>
  <c r="CJ155" i="11" s="1"/>
  <c r="BP155" i="11"/>
  <c r="T155" i="11"/>
  <c r="CI154" i="11"/>
  <c r="CH154" i="11"/>
  <c r="CF154" i="11"/>
  <c r="CD154" i="11"/>
  <c r="CB154" i="11"/>
  <c r="BZ154" i="11"/>
  <c r="BX154" i="11"/>
  <c r="BV154" i="11"/>
  <c r="BT154" i="11"/>
  <c r="BR154" i="11"/>
  <c r="BP154" i="11"/>
  <c r="CJ154" i="11" s="1"/>
  <c r="T154" i="11"/>
  <c r="CI153" i="11"/>
  <c r="CH153" i="11"/>
  <c r="CF153" i="11"/>
  <c r="CD153" i="11"/>
  <c r="CB153" i="11"/>
  <c r="BZ153" i="11"/>
  <c r="BX153" i="11"/>
  <c r="BV153" i="11"/>
  <c r="CJ153" i="11" s="1"/>
  <c r="BT153" i="11"/>
  <c r="BR153" i="11"/>
  <c r="BP153" i="11"/>
  <c r="T153" i="11"/>
  <c r="CI152" i="11"/>
  <c r="CH152" i="11"/>
  <c r="CF152" i="11"/>
  <c r="CD152" i="11"/>
  <c r="CB152" i="11"/>
  <c r="BZ152" i="11"/>
  <c r="BX152" i="11"/>
  <c r="BV152" i="11"/>
  <c r="BT152" i="11"/>
  <c r="BR152" i="11"/>
  <c r="BP152" i="11"/>
  <c r="CJ152" i="11" s="1"/>
  <c r="T152" i="11"/>
  <c r="CI151" i="11"/>
  <c r="CH151" i="11"/>
  <c r="CF151" i="11"/>
  <c r="CD151" i="11"/>
  <c r="CB151" i="11"/>
  <c r="BZ151" i="11"/>
  <c r="BX151" i="11"/>
  <c r="BV151" i="11"/>
  <c r="BT151" i="11"/>
  <c r="BR151" i="11"/>
  <c r="CJ151" i="11" s="1"/>
  <c r="BP151" i="11"/>
  <c r="T151" i="11"/>
  <c r="CI150" i="11"/>
  <c r="CH150" i="11"/>
  <c r="CF150" i="11"/>
  <c r="CD150" i="11"/>
  <c r="CB150" i="11"/>
  <c r="BZ150" i="11"/>
  <c r="BX150" i="11"/>
  <c r="BV150" i="11"/>
  <c r="BT150" i="11"/>
  <c r="BR150" i="11"/>
  <c r="BP150" i="11"/>
  <c r="CJ150" i="11" s="1"/>
  <c r="T150" i="11"/>
  <c r="CI149" i="11"/>
  <c r="CH149" i="11"/>
  <c r="CF149" i="11"/>
  <c r="CD149" i="11"/>
  <c r="CB149" i="11"/>
  <c r="BZ149" i="11"/>
  <c r="BX149" i="11"/>
  <c r="BV149" i="11"/>
  <c r="CJ149" i="11" s="1"/>
  <c r="BT149" i="11"/>
  <c r="BR149" i="11"/>
  <c r="BP149" i="11"/>
  <c r="T149" i="11"/>
  <c r="CI148" i="11"/>
  <c r="CH148" i="11"/>
  <c r="CF148" i="11"/>
  <c r="CD148" i="11"/>
  <c r="CB148" i="11"/>
  <c r="BZ148" i="11"/>
  <c r="BX148" i="11"/>
  <c r="BV148" i="11"/>
  <c r="BT148" i="11"/>
  <c r="BR148" i="11"/>
  <c r="BP148" i="11"/>
  <c r="CJ148" i="11" s="1"/>
  <c r="T148" i="11"/>
  <c r="CI147" i="11"/>
  <c r="CH147" i="11"/>
  <c r="CF147" i="11"/>
  <c r="CD147" i="11"/>
  <c r="CB147" i="11"/>
  <c r="BZ147" i="11"/>
  <c r="BX147" i="11"/>
  <c r="BV147" i="11"/>
  <c r="BT147" i="11"/>
  <c r="BR147" i="11"/>
  <c r="CJ147" i="11" s="1"/>
  <c r="BP147" i="11"/>
  <c r="T147" i="11"/>
  <c r="CI146" i="11"/>
  <c r="CH146" i="11"/>
  <c r="CF146" i="11"/>
  <c r="CD146" i="11"/>
  <c r="CB146" i="11"/>
  <c r="BZ146" i="11"/>
  <c r="BX146" i="11"/>
  <c r="BV146" i="11"/>
  <c r="BT146" i="11"/>
  <c r="BR146" i="11"/>
  <c r="BP146" i="11"/>
  <c r="CJ146" i="11" s="1"/>
  <c r="T146" i="11"/>
  <c r="CI145" i="11"/>
  <c r="CH145" i="11"/>
  <c r="CF145" i="11"/>
  <c r="CD145" i="11"/>
  <c r="CB145" i="11"/>
  <c r="BZ145" i="11"/>
  <c r="BX145" i="11"/>
  <c r="BV145" i="11"/>
  <c r="CJ145" i="11" s="1"/>
  <c r="BT145" i="11"/>
  <c r="BR145" i="11"/>
  <c r="BP145" i="11"/>
  <c r="T145" i="11"/>
  <c r="CI144" i="11"/>
  <c r="CH144" i="11"/>
  <c r="CF144" i="11"/>
  <c r="CD144" i="11"/>
  <c r="CB144" i="11"/>
  <c r="BZ144" i="11"/>
  <c r="BX144" i="11"/>
  <c r="BV144" i="11"/>
  <c r="BT144" i="11"/>
  <c r="BR144" i="11"/>
  <c r="BP144" i="11"/>
  <c r="CJ144" i="11" s="1"/>
  <c r="T144" i="11"/>
  <c r="CI143" i="11"/>
  <c r="CH143" i="11"/>
  <c r="CF143" i="11"/>
  <c r="CD143" i="11"/>
  <c r="CB143" i="11"/>
  <c r="BZ143" i="11"/>
  <c r="BX143" i="11"/>
  <c r="BV143" i="11"/>
  <c r="BT143" i="11"/>
  <c r="BR143" i="11"/>
  <c r="CJ143" i="11" s="1"/>
  <c r="BP143" i="11"/>
  <c r="T143" i="11"/>
  <c r="CI142" i="11"/>
  <c r="CH142" i="11"/>
  <c r="CF142" i="11"/>
  <c r="CD142" i="11"/>
  <c r="CB142" i="11"/>
  <c r="BZ142" i="11"/>
  <c r="BX142" i="11"/>
  <c r="BV142" i="11"/>
  <c r="BT142" i="11"/>
  <c r="BR142" i="11"/>
  <c r="BP142" i="11"/>
  <c r="CJ142" i="11" s="1"/>
  <c r="T142" i="11"/>
  <c r="CI141" i="11"/>
  <c r="CH141" i="11"/>
  <c r="CF141" i="11"/>
  <c r="CD141" i="11"/>
  <c r="CB141" i="11"/>
  <c r="BZ141" i="11"/>
  <c r="BX141" i="11"/>
  <c r="BV141" i="11"/>
  <c r="CJ141" i="11" s="1"/>
  <c r="BT141" i="11"/>
  <c r="BR141" i="11"/>
  <c r="BP141" i="11"/>
  <c r="T141" i="11"/>
  <c r="CI140" i="11"/>
  <c r="CH140" i="11"/>
  <c r="CF140" i="11"/>
  <c r="CD140" i="11"/>
  <c r="CB140" i="11"/>
  <c r="BZ140" i="11"/>
  <c r="BX140" i="11"/>
  <c r="BV140" i="11"/>
  <c r="BT140" i="11"/>
  <c r="BR140" i="11"/>
  <c r="BP140" i="11"/>
  <c r="CJ140" i="11" s="1"/>
  <c r="T140" i="11"/>
  <c r="CI139" i="11"/>
  <c r="CH139" i="11"/>
  <c r="CF139" i="11"/>
  <c r="CD139" i="11"/>
  <c r="CB139" i="11"/>
  <c r="BZ139" i="11"/>
  <c r="BX139" i="11"/>
  <c r="BV139" i="11"/>
  <c r="BT139" i="11"/>
  <c r="BR139" i="11"/>
  <c r="CJ139" i="11" s="1"/>
  <c r="BP139" i="11"/>
  <c r="T139" i="11"/>
  <c r="CI138" i="11"/>
  <c r="CH138" i="11"/>
  <c r="CF138" i="11"/>
  <c r="CD138" i="11"/>
  <c r="CB138" i="11"/>
  <c r="BZ138" i="11"/>
  <c r="BX138" i="11"/>
  <c r="BV138" i="11"/>
  <c r="BT138" i="11"/>
  <c r="BR138" i="11"/>
  <c r="BP138" i="11"/>
  <c r="CJ138" i="11" s="1"/>
  <c r="T138" i="11"/>
  <c r="CI137" i="11"/>
  <c r="CH137" i="11"/>
  <c r="CF137" i="11"/>
  <c r="CD137" i="11"/>
  <c r="CB137" i="11"/>
  <c r="BZ137" i="11"/>
  <c r="BX137" i="11"/>
  <c r="BV137" i="11"/>
  <c r="CJ137" i="11" s="1"/>
  <c r="BT137" i="11"/>
  <c r="BR137" i="11"/>
  <c r="BP137" i="11"/>
  <c r="T137" i="11"/>
  <c r="CI136" i="11"/>
  <c r="CH136" i="11"/>
  <c r="CF136" i="11"/>
  <c r="CD136" i="11"/>
  <c r="CB136" i="11"/>
  <c r="BZ136" i="11"/>
  <c r="BX136" i="11"/>
  <c r="BV136" i="11"/>
  <c r="BT136" i="11"/>
  <c r="BR136" i="11"/>
  <c r="BP136" i="11"/>
  <c r="CJ136" i="11" s="1"/>
  <c r="T136" i="11"/>
  <c r="CI135" i="11"/>
  <c r="CH135" i="11"/>
  <c r="CF135" i="11"/>
  <c r="CD135" i="11"/>
  <c r="CB135" i="11"/>
  <c r="BZ135" i="11"/>
  <c r="BX135" i="11"/>
  <c r="BV135" i="11"/>
  <c r="BT135" i="11"/>
  <c r="BR135" i="11"/>
  <c r="CJ135" i="11" s="1"/>
  <c r="BP135" i="11"/>
  <c r="T135" i="11"/>
  <c r="CI134" i="11"/>
  <c r="CH134" i="11"/>
  <c r="CF134" i="11"/>
  <c r="CD134" i="11"/>
  <c r="CB134" i="11"/>
  <c r="BZ134" i="11"/>
  <c r="BX134" i="11"/>
  <c r="BV134" i="11"/>
  <c r="BT134" i="11"/>
  <c r="BR134" i="11"/>
  <c r="BP134" i="11"/>
  <c r="CJ134" i="11" s="1"/>
  <c r="T134" i="11"/>
  <c r="CI133" i="11"/>
  <c r="CH133" i="11"/>
  <c r="CF133" i="11"/>
  <c r="CD133" i="11"/>
  <c r="CB133" i="11"/>
  <c r="BZ133" i="11"/>
  <c r="BX133" i="11"/>
  <c r="BV133" i="11"/>
  <c r="CJ133" i="11" s="1"/>
  <c r="BT133" i="11"/>
  <c r="BR133" i="11"/>
  <c r="BP133" i="11"/>
  <c r="T133" i="11"/>
  <c r="CI132" i="11"/>
  <c r="CH132" i="11"/>
  <c r="CF132" i="11"/>
  <c r="CD132" i="11"/>
  <c r="CB132" i="11"/>
  <c r="BZ132" i="11"/>
  <c r="BX132" i="11"/>
  <c r="BV132" i="11"/>
  <c r="BT132" i="11"/>
  <c r="BR132" i="11"/>
  <c r="BP132" i="11"/>
  <c r="CJ132" i="11" s="1"/>
  <c r="T132" i="11"/>
  <c r="CI131" i="11"/>
  <c r="CH131" i="11"/>
  <c r="CF131" i="11"/>
  <c r="CD131" i="11"/>
  <c r="CB131" i="11"/>
  <c r="BZ131" i="11"/>
  <c r="BX131" i="11"/>
  <c r="BV131" i="11"/>
  <c r="BT131" i="11"/>
  <c r="BR131" i="11"/>
  <c r="CJ131" i="11" s="1"/>
  <c r="BP131" i="11"/>
  <c r="T131" i="11"/>
  <c r="CI130" i="11"/>
  <c r="CH130" i="11"/>
  <c r="CF130" i="11"/>
  <c r="CD130" i="11"/>
  <c r="CB130" i="11"/>
  <c r="BZ130" i="11"/>
  <c r="BX130" i="11"/>
  <c r="BV130" i="11"/>
  <c r="BT130" i="11"/>
  <c r="BR130" i="11"/>
  <c r="BP130" i="11"/>
  <c r="CJ130" i="11" s="1"/>
  <c r="T130" i="11"/>
  <c r="CI129" i="11"/>
  <c r="CH129" i="11"/>
  <c r="CF129" i="11"/>
  <c r="CD129" i="11"/>
  <c r="CB129" i="11"/>
  <c r="BZ129" i="11"/>
  <c r="BX129" i="11"/>
  <c r="BV129" i="11"/>
  <c r="CJ129" i="11" s="1"/>
  <c r="BT129" i="11"/>
  <c r="BR129" i="11"/>
  <c r="BP129" i="11"/>
  <c r="T129" i="11"/>
  <c r="CI128" i="11"/>
  <c r="CH128" i="11"/>
  <c r="CF128" i="11"/>
  <c r="CD128" i="11"/>
  <c r="CB128" i="11"/>
  <c r="BZ128" i="11"/>
  <c r="BX128" i="11"/>
  <c r="BV128" i="11"/>
  <c r="BT128" i="11"/>
  <c r="BR128" i="11"/>
  <c r="BP128" i="11"/>
  <c r="CJ128" i="11" s="1"/>
  <c r="T128" i="11"/>
  <c r="CI127" i="11"/>
  <c r="CH127" i="11"/>
  <c r="CF127" i="11"/>
  <c r="CD127" i="11"/>
  <c r="CB127" i="11"/>
  <c r="BZ127" i="11"/>
  <c r="BX127" i="11"/>
  <c r="BV127" i="11"/>
  <c r="BT127" i="11"/>
  <c r="BR127" i="11"/>
  <c r="CJ127" i="11" s="1"/>
  <c r="BP127" i="11"/>
  <c r="T127" i="11"/>
  <c r="CI126" i="11"/>
  <c r="CH126" i="11"/>
  <c r="CF126" i="11"/>
  <c r="CD126" i="11"/>
  <c r="CB126" i="11"/>
  <c r="BZ126" i="11"/>
  <c r="BX126" i="11"/>
  <c r="BV126" i="11"/>
  <c r="BT126" i="11"/>
  <c r="BR126" i="11"/>
  <c r="BP126" i="11"/>
  <c r="CJ126" i="11" s="1"/>
  <c r="T126" i="11"/>
  <c r="CI125" i="11"/>
  <c r="CH125" i="11"/>
  <c r="CF125" i="11"/>
  <c r="CD125" i="11"/>
  <c r="CB125" i="11"/>
  <c r="BZ125" i="11"/>
  <c r="BX125" i="11"/>
  <c r="BV125" i="11"/>
  <c r="CJ125" i="11" s="1"/>
  <c r="BT125" i="11"/>
  <c r="BR125" i="11"/>
  <c r="BP125" i="11"/>
  <c r="T125" i="11"/>
  <c r="CI124" i="11"/>
  <c r="CH124" i="11"/>
  <c r="CF124" i="11"/>
  <c r="CD124" i="11"/>
  <c r="CB124" i="11"/>
  <c r="BZ124" i="11"/>
  <c r="BX124" i="11"/>
  <c r="BV124" i="11"/>
  <c r="BT124" i="11"/>
  <c r="BR124" i="11"/>
  <c r="BP124" i="11"/>
  <c r="CJ124" i="11" s="1"/>
  <c r="T124" i="11"/>
  <c r="CI123" i="11"/>
  <c r="CH123" i="11"/>
  <c r="CF123" i="11"/>
  <c r="CD123" i="11"/>
  <c r="CB123" i="11"/>
  <c r="BZ123" i="11"/>
  <c r="BX123" i="11"/>
  <c r="BV123" i="11"/>
  <c r="BT123" i="11"/>
  <c r="BR123" i="11"/>
  <c r="CJ123" i="11" s="1"/>
  <c r="BP123" i="11"/>
  <c r="T123" i="11"/>
  <c r="CI122" i="11"/>
  <c r="CH122" i="11"/>
  <c r="CF122" i="11"/>
  <c r="CD122" i="11"/>
  <c r="CB122" i="11"/>
  <c r="BZ122" i="11"/>
  <c r="BX122" i="11"/>
  <c r="BV122" i="11"/>
  <c r="BT122" i="11"/>
  <c r="BR122" i="11"/>
  <c r="BP122" i="11"/>
  <c r="CJ122" i="11" s="1"/>
  <c r="T122" i="11"/>
  <c r="CI121" i="11"/>
  <c r="CH121" i="11"/>
  <c r="CF121" i="11"/>
  <c r="CD121" i="11"/>
  <c r="CB121" i="11"/>
  <c r="BZ121" i="11"/>
  <c r="BX121" i="11"/>
  <c r="BV121" i="11"/>
  <c r="CJ121" i="11" s="1"/>
  <c r="BT121" i="11"/>
  <c r="BR121" i="11"/>
  <c r="BP121" i="11"/>
  <c r="T121" i="11"/>
  <c r="CI120" i="11"/>
  <c r="CH120" i="11"/>
  <c r="CF120" i="11"/>
  <c r="CD120" i="11"/>
  <c r="CB120" i="11"/>
  <c r="BZ120" i="11"/>
  <c r="BX120" i="11"/>
  <c r="BV120" i="11"/>
  <c r="BT120" i="11"/>
  <c r="BR120" i="11"/>
  <c r="BP120" i="11"/>
  <c r="CJ120" i="11" s="1"/>
  <c r="T120" i="11"/>
  <c r="CI119" i="11"/>
  <c r="CH119" i="11"/>
  <c r="CF119" i="11"/>
  <c r="CD119" i="11"/>
  <c r="CB119" i="11"/>
  <c r="BZ119" i="11"/>
  <c r="BX119" i="11"/>
  <c r="BV119" i="11"/>
  <c r="BT119" i="11"/>
  <c r="BR119" i="11"/>
  <c r="CJ119" i="11" s="1"/>
  <c r="BP119" i="11"/>
  <c r="T119" i="11"/>
  <c r="CI118" i="11"/>
  <c r="CH118" i="11"/>
  <c r="CF118" i="11"/>
  <c r="CD118" i="11"/>
  <c r="CB118" i="11"/>
  <c r="BZ118" i="11"/>
  <c r="BX118" i="11"/>
  <c r="BV118" i="11"/>
  <c r="BT118" i="11"/>
  <c r="BR118" i="11"/>
  <c r="BP118" i="11"/>
  <c r="CJ118" i="11" s="1"/>
  <c r="T118" i="11"/>
  <c r="CI117" i="11"/>
  <c r="CH117" i="11"/>
  <c r="CF117" i="11"/>
  <c r="CD117" i="11"/>
  <c r="CB117" i="11"/>
  <c r="BZ117" i="11"/>
  <c r="BX117" i="11"/>
  <c r="BV117" i="11"/>
  <c r="CJ117" i="11" s="1"/>
  <c r="BT117" i="11"/>
  <c r="BR117" i="11"/>
  <c r="BP117" i="11"/>
  <c r="T117" i="11"/>
  <c r="CI116" i="11"/>
  <c r="CH116" i="11"/>
  <c r="CF116" i="11"/>
  <c r="CD116" i="11"/>
  <c r="CB116" i="11"/>
  <c r="BZ116" i="11"/>
  <c r="BX116" i="11"/>
  <c r="BV116" i="11"/>
  <c r="BT116" i="11"/>
  <c r="BR116" i="11"/>
  <c r="BP116" i="11"/>
  <c r="CJ116" i="11" s="1"/>
  <c r="T116" i="11"/>
  <c r="CI115" i="11"/>
  <c r="CH115" i="11"/>
  <c r="CF115" i="11"/>
  <c r="CD115" i="11"/>
  <c r="CB115" i="11"/>
  <c r="BZ115" i="11"/>
  <c r="BX115" i="11"/>
  <c r="BV115" i="11"/>
  <c r="BT115" i="11"/>
  <c r="BR115" i="11"/>
  <c r="CJ115" i="11" s="1"/>
  <c r="BP115" i="11"/>
  <c r="T115" i="11"/>
  <c r="CI114" i="11"/>
  <c r="CH114" i="11"/>
  <c r="CF114" i="11"/>
  <c r="CD114" i="11"/>
  <c r="CB114" i="11"/>
  <c r="BZ114" i="11"/>
  <c r="BX114" i="11"/>
  <c r="BV114" i="11"/>
  <c r="BT114" i="11"/>
  <c r="BR114" i="11"/>
  <c r="BP114" i="11"/>
  <c r="CJ114" i="11" s="1"/>
  <c r="T114" i="11"/>
  <c r="CI113" i="11"/>
  <c r="CH113" i="11"/>
  <c r="CF113" i="11"/>
  <c r="CD113" i="11"/>
  <c r="CB113" i="11"/>
  <c r="BZ113" i="11"/>
  <c r="BX113" i="11"/>
  <c r="BV113" i="11"/>
  <c r="CJ113" i="11" s="1"/>
  <c r="BT113" i="11"/>
  <c r="BR113" i="11"/>
  <c r="BP113" i="11"/>
  <c r="T113" i="11"/>
  <c r="CI112" i="11"/>
  <c r="CH112" i="11"/>
  <c r="CF112" i="11"/>
  <c r="CD112" i="11"/>
  <c r="CB112" i="11"/>
  <c r="BZ112" i="11"/>
  <c r="BX112" i="11"/>
  <c r="BV112" i="11"/>
  <c r="BT112" i="11"/>
  <c r="BR112" i="11"/>
  <c r="BP112" i="11"/>
  <c r="CJ112" i="11" s="1"/>
  <c r="T112" i="11"/>
  <c r="CI111" i="11"/>
  <c r="CH111" i="11"/>
  <c r="CF111" i="11"/>
  <c r="CD111" i="11"/>
  <c r="CB111" i="11"/>
  <c r="BZ111" i="11"/>
  <c r="BX111" i="11"/>
  <c r="BV111" i="11"/>
  <c r="BT111" i="11"/>
  <c r="BR111" i="11"/>
  <c r="CJ111" i="11" s="1"/>
  <c r="BP111" i="11"/>
  <c r="T111" i="11"/>
  <c r="CI110" i="11"/>
  <c r="CH110" i="11"/>
  <c r="CF110" i="11"/>
  <c r="CD110" i="11"/>
  <c r="CB110" i="11"/>
  <c r="BZ110" i="11"/>
  <c r="BX110" i="11"/>
  <c r="BV110" i="11"/>
  <c r="BT110" i="11"/>
  <c r="BR110" i="11"/>
  <c r="BP110" i="11"/>
  <c r="CJ110" i="11" s="1"/>
  <c r="T110" i="11"/>
  <c r="CI109" i="11"/>
  <c r="CH109" i="11"/>
  <c r="CF109" i="11"/>
  <c r="CD109" i="11"/>
  <c r="CB109" i="11"/>
  <c r="BZ109" i="11"/>
  <c r="BX109" i="11"/>
  <c r="BV109" i="11"/>
  <c r="CJ109" i="11" s="1"/>
  <c r="BT109" i="11"/>
  <c r="BR109" i="11"/>
  <c r="BP109" i="11"/>
  <c r="T109" i="11"/>
  <c r="CI108" i="11"/>
  <c r="CH108" i="11"/>
  <c r="CF108" i="11"/>
  <c r="CD108" i="11"/>
  <c r="CB108" i="11"/>
  <c r="BZ108" i="11"/>
  <c r="BX108" i="11"/>
  <c r="BV108" i="11"/>
  <c r="BT108" i="11"/>
  <c r="BR108" i="11"/>
  <c r="BP108" i="11"/>
  <c r="CJ108" i="11" s="1"/>
  <c r="T108" i="11"/>
  <c r="CI107" i="11"/>
  <c r="CH107" i="11"/>
  <c r="CF107" i="11"/>
  <c r="CD107" i="11"/>
  <c r="CB107" i="11"/>
  <c r="BZ107" i="11"/>
  <c r="BX107" i="11"/>
  <c r="BV107" i="11"/>
  <c r="BT107" i="11"/>
  <c r="BR107" i="11"/>
  <c r="CJ107" i="11" s="1"/>
  <c r="BP107" i="11"/>
  <c r="T107" i="11"/>
  <c r="CI106" i="11"/>
  <c r="CH106" i="11"/>
  <c r="CF106" i="11"/>
  <c r="CD106" i="11"/>
  <c r="CB106" i="11"/>
  <c r="BZ106" i="11"/>
  <c r="BX106" i="11"/>
  <c r="BV106" i="11"/>
  <c r="BT106" i="11"/>
  <c r="BR106" i="11"/>
  <c r="BP106" i="11"/>
  <c r="CJ106" i="11" s="1"/>
  <c r="T106" i="11"/>
  <c r="CI105" i="11"/>
  <c r="CH105" i="11"/>
  <c r="CF105" i="11"/>
  <c r="CD105" i="11"/>
  <c r="CB105" i="11"/>
  <c r="BZ105" i="11"/>
  <c r="BX105" i="11"/>
  <c r="BV105" i="11"/>
  <c r="CJ105" i="11" s="1"/>
  <c r="BT105" i="11"/>
  <c r="BR105" i="11"/>
  <c r="BP105" i="11"/>
  <c r="T105" i="11"/>
  <c r="CI104" i="11"/>
  <c r="CH104" i="11"/>
  <c r="CF104" i="11"/>
  <c r="CD104" i="11"/>
  <c r="CB104" i="11"/>
  <c r="BZ104" i="11"/>
  <c r="BX104" i="11"/>
  <c r="BV104" i="11"/>
  <c r="BT104" i="11"/>
  <c r="BR104" i="11"/>
  <c r="BP104" i="11"/>
  <c r="CJ104" i="11" s="1"/>
  <c r="T104" i="11"/>
  <c r="CI103" i="11"/>
  <c r="CH103" i="11"/>
  <c r="CF103" i="11"/>
  <c r="CD103" i="11"/>
  <c r="CB103" i="11"/>
  <c r="BZ103" i="11"/>
  <c r="BX103" i="11"/>
  <c r="BV103" i="11"/>
  <c r="BT103" i="11"/>
  <c r="BR103" i="11"/>
  <c r="CJ103" i="11" s="1"/>
  <c r="BP103" i="11"/>
  <c r="T103" i="11"/>
  <c r="CI102" i="11"/>
  <c r="CH102" i="11"/>
  <c r="CF102" i="11"/>
  <c r="CD102" i="11"/>
  <c r="CB102" i="11"/>
  <c r="BZ102" i="11"/>
  <c r="BX102" i="11"/>
  <c r="BV102" i="11"/>
  <c r="BT102" i="11"/>
  <c r="BR102" i="11"/>
  <c r="BP102" i="11"/>
  <c r="CJ102" i="11" s="1"/>
  <c r="T102" i="11"/>
  <c r="CI101" i="11"/>
  <c r="CH101" i="11"/>
  <c r="CF101" i="11"/>
  <c r="CD101" i="11"/>
  <c r="CB101" i="11"/>
  <c r="BZ101" i="11"/>
  <c r="BX101" i="11"/>
  <c r="BV101" i="11"/>
  <c r="CJ101" i="11" s="1"/>
  <c r="BT101" i="11"/>
  <c r="BR101" i="11"/>
  <c r="BP101" i="11"/>
  <c r="T101" i="11"/>
  <c r="CI100" i="11"/>
  <c r="CH100" i="11"/>
  <c r="CF100" i="11"/>
  <c r="CD100" i="11"/>
  <c r="CB100" i="11"/>
  <c r="BZ100" i="11"/>
  <c r="BX100" i="11"/>
  <c r="BV100" i="11"/>
  <c r="BT100" i="11"/>
  <c r="BR100" i="11"/>
  <c r="BP100" i="11"/>
  <c r="CJ100" i="11" s="1"/>
  <c r="T100" i="11"/>
  <c r="CI99" i="11"/>
  <c r="CH99" i="11"/>
  <c r="CF99" i="11"/>
  <c r="CD99" i="11"/>
  <c r="CB99" i="11"/>
  <c r="BZ99" i="11"/>
  <c r="BX99" i="11"/>
  <c r="BV99" i="11"/>
  <c r="BT99" i="11"/>
  <c r="BR99" i="11"/>
  <c r="CJ99" i="11" s="1"/>
  <c r="BP99" i="11"/>
  <c r="T99" i="11"/>
  <c r="CI98" i="11"/>
  <c r="CH98" i="11"/>
  <c r="CF98" i="11"/>
  <c r="CD98" i="11"/>
  <c r="CB98" i="11"/>
  <c r="BZ98" i="11"/>
  <c r="BX98" i="11"/>
  <c r="BV98" i="11"/>
  <c r="BT98" i="11"/>
  <c r="BR98" i="11"/>
  <c r="BP98" i="11"/>
  <c r="CJ98" i="11" s="1"/>
  <c r="T98" i="11"/>
  <c r="CI97" i="11"/>
  <c r="CH97" i="11"/>
  <c r="CF97" i="11"/>
  <c r="CD97" i="11"/>
  <c r="CB97" i="11"/>
  <c r="BZ97" i="11"/>
  <c r="BX97" i="11"/>
  <c r="BV97" i="11"/>
  <c r="CJ97" i="11" s="1"/>
  <c r="BT97" i="11"/>
  <c r="BR97" i="11"/>
  <c r="BP97" i="11"/>
  <c r="T97" i="11"/>
  <c r="CI96" i="11"/>
  <c r="CH96" i="11"/>
  <c r="CF96" i="11"/>
  <c r="CD96" i="11"/>
  <c r="CB96" i="11"/>
  <c r="BZ96" i="11"/>
  <c r="BX96" i="11"/>
  <c r="BV96" i="11"/>
  <c r="BT96" i="11"/>
  <c r="BR96" i="11"/>
  <c r="BP96" i="11"/>
  <c r="CJ96" i="11" s="1"/>
  <c r="T96" i="11"/>
  <c r="CI95" i="11"/>
  <c r="CH95" i="11"/>
  <c r="CF95" i="11"/>
  <c r="CD95" i="11"/>
  <c r="CB95" i="11"/>
  <c r="BZ95" i="11"/>
  <c r="BX95" i="11"/>
  <c r="BV95" i="11"/>
  <c r="BT95" i="11"/>
  <c r="BR95" i="11"/>
  <c r="CJ95" i="11" s="1"/>
  <c r="BP95" i="11"/>
  <c r="T95" i="11"/>
  <c r="CI94" i="11"/>
  <c r="CH94" i="11"/>
  <c r="CF94" i="11"/>
  <c r="CD94" i="11"/>
  <c r="CB94" i="11"/>
  <c r="BZ94" i="11"/>
  <c r="BX94" i="11"/>
  <c r="BV94" i="11"/>
  <c r="BT94" i="11"/>
  <c r="BR94" i="11"/>
  <c r="BP94" i="11"/>
  <c r="CJ94" i="11" s="1"/>
  <c r="T94" i="11"/>
  <c r="CI93" i="11"/>
  <c r="CH93" i="11"/>
  <c r="CF93" i="11"/>
  <c r="CD93" i="11"/>
  <c r="CB93" i="11"/>
  <c r="BZ93" i="11"/>
  <c r="BX93" i="11"/>
  <c r="BV93" i="11"/>
  <c r="CJ93" i="11" s="1"/>
  <c r="BT93" i="11"/>
  <c r="BR93" i="11"/>
  <c r="BP93" i="11"/>
  <c r="T93" i="11"/>
  <c r="CI92" i="11"/>
  <c r="CH92" i="11"/>
  <c r="CF92" i="11"/>
  <c r="CD92" i="11"/>
  <c r="CB92" i="11"/>
  <c r="BZ92" i="11"/>
  <c r="BX92" i="11"/>
  <c r="BV92" i="11"/>
  <c r="BT92" i="11"/>
  <c r="BR92" i="11"/>
  <c r="BP92" i="11"/>
  <c r="CJ92" i="11" s="1"/>
  <c r="T92" i="11"/>
  <c r="CI91" i="11"/>
  <c r="CH91" i="11"/>
  <c r="CF91" i="11"/>
  <c r="CD91" i="11"/>
  <c r="CB91" i="11"/>
  <c r="BZ91" i="11"/>
  <c r="BX91" i="11"/>
  <c r="BV91" i="11"/>
  <c r="BT91" i="11"/>
  <c r="BR91" i="11"/>
  <c r="CJ91" i="11" s="1"/>
  <c r="BP91" i="11"/>
  <c r="T91" i="11"/>
  <c r="CI90" i="11"/>
  <c r="CH90" i="11"/>
  <c r="CF90" i="11"/>
  <c r="CD90" i="11"/>
  <c r="CB90" i="11"/>
  <c r="BZ90" i="11"/>
  <c r="BX90" i="11"/>
  <c r="BV90" i="11"/>
  <c r="BT90" i="11"/>
  <c r="BR90" i="11"/>
  <c r="BP90" i="11"/>
  <c r="CJ90" i="11" s="1"/>
  <c r="T90" i="11"/>
  <c r="CI89" i="11"/>
  <c r="CH89" i="11"/>
  <c r="CF89" i="11"/>
  <c r="CD89" i="11"/>
  <c r="CB89" i="11"/>
  <c r="BZ89" i="11"/>
  <c r="BX89" i="11"/>
  <c r="BV89" i="11"/>
  <c r="CJ89" i="11" s="1"/>
  <c r="BT89" i="11"/>
  <c r="BR89" i="11"/>
  <c r="BP89" i="11"/>
  <c r="T89" i="11"/>
  <c r="CI88" i="11"/>
  <c r="CH88" i="11"/>
  <c r="CF88" i="11"/>
  <c r="CD88" i="11"/>
  <c r="CB88" i="11"/>
  <c r="BZ88" i="11"/>
  <c r="BX88" i="11"/>
  <c r="BV88" i="11"/>
  <c r="BT88" i="11"/>
  <c r="BR88" i="11"/>
  <c r="BP88" i="11"/>
  <c r="CJ88" i="11" s="1"/>
  <c r="T88" i="11"/>
  <c r="CI87" i="11"/>
  <c r="CH87" i="11"/>
  <c r="CF87" i="11"/>
  <c r="CD87" i="11"/>
  <c r="CB87" i="11"/>
  <c r="BZ87" i="11"/>
  <c r="BX87" i="11"/>
  <c r="BV87" i="11"/>
  <c r="BT87" i="11"/>
  <c r="BR87" i="11"/>
  <c r="CJ87" i="11" s="1"/>
  <c r="BP87" i="11"/>
  <c r="T87" i="11"/>
  <c r="CI86" i="11"/>
  <c r="CH86" i="11"/>
  <c r="CF86" i="11"/>
  <c r="CD86" i="11"/>
  <c r="CB86" i="11"/>
  <c r="BZ86" i="11"/>
  <c r="BX86" i="11"/>
  <c r="BV86" i="11"/>
  <c r="BT86" i="11"/>
  <c r="BR86" i="11"/>
  <c r="BP86" i="11"/>
  <c r="CJ86" i="11" s="1"/>
  <c r="T86" i="11"/>
  <c r="CI85" i="11"/>
  <c r="CH85" i="11"/>
  <c r="CF85" i="11"/>
  <c r="CD85" i="11"/>
  <c r="CB85" i="11"/>
  <c r="BZ85" i="11"/>
  <c r="BX85" i="11"/>
  <c r="BV85" i="11"/>
  <c r="CJ85" i="11" s="1"/>
  <c r="BT85" i="11"/>
  <c r="BR85" i="11"/>
  <c r="BP85" i="11"/>
  <c r="T85" i="11"/>
  <c r="CI84" i="11"/>
  <c r="CH84" i="11"/>
  <c r="CF84" i="11"/>
  <c r="CD84" i="11"/>
  <c r="CB84" i="11"/>
  <c r="BZ84" i="11"/>
  <c r="BX84" i="11"/>
  <c r="BV84" i="11"/>
  <c r="BT84" i="11"/>
  <c r="BR84" i="11"/>
  <c r="BP84" i="11"/>
  <c r="CJ84" i="11" s="1"/>
  <c r="T84" i="11"/>
  <c r="CI83" i="11"/>
  <c r="CH83" i="11"/>
  <c r="CF83" i="11"/>
  <c r="CD83" i="11"/>
  <c r="CB83" i="11"/>
  <c r="BZ83" i="11"/>
  <c r="BX83" i="11"/>
  <c r="BV83" i="11"/>
  <c r="BT83" i="11"/>
  <c r="BR83" i="11"/>
  <c r="CJ83" i="11" s="1"/>
  <c r="BP83" i="11"/>
  <c r="T83" i="11"/>
  <c r="CI82" i="11"/>
  <c r="CH82" i="11"/>
  <c r="CF82" i="11"/>
  <c r="CD82" i="11"/>
  <c r="CB82" i="11"/>
  <c r="BZ82" i="11"/>
  <c r="BX82" i="11"/>
  <c r="BV82" i="11"/>
  <c r="BT82" i="11"/>
  <c r="BR82" i="11"/>
  <c r="BP82" i="11"/>
  <c r="CJ82" i="11" s="1"/>
  <c r="T82" i="11"/>
  <c r="CI81" i="11"/>
  <c r="CH81" i="11"/>
  <c r="CF81" i="11"/>
  <c r="CD81" i="11"/>
  <c r="CB81" i="11"/>
  <c r="BZ81" i="11"/>
  <c r="BX81" i="11"/>
  <c r="BV81" i="11"/>
  <c r="CJ81" i="11" s="1"/>
  <c r="BT81" i="11"/>
  <c r="BR81" i="11"/>
  <c r="BP81" i="11"/>
  <c r="T81" i="11"/>
  <c r="CI80" i="11"/>
  <c r="CH80" i="11"/>
  <c r="CF80" i="11"/>
  <c r="CD80" i="11"/>
  <c r="CB80" i="11"/>
  <c r="BZ80" i="11"/>
  <c r="BX80" i="11"/>
  <c r="BV80" i="11"/>
  <c r="BT80" i="11"/>
  <c r="BR80" i="11"/>
  <c r="BP80" i="11"/>
  <c r="CJ80" i="11" s="1"/>
  <c r="T80" i="11"/>
  <c r="CI79" i="11"/>
  <c r="CH79" i="11"/>
  <c r="CF79" i="11"/>
  <c r="CD79" i="11"/>
  <c r="CB79" i="11"/>
  <c r="BZ79" i="11"/>
  <c r="BX79" i="11"/>
  <c r="BV79" i="11"/>
  <c r="BT79" i="11"/>
  <c r="BR79" i="11"/>
  <c r="CJ79" i="11" s="1"/>
  <c r="BP79" i="11"/>
  <c r="T79" i="11"/>
  <c r="CI78" i="11"/>
  <c r="CH78" i="11"/>
  <c r="CF78" i="11"/>
  <c r="CD78" i="11"/>
  <c r="CB78" i="11"/>
  <c r="BZ78" i="11"/>
  <c r="BX78" i="11"/>
  <c r="BV78" i="11"/>
  <c r="BT78" i="11"/>
  <c r="BR78" i="11"/>
  <c r="BP78" i="11"/>
  <c r="CJ78" i="11" s="1"/>
  <c r="T78" i="11"/>
  <c r="CI77" i="11"/>
  <c r="CH77" i="11"/>
  <c r="CF77" i="11"/>
  <c r="CD77" i="11"/>
  <c r="CB77" i="11"/>
  <c r="BZ77" i="11"/>
  <c r="BX77" i="11"/>
  <c r="BV77" i="11"/>
  <c r="CJ77" i="11" s="1"/>
  <c r="BT77" i="11"/>
  <c r="BR77" i="11"/>
  <c r="BP77" i="11"/>
  <c r="T77" i="11"/>
  <c r="CI76" i="11"/>
  <c r="CH76" i="11"/>
  <c r="CF76" i="11"/>
  <c r="CD76" i="11"/>
  <c r="CB76" i="11"/>
  <c r="BZ76" i="11"/>
  <c r="BX76" i="11"/>
  <c r="BV76" i="11"/>
  <c r="BT76" i="11"/>
  <c r="BR76" i="11"/>
  <c r="BP76" i="11"/>
  <c r="CJ76" i="11" s="1"/>
  <c r="T76" i="11"/>
  <c r="CI75" i="11"/>
  <c r="CH75" i="11"/>
  <c r="CF75" i="11"/>
  <c r="CD75" i="11"/>
  <c r="CB75" i="11"/>
  <c r="BZ75" i="11"/>
  <c r="BX75" i="11"/>
  <c r="BV75" i="11"/>
  <c r="BT75" i="11"/>
  <c r="BR75" i="11"/>
  <c r="CJ75" i="11" s="1"/>
  <c r="BP75" i="11"/>
  <c r="T75" i="11"/>
  <c r="CI74" i="11"/>
  <c r="CH74" i="11"/>
  <c r="CF74" i="11"/>
  <c r="CD74" i="11"/>
  <c r="CB74" i="11"/>
  <c r="BZ74" i="11"/>
  <c r="BX74" i="11"/>
  <c r="BV74" i="11"/>
  <c r="BT74" i="11"/>
  <c r="BR74" i="11"/>
  <c r="BP74" i="11"/>
  <c r="CJ74" i="11" s="1"/>
  <c r="T74" i="11"/>
  <c r="CI73" i="11"/>
  <c r="CH73" i="11"/>
  <c r="CF73" i="11"/>
  <c r="CD73" i="11"/>
  <c r="CB73" i="11"/>
  <c r="BZ73" i="11"/>
  <c r="BX73" i="11"/>
  <c r="BV73" i="11"/>
  <c r="CJ73" i="11" s="1"/>
  <c r="BT73" i="11"/>
  <c r="BR73" i="11"/>
  <c r="BP73" i="11"/>
  <c r="T73" i="11"/>
  <c r="CI72" i="11"/>
  <c r="CH72" i="11"/>
  <c r="CF72" i="11"/>
  <c r="CD72" i="11"/>
  <c r="CB72" i="11"/>
  <c r="BZ72" i="11"/>
  <c r="BX72" i="11"/>
  <c r="BV72" i="11"/>
  <c r="BT72" i="11"/>
  <c r="BR72" i="11"/>
  <c r="BP72" i="11"/>
  <c r="CJ72" i="11" s="1"/>
  <c r="T72" i="11"/>
  <c r="CI71" i="11"/>
  <c r="CH71" i="11"/>
  <c r="CF71" i="11"/>
  <c r="CD71" i="11"/>
  <c r="CB71" i="11"/>
  <c r="BZ71" i="11"/>
  <c r="BX71" i="11"/>
  <c r="BV71" i="11"/>
  <c r="BT71" i="11"/>
  <c r="BR71" i="11"/>
  <c r="CJ71" i="11" s="1"/>
  <c r="BP71" i="11"/>
  <c r="T71" i="11"/>
  <c r="CI70" i="11"/>
  <c r="CH70" i="11"/>
  <c r="CF70" i="11"/>
  <c r="CD70" i="11"/>
  <c r="CB70" i="11"/>
  <c r="BZ70" i="11"/>
  <c r="BX70" i="11"/>
  <c r="BV70" i="11"/>
  <c r="BT70" i="11"/>
  <c r="BR70" i="11"/>
  <c r="BP70" i="11"/>
  <c r="CJ70" i="11" s="1"/>
  <c r="T70" i="11"/>
  <c r="CI69" i="11"/>
  <c r="CH69" i="11"/>
  <c r="CF69" i="11"/>
  <c r="CD69" i="11"/>
  <c r="CB69" i="11"/>
  <c r="BZ69" i="11"/>
  <c r="BX69" i="11"/>
  <c r="BV69" i="11"/>
  <c r="CJ69" i="11" s="1"/>
  <c r="BT69" i="11"/>
  <c r="BR69" i="11"/>
  <c r="BP69" i="11"/>
  <c r="T69" i="11"/>
  <c r="CI68" i="11"/>
  <c r="CH68" i="11"/>
  <c r="CF68" i="11"/>
  <c r="CD68" i="11"/>
  <c r="CB68" i="11"/>
  <c r="BZ68" i="11"/>
  <c r="BX68" i="11"/>
  <c r="BV68" i="11"/>
  <c r="BT68" i="11"/>
  <c r="BR68" i="11"/>
  <c r="BP68" i="11"/>
  <c r="CJ68" i="11" s="1"/>
  <c r="T68" i="11"/>
  <c r="CI67" i="11"/>
  <c r="CH67" i="11"/>
  <c r="CF67" i="11"/>
  <c r="CD67" i="11"/>
  <c r="CB67" i="11"/>
  <c r="BZ67" i="11"/>
  <c r="BX67" i="11"/>
  <c r="BV67" i="11"/>
  <c r="BT67" i="11"/>
  <c r="BR67" i="11"/>
  <c r="CJ67" i="11" s="1"/>
  <c r="BP67" i="11"/>
  <c r="T67" i="11"/>
  <c r="CI66" i="11"/>
  <c r="CH66" i="11"/>
  <c r="CF66" i="11"/>
  <c r="CD66" i="11"/>
  <c r="CB66" i="11"/>
  <c r="BZ66" i="11"/>
  <c r="BX66" i="11"/>
  <c r="BV66" i="11"/>
  <c r="BT66" i="11"/>
  <c r="BR66" i="11"/>
  <c r="BP66" i="11"/>
  <c r="CJ66" i="11" s="1"/>
  <c r="T66" i="11"/>
  <c r="CI65" i="11"/>
  <c r="CH65" i="11"/>
  <c r="CF65" i="11"/>
  <c r="CD65" i="11"/>
  <c r="CB65" i="11"/>
  <c r="BZ65" i="11"/>
  <c r="BX65" i="11"/>
  <c r="BV65" i="11"/>
  <c r="CJ65" i="11" s="1"/>
  <c r="BT65" i="11"/>
  <c r="BR65" i="11"/>
  <c r="BP65" i="11"/>
  <c r="T65" i="11"/>
  <c r="CI64" i="11"/>
  <c r="CH64" i="11"/>
  <c r="CF64" i="11"/>
  <c r="CD64" i="11"/>
  <c r="CB64" i="11"/>
  <c r="BZ64" i="11"/>
  <c r="BX64" i="11"/>
  <c r="BV64" i="11"/>
  <c r="BT64" i="11"/>
  <c r="BR64" i="11"/>
  <c r="BP64" i="11"/>
  <c r="CJ64" i="11" s="1"/>
  <c r="T64" i="11"/>
  <c r="CI63" i="11"/>
  <c r="CH63" i="11"/>
  <c r="CF63" i="11"/>
  <c r="CD63" i="11"/>
  <c r="CB63" i="11"/>
  <c r="BZ63" i="11"/>
  <c r="BX63" i="11"/>
  <c r="BV63" i="11"/>
  <c r="BT63" i="11"/>
  <c r="BR63" i="11"/>
  <c r="CJ63" i="11" s="1"/>
  <c r="BP63" i="11"/>
  <c r="T63" i="11"/>
  <c r="CI62" i="11"/>
  <c r="CH62" i="11"/>
  <c r="CF62" i="11"/>
  <c r="CD62" i="11"/>
  <c r="CB62" i="11"/>
  <c r="BZ62" i="11"/>
  <c r="BX62" i="11"/>
  <c r="BV62" i="11"/>
  <c r="BT62" i="11"/>
  <c r="BR62" i="11"/>
  <c r="BP62" i="11"/>
  <c r="T62" i="11"/>
  <c r="CI61" i="11"/>
  <c r="CH61" i="11"/>
  <c r="CF61" i="11"/>
  <c r="CD61" i="11"/>
  <c r="CB61" i="11"/>
  <c r="BZ61" i="11"/>
  <c r="BX61" i="11"/>
  <c r="BV61" i="11"/>
  <c r="CJ61" i="11" s="1"/>
  <c r="BT61" i="11"/>
  <c r="BR61" i="11"/>
  <c r="BP61" i="11"/>
  <c r="T61" i="11"/>
  <c r="CI60" i="11"/>
  <c r="CH60" i="11"/>
  <c r="CF60" i="11"/>
  <c r="CD60" i="11"/>
  <c r="CB60" i="11"/>
  <c r="BZ60" i="11"/>
  <c r="BX60" i="11"/>
  <c r="BV60" i="11"/>
  <c r="BT60" i="11"/>
  <c r="BR60" i="11"/>
  <c r="BP60" i="11"/>
  <c r="CJ60" i="11" s="1"/>
  <c r="T60" i="11"/>
  <c r="CI59" i="11"/>
  <c r="CH59" i="11"/>
  <c r="CF59" i="11"/>
  <c r="CD59" i="11"/>
  <c r="CB59" i="11"/>
  <c r="BZ59" i="11"/>
  <c r="BX59" i="11"/>
  <c r="BV59" i="11"/>
  <c r="BT59" i="11"/>
  <c r="BR59" i="11"/>
  <c r="CJ59" i="11" s="1"/>
  <c r="BP59" i="11"/>
  <c r="T59" i="11"/>
  <c r="CI58" i="11"/>
  <c r="CH58" i="11"/>
  <c r="CF58" i="11"/>
  <c r="CD58" i="11"/>
  <c r="CB58" i="11"/>
  <c r="BZ58" i="11"/>
  <c r="BX58" i="11"/>
  <c r="BV58" i="11"/>
  <c r="BT58" i="11"/>
  <c r="BR58" i="11"/>
  <c r="BP58" i="11"/>
  <c r="T58" i="11"/>
  <c r="CI57" i="11"/>
  <c r="CH57" i="11"/>
  <c r="CF57" i="11"/>
  <c r="CD57" i="11"/>
  <c r="CB57" i="11"/>
  <c r="BZ57" i="11"/>
  <c r="BX57" i="11"/>
  <c r="BV57" i="11"/>
  <c r="CJ57" i="11" s="1"/>
  <c r="BT57" i="11"/>
  <c r="BR57" i="11"/>
  <c r="BP57" i="11"/>
  <c r="T57" i="11"/>
  <c r="CI56" i="11"/>
  <c r="CH56" i="11"/>
  <c r="CF56" i="11"/>
  <c r="CD56" i="11"/>
  <c r="CB56" i="11"/>
  <c r="BZ56" i="11"/>
  <c r="BX56" i="11"/>
  <c r="BV56" i="11"/>
  <c r="BT56" i="11"/>
  <c r="BR56" i="11"/>
  <c r="BP56" i="11"/>
  <c r="CJ56" i="11" s="1"/>
  <c r="T56" i="11"/>
  <c r="CI55" i="11"/>
  <c r="CH55" i="11"/>
  <c r="CF55" i="11"/>
  <c r="CD55" i="11"/>
  <c r="CB55" i="11"/>
  <c r="BZ55" i="11"/>
  <c r="BX55" i="11"/>
  <c r="BV55" i="11"/>
  <c r="BT55" i="11"/>
  <c r="BR55" i="11"/>
  <c r="CJ55" i="11" s="1"/>
  <c r="BP55" i="11"/>
  <c r="T55" i="11"/>
  <c r="CI54" i="11"/>
  <c r="CH54" i="11"/>
  <c r="CF54" i="11"/>
  <c r="CD54" i="11"/>
  <c r="CB54" i="11"/>
  <c r="BZ54" i="11"/>
  <c r="BX54" i="11"/>
  <c r="BV54" i="11"/>
  <c r="BT54" i="11"/>
  <c r="BR54" i="11"/>
  <c r="BP54" i="11"/>
  <c r="CJ54" i="11" s="1"/>
  <c r="T54" i="11"/>
  <c r="CI53" i="11"/>
  <c r="CH53" i="11"/>
  <c r="CF53" i="11"/>
  <c r="CD53" i="11"/>
  <c r="CB53" i="11"/>
  <c r="BZ53" i="11"/>
  <c r="BX53" i="11"/>
  <c r="BV53" i="11"/>
  <c r="CJ53" i="11" s="1"/>
  <c r="BT53" i="11"/>
  <c r="BR53" i="11"/>
  <c r="BP53" i="11"/>
  <c r="T53" i="11"/>
  <c r="CI52" i="11"/>
  <c r="CH52" i="11"/>
  <c r="CF52" i="11"/>
  <c r="CD52" i="11"/>
  <c r="CB52" i="11"/>
  <c r="BZ52" i="11"/>
  <c r="BX52" i="11"/>
  <c r="BV52" i="11"/>
  <c r="BT52" i="11"/>
  <c r="BR52" i="11"/>
  <c r="BP52" i="11"/>
  <c r="CJ52" i="11" s="1"/>
  <c r="T52" i="11"/>
  <c r="CI51" i="11"/>
  <c r="CH51" i="11"/>
  <c r="CF51" i="11"/>
  <c r="CD51" i="11"/>
  <c r="CB51" i="11"/>
  <c r="BZ51" i="11"/>
  <c r="BX51" i="11"/>
  <c r="BV51" i="11"/>
  <c r="BT51" i="11"/>
  <c r="BR51" i="11"/>
  <c r="CJ51" i="11" s="1"/>
  <c r="BP51" i="11"/>
  <c r="T51" i="11"/>
  <c r="CI50" i="11"/>
  <c r="CH50" i="11"/>
  <c r="CF50" i="11"/>
  <c r="CD50" i="11"/>
  <c r="CB50" i="11"/>
  <c r="BZ50" i="11"/>
  <c r="BX50" i="11"/>
  <c r="BV50" i="11"/>
  <c r="BT50" i="11"/>
  <c r="BR50" i="11"/>
  <c r="BP50" i="11"/>
  <c r="CJ50" i="11" s="1"/>
  <c r="T50" i="11"/>
  <c r="CI49" i="11"/>
  <c r="CH49" i="11"/>
  <c r="CF49" i="11"/>
  <c r="CD49" i="11"/>
  <c r="CB49" i="11"/>
  <c r="BZ49" i="11"/>
  <c r="BX49" i="11"/>
  <c r="BV49" i="11"/>
  <c r="CJ49" i="11" s="1"/>
  <c r="BT49" i="11"/>
  <c r="BR49" i="11"/>
  <c r="BP49" i="11"/>
  <c r="T49" i="11"/>
  <c r="CI48" i="11"/>
  <c r="CH48" i="11"/>
  <c r="CF48" i="11"/>
  <c r="CD48" i="11"/>
  <c r="CB48" i="11"/>
  <c r="BZ48" i="11"/>
  <c r="BX48" i="11"/>
  <c r="BV48" i="11"/>
  <c r="BT48" i="11"/>
  <c r="BR48" i="11"/>
  <c r="BP48" i="11"/>
  <c r="CJ48" i="11" s="1"/>
  <c r="T48" i="11"/>
  <c r="CI47" i="11"/>
  <c r="CH47" i="11"/>
  <c r="CF47" i="11"/>
  <c r="CD47" i="11"/>
  <c r="CB47" i="11"/>
  <c r="BZ47" i="11"/>
  <c r="BX47" i="11"/>
  <c r="BV47" i="11"/>
  <c r="BT47" i="11"/>
  <c r="BR47" i="11"/>
  <c r="CJ47" i="11" s="1"/>
  <c r="BP47" i="11"/>
  <c r="T47" i="11"/>
  <c r="CI46" i="11"/>
  <c r="CH46" i="11"/>
  <c r="CF46" i="11"/>
  <c r="CD46" i="11"/>
  <c r="CB46" i="11"/>
  <c r="BZ46" i="11"/>
  <c r="BX46" i="11"/>
  <c r="BV46" i="11"/>
  <c r="BT46" i="11"/>
  <c r="BR46" i="11"/>
  <c r="BP46" i="11"/>
  <c r="T46" i="11"/>
  <c r="CJ45" i="11"/>
  <c r="CI45" i="11"/>
  <c r="CH45" i="11"/>
  <c r="CF45" i="11"/>
  <c r="CD45" i="11"/>
  <c r="CB45" i="11"/>
  <c r="BZ45" i="11"/>
  <c r="BX45" i="11"/>
  <c r="BV45" i="11"/>
  <c r="BT45" i="11"/>
  <c r="BR45" i="11"/>
  <c r="BP45" i="11"/>
  <c r="T45" i="11"/>
  <c r="CI44" i="11"/>
  <c r="CH44" i="11"/>
  <c r="CF44" i="11"/>
  <c r="CD44" i="11"/>
  <c r="CB44" i="11"/>
  <c r="BZ44" i="11"/>
  <c r="BX44" i="11"/>
  <c r="BV44" i="11"/>
  <c r="BT44" i="11"/>
  <c r="BR44" i="11"/>
  <c r="BP44" i="11"/>
  <c r="CJ44" i="11" s="1"/>
  <c r="T44" i="11"/>
  <c r="CI43" i="11"/>
  <c r="CH43" i="11"/>
  <c r="CF43" i="11"/>
  <c r="CD43" i="11"/>
  <c r="CB43" i="11"/>
  <c r="BZ43" i="11"/>
  <c r="BX43" i="11"/>
  <c r="BV43" i="11"/>
  <c r="BT43" i="11"/>
  <c r="BR43" i="11"/>
  <c r="CJ43" i="11" s="1"/>
  <c r="BP43" i="11"/>
  <c r="T43" i="11"/>
  <c r="CI42" i="11"/>
  <c r="CH42" i="11"/>
  <c r="CF42" i="11"/>
  <c r="CD42" i="11"/>
  <c r="CB42" i="11"/>
  <c r="BZ42" i="11"/>
  <c r="BX42" i="11"/>
  <c r="BV42" i="11"/>
  <c r="BT42" i="11"/>
  <c r="BR42" i="11"/>
  <c r="BP42" i="11"/>
  <c r="T42" i="11"/>
  <c r="CI41" i="11"/>
  <c r="CH41" i="11"/>
  <c r="CF41" i="11"/>
  <c r="CD41" i="11"/>
  <c r="CB41" i="11"/>
  <c r="BZ41" i="11"/>
  <c r="BX41" i="11"/>
  <c r="BV41" i="11"/>
  <c r="CJ41" i="11" s="1"/>
  <c r="BT41" i="11"/>
  <c r="BR41" i="11"/>
  <c r="BP41" i="11"/>
  <c r="T41" i="11"/>
  <c r="CI40" i="11"/>
  <c r="CH40" i="11"/>
  <c r="CF40" i="11"/>
  <c r="CD40" i="11"/>
  <c r="CB40" i="11"/>
  <c r="BZ40" i="11"/>
  <c r="BX40" i="11"/>
  <c r="BV40" i="11"/>
  <c r="BT40" i="11"/>
  <c r="BR40" i="11"/>
  <c r="BP40" i="11"/>
  <c r="CJ40" i="11" s="1"/>
  <c r="T40" i="11"/>
  <c r="CI39" i="11"/>
  <c r="CH39" i="11"/>
  <c r="CF39" i="11"/>
  <c r="CD39" i="11"/>
  <c r="CB39" i="11"/>
  <c r="BZ39" i="11"/>
  <c r="BX39" i="11"/>
  <c r="BV39" i="11"/>
  <c r="BT39" i="11"/>
  <c r="BR39" i="11"/>
  <c r="CJ39" i="11" s="1"/>
  <c r="BP39" i="11"/>
  <c r="T39" i="11"/>
  <c r="CI38" i="11"/>
  <c r="CH38" i="11"/>
  <c r="CF38" i="11"/>
  <c r="CD38" i="11"/>
  <c r="CB38" i="11"/>
  <c r="BZ38" i="11"/>
  <c r="BX38" i="11"/>
  <c r="BV38" i="11"/>
  <c r="BT38" i="11"/>
  <c r="BR38" i="11"/>
  <c r="BP38" i="11"/>
  <c r="CJ38" i="11" s="1"/>
  <c r="T38" i="11"/>
  <c r="CI37" i="11"/>
  <c r="CH37" i="11"/>
  <c r="CF37" i="11"/>
  <c r="CD37" i="11"/>
  <c r="CB37" i="11"/>
  <c r="BZ37" i="11"/>
  <c r="BX37" i="11"/>
  <c r="BV37" i="11"/>
  <c r="CJ37" i="11" s="1"/>
  <c r="BT37" i="11"/>
  <c r="BR37" i="11"/>
  <c r="BP37" i="11"/>
  <c r="T37" i="11"/>
  <c r="CI36" i="11"/>
  <c r="CH36" i="11"/>
  <c r="CF36" i="11"/>
  <c r="CD36" i="11"/>
  <c r="CB36" i="11"/>
  <c r="BZ36" i="11"/>
  <c r="BX36" i="11"/>
  <c r="BV36" i="11"/>
  <c r="BT36" i="11"/>
  <c r="BR36" i="11"/>
  <c r="BP36" i="11"/>
  <c r="CJ36" i="11" s="1"/>
  <c r="T36" i="11"/>
  <c r="CI35" i="11"/>
  <c r="CH35" i="11"/>
  <c r="CF35" i="11"/>
  <c r="CD35" i="11"/>
  <c r="CB35" i="11"/>
  <c r="BZ35" i="11"/>
  <c r="BX35" i="11"/>
  <c r="BV35" i="11"/>
  <c r="BT35" i="11"/>
  <c r="BR35" i="11"/>
  <c r="CJ35" i="11" s="1"/>
  <c r="BP35" i="11"/>
  <c r="T35" i="11"/>
  <c r="CI34" i="11"/>
  <c r="CH34" i="11"/>
  <c r="CF34" i="11"/>
  <c r="CD34" i="11"/>
  <c r="CB34" i="11"/>
  <c r="BZ34" i="11"/>
  <c r="BX34" i="11"/>
  <c r="BV34" i="11"/>
  <c r="BT34" i="11"/>
  <c r="BR34" i="11"/>
  <c r="BP34" i="11"/>
  <c r="CJ34" i="11" s="1"/>
  <c r="CI33" i="11"/>
  <c r="CH33" i="11"/>
  <c r="CF33" i="11"/>
  <c r="CD33" i="11"/>
  <c r="CB33" i="11"/>
  <c r="BZ33" i="11"/>
  <c r="BX33" i="11"/>
  <c r="BV33" i="11"/>
  <c r="BT33" i="11"/>
  <c r="BR33" i="11"/>
  <c r="BP33" i="11"/>
  <c r="CJ33" i="11" s="1"/>
  <c r="CI32" i="11"/>
  <c r="CH32" i="11"/>
  <c r="CF32" i="11"/>
  <c r="CD32" i="11"/>
  <c r="CB32" i="11"/>
  <c r="BZ32" i="11"/>
  <c r="BX32" i="11"/>
  <c r="BV32" i="11"/>
  <c r="BT32" i="11"/>
  <c r="BR32" i="11"/>
  <c r="BP32" i="11"/>
  <c r="CI31" i="11"/>
  <c r="CH31" i="11"/>
  <c r="CF31" i="11"/>
  <c r="CD31" i="11"/>
  <c r="CB31" i="11"/>
  <c r="BZ31" i="11"/>
  <c r="BX31" i="11"/>
  <c r="BV31" i="11"/>
  <c r="BT31" i="11"/>
  <c r="BR31" i="11"/>
  <c r="BP31" i="11"/>
  <c r="CI30" i="11"/>
  <c r="CH30" i="11"/>
  <c r="CF30" i="11"/>
  <c r="CD30" i="11"/>
  <c r="CB30" i="11"/>
  <c r="BZ30" i="11"/>
  <c r="BX30" i="11"/>
  <c r="BV30" i="11"/>
  <c r="BT30" i="11"/>
  <c r="BR30" i="11"/>
  <c r="BP30" i="11"/>
  <c r="CJ30" i="11" s="1"/>
  <c r="CI29" i="11"/>
  <c r="CH29" i="11"/>
  <c r="CF29" i="11"/>
  <c r="CD29" i="11"/>
  <c r="CB29" i="11"/>
  <c r="BZ29" i="11"/>
  <c r="BX29" i="11"/>
  <c r="BV29" i="11"/>
  <c r="BT29" i="11"/>
  <c r="BR29" i="11"/>
  <c r="BP29" i="11"/>
  <c r="CJ29" i="11" s="1"/>
  <c r="CI28" i="11"/>
  <c r="CH28" i="11"/>
  <c r="CF28" i="11"/>
  <c r="CD28" i="11"/>
  <c r="CB28" i="11"/>
  <c r="BZ28" i="11"/>
  <c r="BX28" i="11"/>
  <c r="BV28" i="11"/>
  <c r="BT28" i="11"/>
  <c r="BR28" i="11"/>
  <c r="BP28" i="11"/>
  <c r="CI27" i="11"/>
  <c r="CH27" i="11"/>
  <c r="CF27" i="11"/>
  <c r="CD27" i="11"/>
  <c r="CB27" i="11"/>
  <c r="BZ27" i="11"/>
  <c r="BX27" i="11"/>
  <c r="BV27" i="11"/>
  <c r="BT27" i="11"/>
  <c r="BR27" i="11"/>
  <c r="BP27" i="11"/>
  <c r="CI26" i="11"/>
  <c r="CH26" i="11"/>
  <c r="CF26" i="11"/>
  <c r="CD26" i="11"/>
  <c r="CB26" i="11"/>
  <c r="BZ26" i="11"/>
  <c r="BX26" i="11"/>
  <c r="BV26" i="11"/>
  <c r="BT26" i="11"/>
  <c r="BR26" i="11"/>
  <c r="BP26" i="11"/>
  <c r="CJ26" i="11" s="1"/>
  <c r="CI25" i="11"/>
  <c r="CH25" i="11"/>
  <c r="CF25" i="11"/>
  <c r="CD25" i="11"/>
  <c r="CB25" i="11"/>
  <c r="BZ25" i="11"/>
  <c r="BX25" i="11"/>
  <c r="BV25" i="11"/>
  <c r="BT25" i="11"/>
  <c r="BR25" i="11"/>
  <c r="BP25" i="11"/>
  <c r="CJ25" i="11" s="1"/>
  <c r="CI24" i="11"/>
  <c r="CH24" i="11"/>
  <c r="CF24" i="11"/>
  <c r="CD24" i="11"/>
  <c r="CB24" i="11"/>
  <c r="BZ24" i="11"/>
  <c r="BX24" i="11"/>
  <c r="BV24" i="11"/>
  <c r="BT24" i="11"/>
  <c r="BR24" i="11"/>
  <c r="BP24" i="11"/>
  <c r="CI23" i="11"/>
  <c r="CH23" i="11"/>
  <c r="CF23" i="11"/>
  <c r="CD23" i="11"/>
  <c r="CB23" i="11"/>
  <c r="BZ23" i="11"/>
  <c r="BX23" i="11"/>
  <c r="BV23" i="11"/>
  <c r="BT23" i="11"/>
  <c r="BR23" i="11"/>
  <c r="BP23" i="11"/>
  <c r="CI22" i="11"/>
  <c r="CH22" i="11"/>
  <c r="CF22" i="11"/>
  <c r="CD22" i="11"/>
  <c r="CB22" i="11"/>
  <c r="BZ22" i="11"/>
  <c r="BX22" i="11"/>
  <c r="BV22" i="11"/>
  <c r="BT22" i="11"/>
  <c r="BR22" i="11"/>
  <c r="BP22" i="11"/>
  <c r="CJ22" i="11" s="1"/>
  <c r="CI21" i="11"/>
  <c r="CH21" i="11"/>
  <c r="CF21" i="11"/>
  <c r="CD21" i="11"/>
  <c r="CB21" i="11"/>
  <c r="BZ21" i="11"/>
  <c r="BX21" i="11"/>
  <c r="BV21" i="11"/>
  <c r="BT21" i="11"/>
  <c r="BR21" i="11"/>
  <c r="BP21" i="11"/>
  <c r="CJ21" i="11" s="1"/>
  <c r="CI20" i="11"/>
  <c r="CH20" i="11"/>
  <c r="CF20" i="11"/>
  <c r="CD20" i="11"/>
  <c r="CB20" i="11"/>
  <c r="BZ20" i="11"/>
  <c r="BX20" i="11"/>
  <c r="BV20" i="11"/>
  <c r="BT20" i="11"/>
  <c r="BR20" i="11"/>
  <c r="BP20" i="11"/>
  <c r="CI19" i="11"/>
  <c r="CH19" i="11"/>
  <c r="CF19" i="11"/>
  <c r="CD19" i="11"/>
  <c r="CB19" i="11"/>
  <c r="BZ19" i="11"/>
  <c r="BX19" i="11"/>
  <c r="BV19" i="11"/>
  <c r="BT19" i="11"/>
  <c r="BR19" i="11"/>
  <c r="BP19" i="11"/>
  <c r="CI18" i="11"/>
  <c r="CH18" i="11"/>
  <c r="CF18" i="11"/>
  <c r="CD18" i="11"/>
  <c r="CB18" i="11"/>
  <c r="BZ18" i="11"/>
  <c r="BX18" i="11"/>
  <c r="BV18" i="11"/>
  <c r="BT18" i="11"/>
  <c r="BR18" i="11"/>
  <c r="BP18" i="11"/>
  <c r="CJ18" i="11" s="1"/>
  <c r="CI17" i="11"/>
  <c r="CH17" i="11"/>
  <c r="CF17" i="11"/>
  <c r="CD17" i="11"/>
  <c r="CB17" i="11"/>
  <c r="BZ17" i="11"/>
  <c r="BX17" i="11"/>
  <c r="BV17" i="11"/>
  <c r="BT17" i="11"/>
  <c r="BR17" i="11"/>
  <c r="BP17" i="11"/>
  <c r="CJ17" i="11" s="1"/>
  <c r="CI16" i="11"/>
  <c r="CH16" i="11"/>
  <c r="CF16" i="11"/>
  <c r="CD16" i="11"/>
  <c r="CB16" i="11"/>
  <c r="BZ16" i="11"/>
  <c r="BX16" i="11"/>
  <c r="BV16" i="11"/>
  <c r="BT16" i="11"/>
  <c r="BR16" i="11"/>
  <c r="BP16" i="11"/>
  <c r="CI15" i="11"/>
  <c r="CH15" i="11"/>
  <c r="CF15" i="11"/>
  <c r="CD15" i="11"/>
  <c r="CB15" i="11"/>
  <c r="BZ15" i="11"/>
  <c r="BX15" i="11"/>
  <c r="BV15" i="11"/>
  <c r="BT15" i="11"/>
  <c r="BR15" i="11"/>
  <c r="BP15" i="11"/>
  <c r="CI14" i="11"/>
  <c r="CH14" i="11"/>
  <c r="CF14" i="11"/>
  <c r="CD14" i="11"/>
  <c r="CB14" i="11"/>
  <c r="BZ14" i="11"/>
  <c r="BX14" i="11"/>
  <c r="BV14" i="11"/>
  <c r="BT14" i="11"/>
  <c r="BR14" i="11"/>
  <c r="BP14" i="11"/>
  <c r="CJ14" i="11" s="1"/>
  <c r="CI13" i="11"/>
  <c r="CH13" i="11"/>
  <c r="CF13" i="11"/>
  <c r="CD13" i="11"/>
  <c r="CB13" i="11"/>
  <c r="BZ13" i="11"/>
  <c r="BX13" i="11"/>
  <c r="BV13" i="11"/>
  <c r="BT13" i="11"/>
  <c r="BR13" i="11"/>
  <c r="BP13" i="11"/>
  <c r="CJ13" i="11" s="1"/>
  <c r="CI12" i="11"/>
  <c r="CH12" i="11"/>
  <c r="CF12" i="11"/>
  <c r="CD12" i="11"/>
  <c r="CB12" i="11"/>
  <c r="BZ12" i="11"/>
  <c r="BX12" i="11"/>
  <c r="BV12" i="11"/>
  <c r="BT12" i="11"/>
  <c r="BR12" i="11"/>
  <c r="BP12" i="11"/>
  <c r="CI11" i="11"/>
  <c r="CH11" i="11"/>
  <c r="CF11" i="11"/>
  <c r="CD11" i="11"/>
  <c r="CB11" i="11"/>
  <c r="BZ11" i="11"/>
  <c r="BX11" i="11"/>
  <c r="BV11" i="11"/>
  <c r="BT11" i="11"/>
  <c r="BR11" i="11"/>
  <c r="BP11" i="11"/>
  <c r="CI10" i="11"/>
  <c r="CH10" i="11"/>
  <c r="CF10" i="11"/>
  <c r="CD10" i="11"/>
  <c r="CB10" i="11"/>
  <c r="BZ10" i="11"/>
  <c r="BX10" i="11"/>
  <c r="BV10" i="11"/>
  <c r="BT10" i="11"/>
  <c r="BR10" i="11"/>
  <c r="BP10" i="11"/>
  <c r="CJ10" i="11" s="1"/>
  <c r="CI9" i="11"/>
  <c r="CH9" i="11"/>
  <c r="CF9" i="11"/>
  <c r="CD9" i="11"/>
  <c r="CB9" i="11"/>
  <c r="BZ9" i="11"/>
  <c r="BX9" i="11"/>
  <c r="BV9" i="11"/>
  <c r="BT9" i="11"/>
  <c r="BR9" i="11"/>
  <c r="BP9" i="11"/>
  <c r="CJ9" i="11" s="1"/>
  <c r="AU9" i="11"/>
  <c r="AP9" i="11"/>
  <c r="Y9" i="11"/>
  <c r="T9" i="11"/>
  <c r="F9" i="11"/>
  <c r="AZ6" i="11"/>
  <c r="AX6" i="11"/>
  <c r="AW6" i="11"/>
  <c r="AV6" i="11"/>
  <c r="AU6" i="11"/>
  <c r="AT6" i="11"/>
  <c r="AS6" i="11"/>
  <c r="AQ6" i="11"/>
  <c r="AP6" i="11"/>
  <c r="AO6" i="11"/>
  <c r="AN6" i="11"/>
  <c r="AM6" i="11"/>
  <c r="AL6" i="11"/>
  <c r="AK6" i="11"/>
  <c r="AJ6" i="11"/>
  <c r="AI6" i="11"/>
  <c r="AH6" i="11"/>
  <c r="AG6" i="11"/>
  <c r="AF6" i="11"/>
  <c r="AE6" i="11"/>
  <c r="AD6" i="11"/>
  <c r="AC6" i="11"/>
  <c r="AB6" i="11"/>
  <c r="AR6" i="11" s="1"/>
  <c r="S6" i="11"/>
  <c r="P6" i="11"/>
  <c r="AY5" i="11"/>
  <c r="AX5" i="11"/>
  <c r="AW5" i="11"/>
  <c r="AV5" i="11"/>
  <c r="AU5" i="11"/>
  <c r="AZ5" i="11" s="1"/>
  <c r="AT5" i="11"/>
  <c r="AS5" i="11"/>
  <c r="S5" i="11" s="1"/>
  <c r="AQ5" i="11"/>
  <c r="AP5" i="11"/>
  <c r="AO5" i="11"/>
  <c r="AN5" i="11"/>
  <c r="AM5" i="11"/>
  <c r="AL5" i="11"/>
  <c r="AK5" i="11"/>
  <c r="AJ5" i="11"/>
  <c r="AI5" i="11"/>
  <c r="AH5" i="11"/>
  <c r="AG5" i="11"/>
  <c r="AF5" i="11"/>
  <c r="AE5" i="11"/>
  <c r="AD5" i="11"/>
  <c r="AC5" i="11"/>
  <c r="AB5" i="11"/>
  <c r="AR5" i="11" s="1"/>
  <c r="R5" i="11"/>
  <c r="Q5" i="11"/>
  <c r="P5" i="11"/>
  <c r="AZ4" i="11"/>
  <c r="AX4" i="11"/>
  <c r="AW4" i="11"/>
  <c r="AV4" i="11"/>
  <c r="AU4" i="11"/>
  <c r="AT4" i="11"/>
  <c r="AS4" i="11"/>
  <c r="AQ4" i="11"/>
  <c r="AP4" i="11"/>
  <c r="AO4" i="11"/>
  <c r="AN4" i="11"/>
  <c r="AM4" i="11"/>
  <c r="AL4" i="11"/>
  <c r="AK4" i="11"/>
  <c r="AJ4" i="11"/>
  <c r="AI4" i="11"/>
  <c r="AH4" i="11"/>
  <c r="AG4" i="11"/>
  <c r="AF4" i="11"/>
  <c r="Q4" i="11" s="1"/>
  <c r="AE4" i="11"/>
  <c r="AD4" i="11"/>
  <c r="AC4" i="11"/>
  <c r="AB4" i="11"/>
  <c r="AR4" i="11" s="1"/>
  <c r="S4" i="11"/>
  <c r="R4" i="11"/>
  <c r="P4" i="11"/>
  <c r="AY3" i="11"/>
  <c r="AX3" i="11"/>
  <c r="AW3" i="11"/>
  <c r="AV3" i="11"/>
  <c r="AU3" i="11"/>
  <c r="AZ3" i="11" s="1"/>
  <c r="AT3" i="11"/>
  <c r="AS3" i="11"/>
  <c r="AQ3" i="11"/>
  <c r="AP3" i="11"/>
  <c r="AO3" i="11"/>
  <c r="AN3" i="11"/>
  <c r="AM3" i="11"/>
  <c r="AL3" i="11"/>
  <c r="AK3" i="11"/>
  <c r="AJ3" i="11"/>
  <c r="AI3" i="11"/>
  <c r="AH3" i="11"/>
  <c r="AG3" i="11"/>
  <c r="AF3" i="11"/>
  <c r="AE3" i="11"/>
  <c r="AD3" i="11"/>
  <c r="AC3" i="11"/>
  <c r="AB3" i="11"/>
  <c r="AR3" i="11" s="1"/>
  <c r="S3" i="11"/>
  <c r="R3" i="11"/>
  <c r="Q3" i="11"/>
  <c r="P3" i="11"/>
  <c r="AZ2" i="11"/>
  <c r="AX2" i="11"/>
  <c r="AW2" i="11"/>
  <c r="AV2" i="11"/>
  <c r="AU2" i="11"/>
  <c r="AT2" i="11"/>
  <c r="AS2" i="11"/>
  <c r="AQ2" i="11"/>
  <c r="AP2" i="11"/>
  <c r="AO2" i="11"/>
  <c r="AN2" i="11"/>
  <c r="AM2" i="11"/>
  <c r="AL2" i="11"/>
  <c r="AK2" i="11"/>
  <c r="AJ2" i="11"/>
  <c r="AI2" i="11"/>
  <c r="AH2" i="11"/>
  <c r="AG2" i="11"/>
  <c r="AF2" i="11"/>
  <c r="AE2" i="11"/>
  <c r="AD2" i="11"/>
  <c r="AC2" i="11"/>
  <c r="AB2" i="11"/>
  <c r="AR2" i="11" s="1"/>
  <c r="S2" i="11"/>
  <c r="R2" i="11"/>
  <c r="P2" i="11"/>
  <c r="M36" i="9"/>
  <c r="D31" i="9"/>
  <c r="D30" i="9"/>
  <c r="D29" i="9"/>
  <c r="D28" i="9"/>
  <c r="D27" i="9"/>
  <c r="D26" i="9"/>
  <c r="D25" i="9"/>
  <c r="D24" i="9"/>
  <c r="D23" i="9"/>
  <c r="D22" i="9"/>
  <c r="D21" i="9"/>
  <c r="I47" i="9"/>
  <c r="E47" i="9"/>
  <c r="L46" i="9"/>
  <c r="H46" i="9"/>
  <c r="D46" i="9"/>
  <c r="K45" i="9"/>
  <c r="G45" i="9"/>
  <c r="C45" i="9"/>
  <c r="J44" i="9"/>
  <c r="F44" i="9"/>
  <c r="I43" i="9"/>
  <c r="E43" i="9"/>
  <c r="L42" i="9"/>
  <c r="H42" i="9"/>
  <c r="D42" i="9"/>
  <c r="K41" i="9"/>
  <c r="G41" i="9"/>
  <c r="C41" i="9"/>
  <c r="J40" i="9"/>
  <c r="F40" i="9"/>
  <c r="I39" i="9"/>
  <c r="E39" i="9"/>
  <c r="L38" i="9"/>
  <c r="H38" i="9"/>
  <c r="D38" i="9"/>
  <c r="K47" i="9"/>
  <c r="G47" i="9"/>
  <c r="C47" i="9"/>
  <c r="J46" i="9"/>
  <c r="F46" i="9"/>
  <c r="I45" i="9"/>
  <c r="E45" i="9"/>
  <c r="L44" i="9"/>
  <c r="H44" i="9"/>
  <c r="D44" i="9"/>
  <c r="K43" i="9"/>
  <c r="G43" i="9"/>
  <c r="C43" i="9"/>
  <c r="J42" i="9"/>
  <c r="F42" i="9"/>
  <c r="I41" i="9"/>
  <c r="E41" i="9"/>
  <c r="L40" i="9"/>
  <c r="H40" i="9"/>
  <c r="D40" i="9"/>
  <c r="K39" i="9"/>
  <c r="G39" i="9"/>
  <c r="C39" i="9"/>
  <c r="J38" i="9"/>
  <c r="F38" i="9"/>
  <c r="F45" i="9"/>
  <c r="E40" i="9"/>
  <c r="J37" i="9"/>
  <c r="F47" i="9"/>
  <c r="I46" i="9"/>
  <c r="L45" i="9"/>
  <c r="D45" i="9"/>
  <c r="G44" i="9"/>
  <c r="J43" i="9"/>
  <c r="E42" i="9"/>
  <c r="H41" i="9"/>
  <c r="K40" i="9"/>
  <c r="C40" i="9"/>
  <c r="F39" i="9"/>
  <c r="I38" i="9"/>
  <c r="I37" i="9"/>
  <c r="E37" i="9"/>
  <c r="L47" i="9"/>
  <c r="G46" i="9"/>
  <c r="J45" i="9"/>
  <c r="E44" i="9"/>
  <c r="K42" i="9"/>
  <c r="C42" i="9"/>
  <c r="I40" i="9"/>
  <c r="D39" i="9"/>
  <c r="L37" i="9"/>
  <c r="D37" i="9"/>
  <c r="C46" i="9"/>
  <c r="L43" i="9"/>
  <c r="J41" i="9"/>
  <c r="K38" i="9"/>
  <c r="F37" i="9"/>
  <c r="D47" i="9"/>
  <c r="H43" i="9"/>
  <c r="F41" i="9"/>
  <c r="L39" i="9"/>
  <c r="G38" i="9"/>
  <c r="H37" i="9"/>
  <c r="K46" i="9"/>
  <c r="D43" i="9"/>
  <c r="J47" i="9"/>
  <c r="E46" i="9"/>
  <c r="H45" i="9"/>
  <c r="K44" i="9"/>
  <c r="C44" i="9"/>
  <c r="F43" i="9"/>
  <c r="I42" i="9"/>
  <c r="L41" i="9"/>
  <c r="D41" i="9"/>
  <c r="G40" i="9"/>
  <c r="J39" i="9"/>
  <c r="E38" i="9"/>
  <c r="K37" i="9"/>
  <c r="G37" i="9"/>
  <c r="C37" i="9"/>
  <c r="H47" i="9"/>
  <c r="I44" i="9"/>
  <c r="G42" i="9"/>
  <c r="H39" i="9"/>
  <c r="C38" i="9"/>
  <c r="M38" i="9" l="1"/>
  <c r="M37" i="9"/>
  <c r="M44" i="9"/>
  <c r="M46" i="9"/>
  <c r="M42" i="9"/>
  <c r="M40" i="9"/>
  <c r="M39" i="9"/>
  <c r="M43" i="9"/>
  <c r="M47" i="9"/>
  <c r="M41" i="9"/>
  <c r="M45" i="9"/>
  <c r="CJ12" i="11"/>
  <c r="CJ16" i="11"/>
  <c r="CJ20" i="11"/>
  <c r="CJ24" i="11"/>
  <c r="CJ28" i="11"/>
  <c r="CJ32" i="11"/>
  <c r="CJ42" i="11"/>
  <c r="CJ58" i="11"/>
  <c r="CJ11" i="11"/>
  <c r="CJ15" i="11"/>
  <c r="CJ19" i="11"/>
  <c r="CJ23" i="11"/>
  <c r="CJ27" i="11"/>
  <c r="CJ31" i="11"/>
  <c r="CJ46" i="11"/>
  <c r="CJ62" i="11"/>
  <c r="AY2" i="11"/>
  <c r="Q2" i="11"/>
  <c r="AY6" i="11"/>
  <c r="R6" i="11"/>
  <c r="Q6" i="11"/>
  <c r="AY4" i="11"/>
  <c r="CJ174" i="11"/>
  <c r="CJ175" i="11"/>
  <c r="CJ162" i="11"/>
  <c r="CJ178" i="11"/>
  <c r="CJ183" i="11"/>
  <c r="CJ372" i="11"/>
  <c r="CJ367" i="11"/>
  <c r="CJ363" i="11"/>
  <c r="CJ375" i="11"/>
  <c r="CJ376" i="11"/>
  <c r="CJ383" i="11"/>
  <c r="CJ384" i="11"/>
  <c r="CJ391" i="11"/>
  <c r="CJ392" i="11"/>
  <c r="CJ399" i="11"/>
  <c r="CJ400" i="11"/>
  <c r="CJ407" i="11"/>
  <c r="CJ408" i="11"/>
</calcChain>
</file>

<file path=xl/comments1.xml><?xml version="1.0" encoding="utf-8"?>
<comments xmlns="http://schemas.openxmlformats.org/spreadsheetml/2006/main">
  <authors>
    <author>Amber Blanchard</author>
  </authors>
  <commentList>
    <comment ref="F2" authorId="0" shapeId="0">
      <text>
        <r>
          <rPr>
            <b/>
            <sz val="9"/>
            <color indexed="81"/>
            <rFont val="Tahoma"/>
            <family val="2"/>
          </rPr>
          <t>Amber Blanchard:</t>
        </r>
        <r>
          <rPr>
            <sz val="9"/>
            <color indexed="81"/>
            <rFont val="Tahoma"/>
            <family val="2"/>
          </rPr>
          <t xml:space="preserve">
Need to move to FY 2020 due to fund availability from Wisconsin as of 12-8-15.  Blatnik total painting cost is $12.9M (2019 $) which means a $6.5M MN share updated from Nancy Sannes on 8-10-15.
Discussed with Nancy Sannes that WISDOT won't have their share of the money for Blatnik until 2020 and the cost of the bridge painting will increase.  Will discuss more as the management plan study is completed.  Phone conversation on 8-6-15.</t>
        </r>
      </text>
    </comment>
    <comment ref="F4" authorId="0" shapeId="0">
      <text>
        <r>
          <rPr>
            <b/>
            <sz val="9"/>
            <color indexed="81"/>
            <rFont val="Tahoma"/>
            <family val="2"/>
          </rPr>
          <t>Amber Blanchard:</t>
        </r>
        <r>
          <rPr>
            <sz val="9"/>
            <color indexed="81"/>
            <rFont val="Tahoma"/>
            <family val="2"/>
          </rPr>
          <t xml:space="preserve">
Added bridges 69802D and E into project.  Moved from 2023 to 2022 to balance overprogramming in 2023 as of 7-6-16.  Added in from draft 2021-2026 CHIP on 5-17-16.  Nancy currently has this funded with DRMP but would like funded with SPP.</t>
        </r>
      </text>
    </comment>
    <comment ref="F5" authorId="0" shapeId="0">
      <text>
        <r>
          <rPr>
            <b/>
            <sz val="9"/>
            <color indexed="81"/>
            <rFont val="Tahoma"/>
            <family val="2"/>
          </rPr>
          <t>Amber Blanchard:</t>
        </r>
        <r>
          <rPr>
            <sz val="9"/>
            <color indexed="81"/>
            <rFont val="Tahoma"/>
            <family val="2"/>
          </rPr>
          <t xml:space="preserve">
Moved from 2023 to 2024; cost changed from $3965328 to $4123941 as of 5-17-16 in draft 2021-2026 CHIP.  Bridges 9787, 9788, 9789, 9790 will be constructed together in one project with pavement, year TBD according to Nancy as of 12-8-15.</t>
        </r>
      </text>
    </comment>
    <comment ref="F6" authorId="0" shapeId="0">
      <text>
        <r>
          <rPr>
            <b/>
            <sz val="9"/>
            <color indexed="81"/>
            <rFont val="Tahoma"/>
            <family val="2"/>
          </rPr>
          <t>Amber Blanchard:</t>
        </r>
        <r>
          <rPr>
            <sz val="9"/>
            <color indexed="81"/>
            <rFont val="Tahoma"/>
            <family val="2"/>
          </rPr>
          <t xml:space="preserve">
Moved from 2023 to 2024; cost changed from $3153192 to $3279320 as of 5-17-16 in draft 2021-2026 CHIP.</t>
        </r>
      </text>
    </comment>
    <comment ref="F9" authorId="0" shapeId="0">
      <text>
        <r>
          <rPr>
            <b/>
            <sz val="9"/>
            <color indexed="81"/>
            <rFont val="Tahoma"/>
            <family val="2"/>
          </rPr>
          <t>Amber Blanchard:</t>
        </r>
        <r>
          <rPr>
            <sz val="9"/>
            <color indexed="81"/>
            <rFont val="Tahoma"/>
            <family val="2"/>
          </rPr>
          <t xml:space="preserve">
Updated estimate from $2.4M to $4.958M as of 6-9-16.  Added to 2024 based on draft 2021-2026 CHIP as of 5-17-16.</t>
        </r>
      </text>
    </comment>
    <comment ref="F10" authorId="0" shapeId="0">
      <text>
        <r>
          <rPr>
            <b/>
            <sz val="9"/>
            <color indexed="81"/>
            <rFont val="Tahoma"/>
            <family val="2"/>
          </rPr>
          <t>Amber Blanchard:</t>
        </r>
        <r>
          <rPr>
            <sz val="9"/>
            <color indexed="81"/>
            <rFont val="Tahoma"/>
            <family val="2"/>
          </rPr>
          <t xml:space="preserve">
Updated estimate from $1.41M to $2.392M as of 6-9-16.</t>
        </r>
      </text>
    </comment>
    <comment ref="F11" authorId="0" shapeId="0">
      <text>
        <r>
          <rPr>
            <b/>
            <sz val="9"/>
            <color indexed="81"/>
            <rFont val="Tahoma"/>
            <family val="2"/>
          </rPr>
          <t>Amber Blanchard:</t>
        </r>
        <r>
          <rPr>
            <sz val="9"/>
            <color indexed="81"/>
            <rFont val="Tahoma"/>
            <family val="2"/>
          </rPr>
          <t xml:space="preserve">
Updated estimate from $1.41M to $3.4776M as of 6-9-16.</t>
        </r>
      </text>
    </comment>
    <comment ref="F13" authorId="0" shapeId="0">
      <text>
        <r>
          <rPr>
            <b/>
            <sz val="9"/>
            <color indexed="81"/>
            <rFont val="Tahoma"/>
            <charset val="1"/>
          </rPr>
          <t>Amber Blanchard:</t>
        </r>
        <r>
          <rPr>
            <sz val="9"/>
            <color indexed="81"/>
            <rFont val="Tahoma"/>
            <charset val="1"/>
          </rPr>
          <t xml:space="preserve">
Included estimate of $4M for 69879E and $38M for 69879 based on email from Kevin R. on 7-8-16.  Added per discussion with Nancy S. on 7-6-16.  Need estimate from D1.</t>
        </r>
      </text>
    </comment>
    <comment ref="F14" authorId="0" shapeId="0">
      <text>
        <r>
          <rPr>
            <b/>
            <sz val="9"/>
            <color indexed="81"/>
            <rFont val="Tahoma"/>
            <charset val="1"/>
          </rPr>
          <t>Amber Blanchard:</t>
        </r>
        <r>
          <rPr>
            <sz val="9"/>
            <color indexed="81"/>
            <rFont val="Tahoma"/>
            <charset val="1"/>
          </rPr>
          <t xml:space="preserve">
Program in even FY so that if issues come up, it won't interfere with a new biennium as discussed with Sue T. 9-20-16.</t>
        </r>
      </text>
    </comment>
  </commentList>
</comments>
</file>

<file path=xl/comments2.xml><?xml version="1.0" encoding="utf-8"?>
<comments xmlns="http://schemas.openxmlformats.org/spreadsheetml/2006/main">
  <authors>
    <author>Amber Blanchard</author>
  </authors>
  <commentList>
    <comment ref="F4" authorId="0" shapeId="0">
      <text>
        <r>
          <rPr>
            <b/>
            <sz val="9"/>
            <color indexed="81"/>
            <rFont val="Tahoma"/>
            <family val="2"/>
          </rPr>
          <t>Amber Blanchard:</t>
        </r>
        <r>
          <rPr>
            <sz val="9"/>
            <color indexed="81"/>
            <rFont val="Tahoma"/>
            <family val="2"/>
          </rPr>
          <t xml:space="preserve">
D3 would like to perform bridge work earlier if possible (consider if $ becomes available) as per Adam A. on 10-19-16.  Potential for DB as included in grading project.  County looking to widen which would affect I94 as of MPC discussion on 8-11-16.  May need to move to FY 2022 due to staging issues on I94 paving project as of MPC discussion on 6-2-16.</t>
        </r>
      </text>
    </comment>
    <comment ref="F5" authorId="0" shapeId="0">
      <text>
        <r>
          <rPr>
            <b/>
            <sz val="9"/>
            <color indexed="81"/>
            <rFont val="Tahoma"/>
            <family val="2"/>
          </rPr>
          <t>Amber Blanchard:</t>
        </r>
        <r>
          <rPr>
            <sz val="9"/>
            <color indexed="81"/>
            <rFont val="Tahoma"/>
            <family val="2"/>
          </rPr>
          <t xml:space="preserve">
D3 would like to perform bridge work earlier if possible (consider if $ becomes available) as per Adam A. on 10-19-16. Potential for DB as included in grading project.  County looking to widen which would affect I94 as of MPC discussion on 8-11-16. May need to move to FY 2022 due to staging issues on I94 paving project as of MPC discussion on 6-2-16.</t>
        </r>
      </text>
    </comment>
    <comment ref="F7" authorId="0" shapeId="0">
      <text>
        <r>
          <rPr>
            <b/>
            <sz val="9"/>
            <color indexed="81"/>
            <rFont val="Tahoma"/>
            <family val="2"/>
          </rPr>
          <t>Amber Blanchard:</t>
        </r>
        <r>
          <rPr>
            <sz val="9"/>
            <color indexed="81"/>
            <rFont val="Tahoma"/>
            <family val="2"/>
          </rPr>
          <t xml:space="preserve">
Tied with roadway project.  Needs to stay in 2022.</t>
        </r>
      </text>
    </comment>
    <comment ref="F8" authorId="0" shapeId="0">
      <text>
        <r>
          <rPr>
            <b/>
            <sz val="9"/>
            <color indexed="81"/>
            <rFont val="Tahoma"/>
            <family val="2"/>
          </rPr>
          <t>Amber Blanchard:</t>
        </r>
        <r>
          <rPr>
            <sz val="9"/>
            <color indexed="81"/>
            <rFont val="Tahoma"/>
            <family val="2"/>
          </rPr>
          <t xml:space="preserve">
Tied with roadway project.  Needs to stay in 2022.</t>
        </r>
      </text>
    </comment>
    <comment ref="F9" authorId="0" shapeId="0">
      <text>
        <r>
          <rPr>
            <b/>
            <sz val="9"/>
            <color indexed="81"/>
            <rFont val="Tahoma"/>
            <family val="2"/>
          </rPr>
          <t>Amber Blanchard:</t>
        </r>
        <r>
          <rPr>
            <sz val="9"/>
            <color indexed="81"/>
            <rFont val="Tahoma"/>
            <family val="2"/>
          </rPr>
          <t xml:space="preserve">
Added based on draft 2021-2026 CHIP as MN 65 is NHS route as of 5-17-16.</t>
        </r>
      </text>
    </comment>
    <comment ref="F13" authorId="0" shapeId="0">
      <text>
        <r>
          <rPr>
            <b/>
            <sz val="9"/>
            <color indexed="81"/>
            <rFont val="Tahoma"/>
            <family val="2"/>
          </rPr>
          <t>Amber Blanchard:</t>
        </r>
        <r>
          <rPr>
            <sz val="9"/>
            <color indexed="81"/>
            <rFont val="Tahoma"/>
            <family val="2"/>
          </rPr>
          <t xml:space="preserve">
Moved from 2025 to 2023 based on draft 2021-2026 CHIP as of 5-17-16.</t>
        </r>
      </text>
    </comment>
    <comment ref="F14" authorId="0" shapeId="0">
      <text>
        <r>
          <rPr>
            <b/>
            <sz val="9"/>
            <color indexed="81"/>
            <rFont val="Tahoma"/>
            <family val="2"/>
          </rPr>
          <t>Amber Blanchard:</t>
        </r>
        <r>
          <rPr>
            <sz val="9"/>
            <color indexed="81"/>
            <rFont val="Tahoma"/>
            <family val="2"/>
          </rPr>
          <t xml:space="preserve">
Recommendation made recently to reduce classification to minor arterial but still shown funded by SPP for now as of 5-17-16.</t>
        </r>
      </text>
    </comment>
    <comment ref="F15" authorId="0" shapeId="0">
      <text>
        <r>
          <rPr>
            <b/>
            <sz val="9"/>
            <color indexed="81"/>
            <rFont val="Tahoma"/>
            <family val="2"/>
          </rPr>
          <t>Amber Blanchard:</t>
        </r>
        <r>
          <rPr>
            <sz val="9"/>
            <color indexed="81"/>
            <rFont val="Tahoma"/>
            <family val="2"/>
          </rPr>
          <t xml:space="preserve">
Added based on draft 2021-2026 CHIP as of 5-17-16.</t>
        </r>
      </text>
    </comment>
    <comment ref="F16" authorId="0" shapeId="0">
      <text>
        <r>
          <rPr>
            <b/>
            <sz val="9"/>
            <color indexed="81"/>
            <rFont val="Tahoma"/>
            <family val="2"/>
          </rPr>
          <t>Amber Blanchard:</t>
        </r>
        <r>
          <rPr>
            <sz val="9"/>
            <color indexed="81"/>
            <rFont val="Tahoma"/>
            <family val="2"/>
          </rPr>
          <t xml:space="preserve">
Moved from 2025 to 2024 based on draft 2021-2026 CHIP as of 5-17-16.</t>
        </r>
      </text>
    </comment>
    <comment ref="F17"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18"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19"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20" authorId="0" shapeId="0">
      <text>
        <r>
          <rPr>
            <b/>
            <sz val="9"/>
            <color indexed="81"/>
            <rFont val="Tahoma"/>
            <family val="2"/>
          </rPr>
          <t>Amber Blanchard:</t>
        </r>
        <r>
          <rPr>
            <sz val="9"/>
            <color indexed="81"/>
            <rFont val="Tahoma"/>
            <family val="2"/>
          </rPr>
          <t xml:space="preserve">
Moved from 2025 to 2024 based on draft 2021-2026 CHIP as of 5-17-16.</t>
        </r>
      </text>
    </comment>
    <comment ref="F21" authorId="0" shapeId="0">
      <text>
        <r>
          <rPr>
            <b/>
            <sz val="9"/>
            <color indexed="81"/>
            <rFont val="Tahoma"/>
            <family val="2"/>
          </rPr>
          <t>Amber Blanchard:</t>
        </r>
        <r>
          <rPr>
            <sz val="9"/>
            <color indexed="81"/>
            <rFont val="Tahoma"/>
            <family val="2"/>
          </rPr>
          <t xml:space="preserve">
With paving project as of 5-17-16.</t>
        </r>
      </text>
    </comment>
    <comment ref="F22" authorId="0" shapeId="0">
      <text>
        <r>
          <rPr>
            <b/>
            <sz val="9"/>
            <color indexed="81"/>
            <rFont val="Tahoma"/>
            <family val="2"/>
          </rPr>
          <t>Amber Blanchard:</t>
        </r>
        <r>
          <rPr>
            <sz val="9"/>
            <color indexed="81"/>
            <rFont val="Tahoma"/>
            <family val="2"/>
          </rPr>
          <t xml:space="preserve">
With paving project as of 5-17-16.</t>
        </r>
      </text>
    </comment>
    <comment ref="F23"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 ref="F24"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 ref="F25"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List>
</comments>
</file>

<file path=xl/comments3.xml><?xml version="1.0" encoding="utf-8"?>
<comments xmlns="http://schemas.openxmlformats.org/spreadsheetml/2006/main">
  <authors>
    <author>Amber Blanchard</author>
  </authors>
  <commentList>
    <comment ref="F2" authorId="0" shapeId="0">
      <text>
        <r>
          <rPr>
            <b/>
            <sz val="9"/>
            <color indexed="81"/>
            <rFont val="Tahoma"/>
            <family val="2"/>
          </rPr>
          <t>Amber Blanchard:</t>
        </r>
        <r>
          <rPr>
            <sz val="9"/>
            <color indexed="81"/>
            <rFont val="Tahoma"/>
            <family val="2"/>
          </rPr>
          <t xml:space="preserve">
Rounded up to $1.8M to match 2016-2019 STIP guidance as of 2-23-15.  Changed from $3,125,359 to $1,800,000 due to new scoping level estimate at $1,750,000 for both bridges.  </t>
        </r>
      </text>
    </comment>
    <comment ref="F3" authorId="0" shapeId="0">
      <text>
        <r>
          <rPr>
            <b/>
            <sz val="9"/>
            <color indexed="81"/>
            <rFont val="Tahoma"/>
            <family val="2"/>
          </rPr>
          <t>Amber Blanchard:</t>
        </r>
        <r>
          <rPr>
            <sz val="9"/>
            <color indexed="81"/>
            <rFont val="Tahoma"/>
            <family val="2"/>
          </rPr>
          <t xml:space="preserve">
Updated estimate from $2M to $3.1M as of 6-9-16.</t>
        </r>
      </text>
    </comment>
  </commentList>
</comments>
</file>

<file path=xl/comments4.xml><?xml version="1.0" encoding="utf-8"?>
<comments xmlns="http://schemas.openxmlformats.org/spreadsheetml/2006/main">
  <authors>
    <author>Amber Blanchard</author>
  </authors>
  <commentList>
    <comment ref="F3" authorId="0" shapeId="0">
      <text>
        <r>
          <rPr>
            <b/>
            <sz val="9"/>
            <color indexed="81"/>
            <rFont val="Tahoma"/>
            <family val="2"/>
          </rPr>
          <t>Amber Blanchard:</t>
        </r>
        <r>
          <rPr>
            <sz val="9"/>
            <color indexed="81"/>
            <rFont val="Tahoma"/>
            <family val="2"/>
          </rPr>
          <t xml:space="preserve">
Changed cost estimate of bridge from $100M to $103,140,694 based on revised estimate from Scott P. on 2-4-16.  Revised $30M in FY 2020 to $33,140,694.  Confirmed $ via discussion with Scott P. on 2-25-15.  Trudy to confirm bridge cost based on discussion on 2-11-15.</t>
        </r>
      </text>
    </comment>
    <comment ref="E4" authorId="0" shapeId="0">
      <text>
        <r>
          <rPr>
            <b/>
            <sz val="9"/>
            <color indexed="81"/>
            <rFont val="Tahoma"/>
            <charset val="1"/>
          </rPr>
          <t>Amber Blanchard:</t>
        </r>
        <r>
          <rPr>
            <sz val="9"/>
            <color indexed="81"/>
            <rFont val="Tahoma"/>
            <charset val="1"/>
          </rPr>
          <t xml:space="preserve">
Deficient VC: 16</t>
        </r>
      </text>
    </comment>
    <comment ref="F4" authorId="0" shapeId="0">
      <text>
        <r>
          <rPr>
            <b/>
            <sz val="9"/>
            <color indexed="81"/>
            <rFont val="Tahoma"/>
            <family val="2"/>
          </rPr>
          <t>Amber Blanchard:</t>
        </r>
        <r>
          <rPr>
            <sz val="9"/>
            <color indexed="81"/>
            <rFont val="Tahoma"/>
            <family val="2"/>
          </rPr>
          <t xml:space="preserve">
Planning to deliver project in FY 2018 by borrowing money from another functional group.  Keep bridge in FY 2020 for pay back as discussed with C. Hoberg on 2-24-16.  Moved from FY 18 to FY 20 per Chris as of 1-13-16. Moved back to FY 2018 per Chris as of 11-19-15.  Moved to FY 2020 per Metro's request as of 9-30-15.  Will be SPP funds since $ moved as of 9-14-15 (see comments).  Metro would like moved to FY 2020 with DRMP as of 7-8-15.</t>
        </r>
      </text>
    </comment>
    <comment ref="F5" authorId="0" shapeId="0">
      <text>
        <r>
          <rPr>
            <b/>
            <sz val="9"/>
            <color indexed="81"/>
            <rFont val="Tahoma"/>
            <family val="2"/>
          </rPr>
          <t>Amber Blanchard:</t>
        </r>
        <r>
          <rPr>
            <sz val="9"/>
            <color indexed="81"/>
            <rFont val="Tahoma"/>
            <family val="2"/>
          </rPr>
          <t xml:space="preserve">
Put in FY 2020 as part of MnPASS on 35W based on approval from Brian Gage to Metro and based on discussion with Molly, Chris, Lynne, Cindy on 8-24-16.  Bridges included in 35W MnPASS project in STIP according to Chris and Molly on 3-7-16.</t>
        </r>
      </text>
    </comment>
    <comment ref="F6" authorId="0" shapeId="0">
      <text>
        <r>
          <rPr>
            <b/>
            <sz val="9"/>
            <color indexed="81"/>
            <rFont val="Tahoma"/>
            <family val="2"/>
          </rPr>
          <t>Amber Blanchard:</t>
        </r>
        <r>
          <rPr>
            <sz val="9"/>
            <color indexed="81"/>
            <rFont val="Tahoma"/>
            <family val="2"/>
          </rPr>
          <t xml:space="preserve">
Updated cost from $9.9M to $17.9M as Metro moved projects out of FY 2021 to accommodate as of 3-7-16.  Move to FY 2021 as not ready to include in STIP in FY 2020 per discussion on 1-11-16. Paving project on TH 65 in FY 2023 or 2024 per Molly on 11-19-15.  Looking to do CMGC.</t>
        </r>
      </text>
    </comment>
    <comment ref="F7" authorId="0" shapeId="0">
      <text>
        <r>
          <rPr>
            <b/>
            <sz val="9"/>
            <color indexed="81"/>
            <rFont val="Tahoma"/>
            <family val="2"/>
          </rPr>
          <t>Amber Blanchard:</t>
        </r>
        <r>
          <rPr>
            <sz val="9"/>
            <color indexed="81"/>
            <rFont val="Tahoma"/>
            <family val="2"/>
          </rPr>
          <t xml:space="preserve">
Chris has two other bridges in the area to include in project as of 2-24-16.  Moved from 2018 to 2021 and changed to redeck both bridges for $8M.</t>
        </r>
      </text>
    </comment>
    <comment ref="F8" authorId="0" shapeId="0">
      <text>
        <r>
          <rPr>
            <b/>
            <sz val="9"/>
            <color indexed="81"/>
            <rFont val="Tahoma"/>
            <family val="2"/>
          </rPr>
          <t>Amber Blanchard:</t>
        </r>
        <r>
          <rPr>
            <sz val="9"/>
            <color indexed="81"/>
            <rFont val="Tahoma"/>
            <family val="2"/>
          </rPr>
          <t xml:space="preserve">
Updated cost from $3.1M to $5M as of 3-7-16.  Metro would like to move up to FY 2019, FY 2021 at the latest according to Trudy's email 8-17-15.  Keep in FY 2022 based on discussion with Trudy on 2-11-15.</t>
        </r>
      </text>
    </comment>
    <comment ref="F9" authorId="0" shapeId="0">
      <text>
        <r>
          <rPr>
            <b/>
            <sz val="9"/>
            <color indexed="81"/>
            <rFont val="Tahoma"/>
            <family val="2"/>
          </rPr>
          <t>Amber Blanchard:</t>
        </r>
        <r>
          <rPr>
            <sz val="9"/>
            <color indexed="81"/>
            <rFont val="Tahoma"/>
            <family val="2"/>
          </rPr>
          <t xml:space="preserve">
Added in based on discussion with Trudy on 2-11-15.</t>
        </r>
      </text>
    </comment>
    <comment ref="F10" authorId="0" shapeId="0">
      <text>
        <r>
          <rPr>
            <b/>
            <sz val="9"/>
            <color indexed="81"/>
            <rFont val="Tahoma"/>
            <family val="2"/>
          </rPr>
          <t>Amber Blanchard:</t>
        </r>
        <r>
          <rPr>
            <sz val="9"/>
            <color indexed="81"/>
            <rFont val="Tahoma"/>
            <family val="2"/>
          </rPr>
          <t xml:space="preserve">
Probably better candidate for reoverlay instead of redeck discussed with Chris Hoberg on 2-24-16.  Moved to 2023 due to overprogramming in 2021 (3-12-15).  Moved from 2019 to 2021.  Assumed $4M for redeck instead of $2M for reoverlay.  May be able to push out if needed as per conversation with T. Elsner 1-14-15.</t>
        </r>
      </text>
    </comment>
    <comment ref="F11" authorId="0" shapeId="0">
      <text>
        <r>
          <rPr>
            <b/>
            <sz val="9"/>
            <color indexed="81"/>
            <rFont val="Tahoma"/>
            <family val="2"/>
          </rPr>
          <t>Amber Blanchard:</t>
        </r>
        <r>
          <rPr>
            <sz val="9"/>
            <color indexed="81"/>
            <rFont val="Tahoma"/>
            <family val="2"/>
          </rPr>
          <t xml:space="preserve">
Added based on discussion with Trudy on 2-11-15.  Moving bearings.</t>
        </r>
      </text>
    </comment>
    <comment ref="E12" authorId="0" shapeId="0">
      <text>
        <r>
          <rPr>
            <b/>
            <sz val="9"/>
            <color indexed="81"/>
            <rFont val="Tahoma"/>
            <family val="2"/>
          </rPr>
          <t>Amber Blanchard:</t>
        </r>
        <r>
          <rPr>
            <sz val="9"/>
            <color indexed="81"/>
            <rFont val="Tahoma"/>
            <family val="2"/>
          </rPr>
          <t xml:space="preserve">
ABC is yes on 27033</t>
        </r>
      </text>
    </comment>
    <comment ref="F13" authorId="0" shapeId="0">
      <text>
        <r>
          <rPr>
            <b/>
            <sz val="9"/>
            <color indexed="81"/>
            <rFont val="Tahoma"/>
            <family val="2"/>
          </rPr>
          <t>Amber Blanchard:</t>
        </r>
        <r>
          <rPr>
            <sz val="9"/>
            <color indexed="81"/>
            <rFont val="Tahoma"/>
            <family val="2"/>
          </rPr>
          <t xml:space="preserve">
Added based on discussion with Trudy on 2-11-15. </t>
        </r>
      </text>
    </comment>
    <comment ref="E14" authorId="0" shapeId="0">
      <text>
        <r>
          <rPr>
            <b/>
            <sz val="9"/>
            <color indexed="81"/>
            <rFont val="Tahoma"/>
            <family val="2"/>
          </rPr>
          <t>Amber Blanchard:</t>
        </r>
        <r>
          <rPr>
            <sz val="9"/>
            <color indexed="81"/>
            <rFont val="Tahoma"/>
            <family val="2"/>
          </rPr>
          <t xml:space="preserve">
All yes to ABC except Br. 9715</t>
        </r>
      </text>
    </comment>
    <comment ref="F14" authorId="0" shapeId="0">
      <text>
        <r>
          <rPr>
            <b/>
            <sz val="9"/>
            <color indexed="81"/>
            <rFont val="Tahoma"/>
            <family val="2"/>
          </rPr>
          <t>Amber Blanchard:</t>
        </r>
        <r>
          <rPr>
            <sz val="9"/>
            <color indexed="81"/>
            <rFont val="Tahoma"/>
            <family val="2"/>
          </rPr>
          <t xml:space="preserve">
Metro would like to move to FY 2022 in place of 9 mile creek bridge as of 7-8-15.  Trudy wants to move to 2022.</t>
        </r>
      </text>
    </comment>
    <comment ref="F15" authorId="0" shapeId="0">
      <text>
        <r>
          <rPr>
            <b/>
            <sz val="9"/>
            <color indexed="81"/>
            <rFont val="Tahoma"/>
            <family val="2"/>
          </rPr>
          <t>Amber Blanchard:</t>
        </r>
        <r>
          <rPr>
            <sz val="9"/>
            <color indexed="81"/>
            <rFont val="Tahoma"/>
            <family val="2"/>
          </rPr>
          <t xml:space="preserve">
Trudy to scope for 2021.</t>
        </r>
      </text>
    </comment>
    <comment ref="F16" authorId="0" shapeId="0">
      <text>
        <r>
          <rPr>
            <b/>
            <sz val="9"/>
            <color indexed="81"/>
            <rFont val="Tahoma"/>
            <family val="2"/>
          </rPr>
          <t>Amber Blanchard:</t>
        </r>
        <r>
          <rPr>
            <sz val="9"/>
            <color indexed="81"/>
            <rFont val="Tahoma"/>
            <family val="2"/>
          </rPr>
          <t xml:space="preserve">
Updated cost from $1M to $5M as of 3-7-16.  Added based on email from Trudy (3-12-15).</t>
        </r>
      </text>
    </comment>
    <comment ref="F17" authorId="0" shapeId="0">
      <text>
        <r>
          <rPr>
            <b/>
            <sz val="9"/>
            <color indexed="81"/>
            <rFont val="Tahoma"/>
            <family val="2"/>
          </rPr>
          <t>Amber Blanchard:</t>
        </r>
        <r>
          <rPr>
            <sz val="9"/>
            <color indexed="81"/>
            <rFont val="Tahoma"/>
            <family val="2"/>
          </rPr>
          <t xml:space="preserve">
Need a cost.</t>
        </r>
      </text>
    </comment>
    <comment ref="F18" authorId="0" shapeId="0">
      <text>
        <r>
          <rPr>
            <b/>
            <sz val="9"/>
            <color indexed="81"/>
            <rFont val="Tahoma"/>
            <family val="2"/>
          </rPr>
          <t>Amber Blanchard:</t>
        </r>
        <r>
          <rPr>
            <sz val="9"/>
            <color indexed="81"/>
            <rFont val="Tahoma"/>
            <family val="2"/>
          </rPr>
          <t xml:space="preserve">
Updated estimate from $2M to $3M as of 6-9-16.</t>
        </r>
      </text>
    </comment>
    <comment ref="F19" authorId="0" shapeId="0">
      <text>
        <r>
          <rPr>
            <b/>
            <sz val="9"/>
            <color indexed="81"/>
            <rFont val="Tahoma"/>
            <family val="2"/>
          </rPr>
          <t>Amber Blanchard:</t>
        </r>
        <r>
          <rPr>
            <sz val="9"/>
            <color indexed="81"/>
            <rFont val="Tahoma"/>
            <family val="2"/>
          </rPr>
          <t xml:space="preserve">
Will move to FY 2025 to be included with paving project as of 9-14-15.</t>
        </r>
      </text>
    </comment>
    <comment ref="F20" authorId="0" shapeId="0">
      <text>
        <r>
          <rPr>
            <b/>
            <sz val="9"/>
            <color indexed="81"/>
            <rFont val="Tahoma"/>
            <family val="2"/>
          </rPr>
          <t>Amber Blanchard:</t>
        </r>
        <r>
          <rPr>
            <sz val="9"/>
            <color indexed="81"/>
            <rFont val="Tahoma"/>
            <family val="2"/>
          </rPr>
          <t xml:space="preserve">
Discussed with Trudy this would be at least a 2 year construction project.  Assume split funding between FY 2025/26 (6-15-15).</t>
        </r>
      </text>
    </comment>
    <comment ref="F21" authorId="0" shapeId="0">
      <text>
        <r>
          <rPr>
            <b/>
            <sz val="9"/>
            <color indexed="81"/>
            <rFont val="Tahoma"/>
            <family val="2"/>
          </rPr>
          <t>Amber Blanchard:</t>
        </r>
        <r>
          <rPr>
            <sz val="9"/>
            <color indexed="81"/>
            <rFont val="Tahoma"/>
            <family val="2"/>
          </rPr>
          <t xml:space="preserve">
Need cost for these two bridges.  9600F will be funded with DRMP $ as per Chris Hoberg on 4-8-16.</t>
        </r>
      </text>
    </comment>
  </commentList>
</comments>
</file>

<file path=xl/comments5.xml><?xml version="1.0" encoding="utf-8"?>
<comments xmlns="http://schemas.openxmlformats.org/spreadsheetml/2006/main">
  <authors>
    <author>Amber Blanchard</author>
  </authors>
  <commentList>
    <comment ref="F3" authorId="0" shapeId="0">
      <text>
        <r>
          <rPr>
            <b/>
            <sz val="9"/>
            <color indexed="81"/>
            <rFont val="Tahoma"/>
            <family val="2"/>
          </rPr>
          <t>Amber Blanchard:</t>
        </r>
        <r>
          <rPr>
            <sz val="9"/>
            <color indexed="81"/>
            <rFont val="Tahoma"/>
            <family val="2"/>
          </rPr>
          <t xml:space="preserve">
Have payback in FY 2021 for $1.34M as discussed with D6 on 8-25-16.  Increased estimate from $1.6M to $2.285M per district and Dustin request 7-5-16.  Keep in FY 2020 due to condition per D6 on 11-20-15.  Need to move from 2018 to 2020 ($1,596,904) (2-23-15).</t>
        </r>
      </text>
    </comment>
    <comment ref="F4" authorId="0" shapeId="0">
      <text>
        <r>
          <rPr>
            <b/>
            <sz val="9"/>
            <color indexed="81"/>
            <rFont val="Tahoma"/>
            <family val="2"/>
          </rPr>
          <t>Amber Blanchard:</t>
        </r>
        <r>
          <rPr>
            <sz val="9"/>
            <color indexed="81"/>
            <rFont val="Tahoma"/>
            <family val="2"/>
          </rPr>
          <t xml:space="preserve">
Keep in FY 2021 as committed funds to Metro in FY 2020 as of 8-24-16. May move to 2020 due to overprogramming in 2021 and underprogramming in 2020 as of 6-7-16.  D6 would like to move this from 2021 to 2019.  As of 2-20-15, can't move to 2019 due to overprogramming.  Keep in 2021.</t>
        </r>
      </text>
    </comment>
    <comment ref="F5" authorId="0" shapeId="0">
      <text>
        <r>
          <rPr>
            <b/>
            <sz val="9"/>
            <color indexed="81"/>
            <rFont val="Tahoma"/>
            <family val="2"/>
          </rPr>
          <t>Amber Blanchard:</t>
        </r>
        <r>
          <rPr>
            <sz val="9"/>
            <color indexed="81"/>
            <rFont val="Tahoma"/>
            <family val="2"/>
          </rPr>
          <t xml:space="preserve">
#1 priority for Austin as of 7-21-16.  Highest MnDOT priority of I90 bridges for replacement as of 5-5-16.  Kept in 2021 due to overprogramming in 2020 (3-11-15).</t>
        </r>
      </text>
    </comment>
    <comment ref="F6" authorId="0" shapeId="0">
      <text>
        <r>
          <rPr>
            <b/>
            <sz val="9"/>
            <color indexed="81"/>
            <rFont val="Tahoma"/>
            <family val="2"/>
          </rPr>
          <t>Amber Blanchard:</t>
        </r>
        <r>
          <rPr>
            <sz val="9"/>
            <color indexed="81"/>
            <rFont val="Tahoma"/>
            <family val="2"/>
          </rPr>
          <t xml:space="preserve">
Br. 6868 second highestMnDOT priority of I90 bridges for replacement as of 5-5-16.  D6 would like to move from 2023 to 2019.  As of 2-20-15, can't due to overprogramming.  Keep in 2023.</t>
        </r>
      </text>
    </comment>
    <comment ref="F7" authorId="0" shapeId="0">
      <text>
        <r>
          <rPr>
            <b/>
            <sz val="9"/>
            <color indexed="81"/>
            <rFont val="Tahoma"/>
            <family val="2"/>
          </rPr>
          <t>Amber Blanchard:</t>
        </r>
        <r>
          <rPr>
            <sz val="9"/>
            <color indexed="81"/>
            <rFont val="Tahoma"/>
            <family val="2"/>
          </rPr>
          <t xml:space="preserve">
D6 would like to move from 2023 to 2019.  As of 2-20-15, can't due to overprogramming.  Keep in 2023.</t>
        </r>
      </text>
    </comment>
    <comment ref="F9" authorId="0" shapeId="0">
      <text>
        <r>
          <rPr>
            <b/>
            <sz val="9"/>
            <color indexed="81"/>
            <rFont val="Tahoma"/>
            <family val="2"/>
          </rPr>
          <t>Amber Blanchard:</t>
        </r>
        <r>
          <rPr>
            <sz val="9"/>
            <color indexed="81"/>
            <rFont val="Tahoma"/>
            <family val="2"/>
          </rPr>
          <t xml:space="preserve">
Need to move from 2018 to 2024 ($1,686,376) (2-23-15).  Discussed moving from 2020 to 2018 with Greg Paulson, D6 via email 11-14-14.  Uses contingency from Red Wing ($6M).</t>
        </r>
      </text>
    </comment>
    <comment ref="F10" authorId="0" shapeId="0">
      <text>
        <r>
          <rPr>
            <b/>
            <sz val="9"/>
            <color indexed="81"/>
            <rFont val="Tahoma"/>
            <charset val="1"/>
          </rPr>
          <t>Amber Blanchard:</t>
        </r>
        <r>
          <rPr>
            <sz val="9"/>
            <color indexed="81"/>
            <rFont val="Tahoma"/>
            <charset val="1"/>
          </rPr>
          <t xml:space="preserve">
Second highest priority of I90 bridges for replacement as of 5-5-16.</t>
        </r>
      </text>
    </comment>
  </commentList>
</comments>
</file>

<file path=xl/comments6.xml><?xml version="1.0" encoding="utf-8"?>
<comments xmlns="http://schemas.openxmlformats.org/spreadsheetml/2006/main">
  <authors>
    <author>Amber Blanchard</author>
  </authors>
  <commentList>
    <comment ref="F3" authorId="0" shapeId="0">
      <text>
        <r>
          <rPr>
            <b/>
            <sz val="9"/>
            <color indexed="81"/>
            <rFont val="Tahoma"/>
            <family val="2"/>
          </rPr>
          <t>Amber Blanchard:</t>
        </r>
        <r>
          <rPr>
            <sz val="9"/>
            <color indexed="81"/>
            <rFont val="Tahoma"/>
            <family val="2"/>
          </rPr>
          <t xml:space="preserve">
Updated estimate from $4M to $2M as Br. 52002 taken out as of 6-9-16.
</t>
        </r>
      </text>
    </comment>
  </commentList>
</comments>
</file>

<file path=xl/comments7.xml><?xml version="1.0" encoding="utf-8"?>
<comments xmlns="http://schemas.openxmlformats.org/spreadsheetml/2006/main">
  <authors>
    <author>Amber Blanchard</author>
  </authors>
  <commentList>
    <comment ref="F5" authorId="0" shapeId="0">
      <text>
        <r>
          <rPr>
            <b/>
            <sz val="9"/>
            <color indexed="81"/>
            <rFont val="Tahoma"/>
            <family val="2"/>
          </rPr>
          <t>Amber Blanchard:</t>
        </r>
        <r>
          <rPr>
            <sz val="9"/>
            <color indexed="81"/>
            <rFont val="Tahoma"/>
            <family val="2"/>
          </rPr>
          <t xml:space="preserve">
Rounded up to $1.8M to match 2016-2019 STIP guidance as of 2-23-15.  Changed from $3,125,359 to $1,800,000 due to new scoping level estimate at $1,750,000 for both bridges.  </t>
        </r>
      </text>
    </comment>
    <comment ref="F7" authorId="0" shapeId="0">
      <text>
        <r>
          <rPr>
            <b/>
            <sz val="9"/>
            <color indexed="81"/>
            <rFont val="Tahoma"/>
            <family val="2"/>
          </rPr>
          <t>Amber Blanchard:</t>
        </r>
        <r>
          <rPr>
            <sz val="9"/>
            <color indexed="81"/>
            <rFont val="Tahoma"/>
            <family val="2"/>
          </rPr>
          <t xml:space="preserve">
Need to move to FY 2020 due to fund availability from Wisconsin as of 12-8-15.  Blatnik total painting cost is $12.9M (2019 $) which means a $6.5M MN share updated from Nancy Sannes on 8-10-15.
Discussed with Nancy Sannes that WISDOT won't have their share of the money for Blatnik until 2020 and the cost of the bridge painting will increase.  Will discuss more as the management plan study is completed.  Phone conversation on 8-6-15.</t>
        </r>
      </text>
    </comment>
    <comment ref="F11" authorId="0" shapeId="0">
      <text>
        <r>
          <rPr>
            <b/>
            <sz val="9"/>
            <color indexed="81"/>
            <rFont val="Tahoma"/>
            <family val="2"/>
          </rPr>
          <t>Amber Blanchard:</t>
        </r>
        <r>
          <rPr>
            <sz val="9"/>
            <color indexed="81"/>
            <rFont val="Tahoma"/>
            <family val="2"/>
          </rPr>
          <t xml:space="preserve">
Have payback in FY 2021 for $1.34M as discussed with D6 on 8-25-16.  Increased estimate from $1.6M to $2.285M per district and Dustin request 7-5-16.  Keep in FY 2020 due to condition per D6 on 11-20-15.  Need to move from 2018 to 2020 ($1,596,904) (2-23-15).</t>
        </r>
      </text>
    </comment>
    <comment ref="F12" authorId="0" shapeId="0">
      <text>
        <r>
          <rPr>
            <b/>
            <sz val="9"/>
            <color indexed="81"/>
            <rFont val="Tahoma"/>
            <family val="2"/>
          </rPr>
          <t>Amber Blanchard:</t>
        </r>
        <r>
          <rPr>
            <sz val="9"/>
            <color indexed="81"/>
            <rFont val="Tahoma"/>
            <family val="2"/>
          </rPr>
          <t xml:space="preserve">
Changed cost estimate of bridge from $100M to $103,140,694 based on revised estimate from Scott P. on 2-4-16.  Revised $30M in FY 2020 to $33,140,694.  Confirmed $ via discussion with Scott P. on 2-25-15.  Trudy to confirm bridge cost based on discussion on 2-11-15.</t>
        </r>
      </text>
    </comment>
    <comment ref="F13" authorId="0" shapeId="0">
      <text>
        <r>
          <rPr>
            <b/>
            <sz val="9"/>
            <color indexed="81"/>
            <rFont val="Tahoma"/>
            <family val="2"/>
          </rPr>
          <t>Amber Blanchard:</t>
        </r>
        <r>
          <rPr>
            <sz val="9"/>
            <color indexed="81"/>
            <rFont val="Tahoma"/>
            <family val="2"/>
          </rPr>
          <t xml:space="preserve">
Updated cost from $9.9M to $17.9M as Metro moved projects out of FY 2021 to accommodate as of 3-7-16.  Move to FY 2021 as not ready to include in STIP in FY 2020 per discussion on 1-11-16. Paving project on TH 65 in FY 2023 or 2024 per Molly on 11-19-15.  Looking to do CMGC.</t>
        </r>
      </text>
    </comment>
    <comment ref="F14" authorId="0" shapeId="0">
      <text>
        <r>
          <rPr>
            <b/>
            <sz val="9"/>
            <color indexed="81"/>
            <rFont val="Tahoma"/>
            <family val="2"/>
          </rPr>
          <t>Amber Blanchard:</t>
        </r>
        <r>
          <rPr>
            <sz val="9"/>
            <color indexed="81"/>
            <rFont val="Tahoma"/>
            <family val="2"/>
          </rPr>
          <t xml:space="preserve">
Will move to FY 2025 to be included with paving project as of 9-14-15.</t>
        </r>
      </text>
    </comment>
    <comment ref="E15" authorId="0" shapeId="0">
      <text>
        <r>
          <rPr>
            <b/>
            <sz val="9"/>
            <color indexed="81"/>
            <rFont val="Tahoma"/>
            <charset val="1"/>
          </rPr>
          <t>Amber Blanchard:</t>
        </r>
        <r>
          <rPr>
            <sz val="9"/>
            <color indexed="81"/>
            <rFont val="Tahoma"/>
            <charset val="1"/>
          </rPr>
          <t xml:space="preserve">
Deficient VC: 16</t>
        </r>
      </text>
    </comment>
    <comment ref="F15" authorId="0" shapeId="0">
      <text>
        <r>
          <rPr>
            <b/>
            <sz val="9"/>
            <color indexed="81"/>
            <rFont val="Tahoma"/>
            <family val="2"/>
          </rPr>
          <t>Amber Blanchard:</t>
        </r>
        <r>
          <rPr>
            <sz val="9"/>
            <color indexed="81"/>
            <rFont val="Tahoma"/>
            <family val="2"/>
          </rPr>
          <t xml:space="preserve">
Planning to deliver project in FY 2018 by borrowing money from another functional group.  Keep bridge in FY 2020 for pay back as discussed with C. Hoberg on 2-24-16.  Moved from FY 18 to FY 20 per Chris as of 1-13-16. Moved back to FY 2018 per Chris as of 11-19-15.  Moved to FY 2020 per Metro's request as of 9-30-15.  Will be SPP funds since $ moved as of 9-14-15 (see comments).  Metro would like moved to FY 2020 with DRMP as of 7-8-15.</t>
        </r>
      </text>
    </comment>
    <comment ref="F16" authorId="0" shapeId="0">
      <text>
        <r>
          <rPr>
            <b/>
            <sz val="9"/>
            <color indexed="81"/>
            <rFont val="Tahoma"/>
            <family val="2"/>
          </rPr>
          <t>Amber Blanchard:</t>
        </r>
        <r>
          <rPr>
            <sz val="9"/>
            <color indexed="81"/>
            <rFont val="Tahoma"/>
            <family val="2"/>
          </rPr>
          <t xml:space="preserve">
D3 would like to perform bridge work earlier if possible (consider if $ becomes available) as per Adam A. on 10-19-16.  Potential for DB as included in grading project.  County looking to widen which would affect I94 as of MPC discussion on 8-11-16.  May need to move to FY 2022 due to staging issues on I94 paving project as of MPC discussion on 6-2-16.</t>
        </r>
      </text>
    </comment>
    <comment ref="F17" authorId="0" shapeId="0">
      <text>
        <r>
          <rPr>
            <b/>
            <sz val="9"/>
            <color indexed="81"/>
            <rFont val="Tahoma"/>
            <family val="2"/>
          </rPr>
          <t>Amber Blanchard:</t>
        </r>
        <r>
          <rPr>
            <sz val="9"/>
            <color indexed="81"/>
            <rFont val="Tahoma"/>
            <family val="2"/>
          </rPr>
          <t xml:space="preserve">
D3 would like to perform bridge work earlier if possible (consider if $ becomes available) as per Adam A. on 10-19-16. Potential for DB as included in grading project.  County looking to widen which would affect I94 as of MPC discussion on 8-11-16. May need to move to FY 2022 due to staging issues on I94 paving project as of MPC discussion on 6-2-16.</t>
        </r>
      </text>
    </comment>
    <comment ref="F18" authorId="0" shapeId="0">
      <text>
        <r>
          <rPr>
            <b/>
            <sz val="9"/>
            <color indexed="81"/>
            <rFont val="Tahoma"/>
            <family val="2"/>
          </rPr>
          <t>Amber Blanchard:</t>
        </r>
        <r>
          <rPr>
            <sz val="9"/>
            <color indexed="81"/>
            <rFont val="Tahoma"/>
            <family val="2"/>
          </rPr>
          <t xml:space="preserve">
Keep in FY 2021 as committed funds to Metro in FY 2020 as of 8-24-16. May move to 2020 due to overprogramming in 2021 and underprogramming in 2020 as of 6-7-16.  D6 would like to move this from 2021 to 2019.  As of 2-20-15, can't move to 2019 due to overprogramming.  Keep in 2021.</t>
        </r>
      </text>
    </comment>
    <comment ref="F19" authorId="0" shapeId="0">
      <text>
        <r>
          <rPr>
            <b/>
            <sz val="9"/>
            <color indexed="81"/>
            <rFont val="Tahoma"/>
            <family val="2"/>
          </rPr>
          <t>Amber Blanchard:</t>
        </r>
        <r>
          <rPr>
            <sz val="9"/>
            <color indexed="81"/>
            <rFont val="Tahoma"/>
            <family val="2"/>
          </rPr>
          <t xml:space="preserve">
#1 priority for Austin as of 7-21-16.  Highest MnDOT priority of I90 bridges for replacement as of 5-5-16.  Kept in 2021 due to overprogramming in 2020 (3-11-15).</t>
        </r>
      </text>
    </comment>
    <comment ref="F20" authorId="0" shapeId="0">
      <text>
        <r>
          <rPr>
            <b/>
            <sz val="9"/>
            <color indexed="81"/>
            <rFont val="Tahoma"/>
            <family val="2"/>
          </rPr>
          <t>Amber Blanchard:</t>
        </r>
        <r>
          <rPr>
            <sz val="9"/>
            <color indexed="81"/>
            <rFont val="Tahoma"/>
            <family val="2"/>
          </rPr>
          <t xml:space="preserve">
Chris has two other bridges in the area to include in project as of 2-24-16.  Moved from 2018 to 2021 and changed to redeck both bridges for $8M.</t>
        </r>
      </text>
    </comment>
    <comment ref="F22" authorId="0" shapeId="0">
      <text>
        <r>
          <rPr>
            <b/>
            <sz val="9"/>
            <color indexed="81"/>
            <rFont val="Tahoma"/>
            <family val="2"/>
          </rPr>
          <t>Amber Blanchard:</t>
        </r>
        <r>
          <rPr>
            <sz val="9"/>
            <color indexed="81"/>
            <rFont val="Tahoma"/>
            <family val="2"/>
          </rPr>
          <t xml:space="preserve">
Tied with roadway project.  Needs to stay in 2022.</t>
        </r>
      </text>
    </comment>
    <comment ref="F23" authorId="0" shapeId="0">
      <text>
        <r>
          <rPr>
            <b/>
            <sz val="9"/>
            <color indexed="81"/>
            <rFont val="Tahoma"/>
            <family val="2"/>
          </rPr>
          <t>Amber Blanchard:</t>
        </r>
        <r>
          <rPr>
            <sz val="9"/>
            <color indexed="81"/>
            <rFont val="Tahoma"/>
            <family val="2"/>
          </rPr>
          <t xml:space="preserve">
Tied with roadway project.  Needs to stay in 2022.</t>
        </r>
      </text>
    </comment>
    <comment ref="F24" authorId="0" shapeId="0">
      <text>
        <r>
          <rPr>
            <b/>
            <sz val="9"/>
            <color indexed="81"/>
            <rFont val="Tahoma"/>
            <family val="2"/>
          </rPr>
          <t>Amber Blanchard:</t>
        </r>
        <r>
          <rPr>
            <sz val="9"/>
            <color indexed="81"/>
            <rFont val="Tahoma"/>
            <family val="2"/>
          </rPr>
          <t xml:space="preserve">
Updated cost from $3.1M to $5M as of 3-7-16.  Metro would like to move up to FY 2019, FY 2021 at the latest according to Trudy's email 8-17-15.  Keep in FY 2022 based on discussion with Trudy on 2-11-15.</t>
        </r>
      </text>
    </comment>
    <comment ref="F25" authorId="0" shapeId="0">
      <text>
        <r>
          <rPr>
            <b/>
            <sz val="9"/>
            <color indexed="81"/>
            <rFont val="Tahoma"/>
            <family val="2"/>
          </rPr>
          <t>Amber Blanchard:</t>
        </r>
        <r>
          <rPr>
            <sz val="9"/>
            <color indexed="81"/>
            <rFont val="Tahoma"/>
            <family val="2"/>
          </rPr>
          <t xml:space="preserve">
Added in based on discussion with Trudy on 2-11-15.</t>
        </r>
      </text>
    </comment>
    <comment ref="F26" authorId="0" shapeId="0">
      <text>
        <r>
          <rPr>
            <b/>
            <sz val="9"/>
            <color indexed="81"/>
            <rFont val="Tahoma"/>
            <family val="2"/>
          </rPr>
          <t>Amber Blanchard:</t>
        </r>
        <r>
          <rPr>
            <sz val="9"/>
            <color indexed="81"/>
            <rFont val="Tahoma"/>
            <family val="2"/>
          </rPr>
          <t xml:space="preserve">
Moved from 2023 to 2024; cost changed from $3965328 to $4123941 as of 5-17-16 in draft 2021-2026 CHIP.  Bridges 9787, 9788, 9789, 9790 will be constructed together in one project with pavement, year TBD according to Nancy as of 12-8-15.</t>
        </r>
      </text>
    </comment>
    <comment ref="F27" authorId="0" shapeId="0">
      <text>
        <r>
          <rPr>
            <b/>
            <sz val="9"/>
            <color indexed="81"/>
            <rFont val="Tahoma"/>
            <family val="2"/>
          </rPr>
          <t>Amber Blanchard:</t>
        </r>
        <r>
          <rPr>
            <sz val="9"/>
            <color indexed="81"/>
            <rFont val="Tahoma"/>
            <family val="2"/>
          </rPr>
          <t xml:space="preserve">
Moved from 2023 to 2024; cost changed from $3153192 to $3279320 as of 5-17-16 in draft 2021-2026 CHIP.</t>
        </r>
      </text>
    </comment>
    <comment ref="F28" authorId="0" shapeId="0">
      <text>
        <r>
          <rPr>
            <b/>
            <sz val="9"/>
            <color indexed="81"/>
            <rFont val="Tahoma"/>
            <family val="2"/>
          </rPr>
          <t>Amber Blanchard:</t>
        </r>
        <r>
          <rPr>
            <sz val="9"/>
            <color indexed="81"/>
            <rFont val="Tahoma"/>
            <family val="2"/>
          </rPr>
          <t xml:space="preserve">
Added bridges 69802D and E into project.  Moved from 2023 to 2022 to balance overprogramming in 2023 as of 7-6-16.  Added in from draft 2021-2026 CHIP on 5-17-16.  Nancy currently has this funded with DRMP but would like funded with SPP.</t>
        </r>
      </text>
    </comment>
    <comment ref="F29" authorId="0" shapeId="0">
      <text>
        <r>
          <rPr>
            <b/>
            <sz val="9"/>
            <color indexed="81"/>
            <rFont val="Tahoma"/>
            <family val="2"/>
          </rPr>
          <t>Amber Blanchard:</t>
        </r>
        <r>
          <rPr>
            <sz val="9"/>
            <color indexed="81"/>
            <rFont val="Tahoma"/>
            <family val="2"/>
          </rPr>
          <t xml:space="preserve">
Added based on draft 2021-2026 CHIP as MN 65 is NHS route as of 5-17-16.</t>
        </r>
      </text>
    </comment>
    <comment ref="F32" authorId="0" shapeId="0">
      <text>
        <r>
          <rPr>
            <b/>
            <sz val="9"/>
            <color indexed="81"/>
            <rFont val="Tahoma"/>
            <family val="2"/>
          </rPr>
          <t>Amber Blanchard:</t>
        </r>
        <r>
          <rPr>
            <sz val="9"/>
            <color indexed="81"/>
            <rFont val="Tahoma"/>
            <family val="2"/>
          </rPr>
          <t xml:space="preserve">
Br. 6868 second highestMnDOT priority of I90 bridges for replacement as of 5-5-16.  D6 would like to move from 2023 to 2019.  As of 2-20-15, can't due to overprogramming.  Keep in 2023.</t>
        </r>
      </text>
    </comment>
    <comment ref="F33" authorId="0" shapeId="0">
      <text>
        <r>
          <rPr>
            <b/>
            <sz val="9"/>
            <color indexed="81"/>
            <rFont val="Tahoma"/>
            <family val="2"/>
          </rPr>
          <t>Amber Blanchard:</t>
        </r>
        <r>
          <rPr>
            <sz val="9"/>
            <color indexed="81"/>
            <rFont val="Tahoma"/>
            <family val="2"/>
          </rPr>
          <t xml:space="preserve">
D6 would like to move from 2023 to 2019.  As of 2-20-15, can't due to overprogramming.  Keep in 2023.</t>
        </r>
      </text>
    </comment>
    <comment ref="F36" authorId="0" shapeId="0">
      <text>
        <r>
          <rPr>
            <b/>
            <sz val="9"/>
            <color indexed="81"/>
            <rFont val="Tahoma"/>
            <family val="2"/>
          </rPr>
          <t>Amber Blanchard:</t>
        </r>
        <r>
          <rPr>
            <sz val="9"/>
            <color indexed="81"/>
            <rFont val="Tahoma"/>
            <family val="2"/>
          </rPr>
          <t xml:space="preserve">
Probably better candidate for reoverlay instead of redeck discussed with Chris Hoberg on 2-24-16.  Moved to 2023 due to overprogramming in 2021 (3-12-15).  Moved from 2019 to 2021.  Assumed $4M for redeck instead of $2M for reoverlay.  May be able to push out if needed as per conversation with T. Elsner 1-14-15.</t>
        </r>
      </text>
    </comment>
    <comment ref="F37" authorId="0" shapeId="0">
      <text>
        <r>
          <rPr>
            <b/>
            <sz val="9"/>
            <color indexed="81"/>
            <rFont val="Tahoma"/>
            <family val="2"/>
          </rPr>
          <t>Amber Blanchard:</t>
        </r>
        <r>
          <rPr>
            <sz val="9"/>
            <color indexed="81"/>
            <rFont val="Tahoma"/>
            <family val="2"/>
          </rPr>
          <t xml:space="preserve">
Added based on discussion with Trudy on 2-11-15.  Moving bearings.</t>
        </r>
      </text>
    </comment>
    <comment ref="E38" authorId="0" shapeId="0">
      <text>
        <r>
          <rPr>
            <b/>
            <sz val="9"/>
            <color indexed="81"/>
            <rFont val="Tahoma"/>
            <family val="2"/>
          </rPr>
          <t>Amber Blanchard:</t>
        </r>
        <r>
          <rPr>
            <sz val="9"/>
            <color indexed="81"/>
            <rFont val="Tahoma"/>
            <family val="2"/>
          </rPr>
          <t xml:space="preserve">
ABC is yes on 27033</t>
        </r>
      </text>
    </comment>
    <comment ref="F39" authorId="0" shapeId="0">
      <text>
        <r>
          <rPr>
            <b/>
            <sz val="9"/>
            <color indexed="81"/>
            <rFont val="Tahoma"/>
            <family val="2"/>
          </rPr>
          <t>Amber Blanchard:</t>
        </r>
        <r>
          <rPr>
            <sz val="9"/>
            <color indexed="81"/>
            <rFont val="Tahoma"/>
            <family val="2"/>
          </rPr>
          <t xml:space="preserve">
Added based on discussion with Trudy on 2-11-15. </t>
        </r>
      </text>
    </comment>
    <comment ref="F42" authorId="0" shapeId="0">
      <text>
        <r>
          <rPr>
            <b/>
            <sz val="9"/>
            <color indexed="81"/>
            <rFont val="Tahoma"/>
            <family val="2"/>
          </rPr>
          <t>Amber Blanchard:</t>
        </r>
        <r>
          <rPr>
            <sz val="9"/>
            <color indexed="81"/>
            <rFont val="Tahoma"/>
            <family val="2"/>
          </rPr>
          <t xml:space="preserve">
Updated estimate from $2.4M to $4.958M as of 6-9-16.  Added to 2024 based on draft 2021-2026 CHIP as of 5-17-16.</t>
        </r>
      </text>
    </comment>
    <comment ref="F43" authorId="0" shapeId="0">
      <text>
        <r>
          <rPr>
            <b/>
            <sz val="9"/>
            <color indexed="81"/>
            <rFont val="Tahoma"/>
            <family val="2"/>
          </rPr>
          <t>Amber Blanchard:</t>
        </r>
        <r>
          <rPr>
            <sz val="9"/>
            <color indexed="81"/>
            <rFont val="Tahoma"/>
            <family val="2"/>
          </rPr>
          <t xml:space="preserve">
Updated estimate from $1.41M to $2.392M as of 6-9-16.</t>
        </r>
      </text>
    </comment>
    <comment ref="F44" authorId="0" shapeId="0">
      <text>
        <r>
          <rPr>
            <b/>
            <sz val="9"/>
            <color indexed="81"/>
            <rFont val="Tahoma"/>
            <family val="2"/>
          </rPr>
          <t>Amber Blanchard:</t>
        </r>
        <r>
          <rPr>
            <sz val="9"/>
            <color indexed="81"/>
            <rFont val="Tahoma"/>
            <family val="2"/>
          </rPr>
          <t xml:space="preserve">
Updated estimate from $1.41M to $3.4776M as of 6-9-16.</t>
        </r>
      </text>
    </comment>
    <comment ref="F45" authorId="0" shapeId="0">
      <text>
        <r>
          <rPr>
            <b/>
            <sz val="9"/>
            <color indexed="81"/>
            <rFont val="Tahoma"/>
            <family val="2"/>
          </rPr>
          <t>Amber Blanchard:</t>
        </r>
        <r>
          <rPr>
            <sz val="9"/>
            <color indexed="81"/>
            <rFont val="Tahoma"/>
            <family val="2"/>
          </rPr>
          <t xml:space="preserve">
Recommendation made recently to reduce classification to minor arterial but still shown funded by SPP for now as of 5-17-16.</t>
        </r>
      </text>
    </comment>
    <comment ref="F47" authorId="0" shapeId="0">
      <text>
        <r>
          <rPr>
            <b/>
            <sz val="9"/>
            <color indexed="81"/>
            <rFont val="Tahoma"/>
            <family val="2"/>
          </rPr>
          <t>Amber Blanchard:</t>
        </r>
        <r>
          <rPr>
            <sz val="9"/>
            <color indexed="81"/>
            <rFont val="Tahoma"/>
            <family val="2"/>
          </rPr>
          <t xml:space="preserve">
Added based on draft 2021-2026 CHIP as of 5-17-16.</t>
        </r>
      </text>
    </comment>
    <comment ref="F48" authorId="0" shapeId="0">
      <text>
        <r>
          <rPr>
            <b/>
            <sz val="9"/>
            <color indexed="81"/>
            <rFont val="Tahoma"/>
            <family val="2"/>
          </rPr>
          <t>Amber Blanchard:</t>
        </r>
        <r>
          <rPr>
            <sz val="9"/>
            <color indexed="81"/>
            <rFont val="Tahoma"/>
            <family val="2"/>
          </rPr>
          <t xml:space="preserve">
Updated estimate from $2M to $3.1M as of 6-9-16.</t>
        </r>
      </text>
    </comment>
    <comment ref="F49" authorId="0" shapeId="0">
      <text>
        <r>
          <rPr>
            <b/>
            <sz val="9"/>
            <color indexed="81"/>
            <rFont val="Tahoma"/>
            <family val="2"/>
          </rPr>
          <t>Amber Blanchard:</t>
        </r>
        <r>
          <rPr>
            <sz val="9"/>
            <color indexed="81"/>
            <rFont val="Tahoma"/>
            <family val="2"/>
          </rPr>
          <t xml:space="preserve">
Need to move from 2018 to 2024 ($1,686,376) (2-23-15).  Discussed moving from 2020 to 2018 with Greg Paulson, D6 via email 11-14-14.  Uses contingency from Red Wing ($6M).</t>
        </r>
      </text>
    </comment>
    <comment ref="F50" authorId="0" shapeId="0">
      <text>
        <r>
          <rPr>
            <b/>
            <sz val="9"/>
            <color indexed="81"/>
            <rFont val="Tahoma"/>
            <charset val="1"/>
          </rPr>
          <t>Amber Blanchard:</t>
        </r>
        <r>
          <rPr>
            <sz val="9"/>
            <color indexed="81"/>
            <rFont val="Tahoma"/>
            <charset val="1"/>
          </rPr>
          <t xml:space="preserve">
Second highest priority of I90 bridges for replacement as of 5-5-16.</t>
        </r>
      </text>
    </comment>
    <comment ref="F53" authorId="0" shapeId="0">
      <text>
        <r>
          <rPr>
            <b/>
            <sz val="9"/>
            <color indexed="81"/>
            <rFont val="Tahoma"/>
            <family val="2"/>
          </rPr>
          <t>Amber Blanchard:</t>
        </r>
        <r>
          <rPr>
            <sz val="9"/>
            <color indexed="81"/>
            <rFont val="Tahoma"/>
            <family val="2"/>
          </rPr>
          <t xml:space="preserve">
Updated estimate from $4M to $2M as Br. 52002 taken out as of 6-9-16.
</t>
        </r>
      </text>
    </comment>
    <comment ref="E56" authorId="0" shapeId="0">
      <text>
        <r>
          <rPr>
            <b/>
            <sz val="9"/>
            <color indexed="81"/>
            <rFont val="Tahoma"/>
            <family val="2"/>
          </rPr>
          <t>Amber Blanchard:</t>
        </r>
        <r>
          <rPr>
            <sz val="9"/>
            <color indexed="81"/>
            <rFont val="Tahoma"/>
            <family val="2"/>
          </rPr>
          <t xml:space="preserve">
All yes to ABC except Br. 9715</t>
        </r>
      </text>
    </comment>
    <comment ref="F56" authorId="0" shapeId="0">
      <text>
        <r>
          <rPr>
            <b/>
            <sz val="9"/>
            <color indexed="81"/>
            <rFont val="Tahoma"/>
            <family val="2"/>
          </rPr>
          <t>Amber Blanchard:</t>
        </r>
        <r>
          <rPr>
            <sz val="9"/>
            <color indexed="81"/>
            <rFont val="Tahoma"/>
            <family val="2"/>
          </rPr>
          <t xml:space="preserve">
Metro would like to move to FY 2022 in place of 9 mile creek bridge as of 7-8-15.  Trudy wants to move to 2022.</t>
        </r>
      </text>
    </comment>
    <comment ref="F57" authorId="0" shapeId="0">
      <text>
        <r>
          <rPr>
            <b/>
            <sz val="9"/>
            <color indexed="81"/>
            <rFont val="Tahoma"/>
            <family val="2"/>
          </rPr>
          <t>Amber Blanchard:</t>
        </r>
        <r>
          <rPr>
            <sz val="9"/>
            <color indexed="81"/>
            <rFont val="Tahoma"/>
            <family val="2"/>
          </rPr>
          <t xml:space="preserve">
Trudy to scope for 2021.</t>
        </r>
      </text>
    </comment>
    <comment ref="F58" authorId="0" shapeId="0">
      <text>
        <r>
          <rPr>
            <b/>
            <sz val="9"/>
            <color indexed="81"/>
            <rFont val="Tahoma"/>
            <family val="2"/>
          </rPr>
          <t>Amber Blanchard:</t>
        </r>
        <r>
          <rPr>
            <sz val="9"/>
            <color indexed="81"/>
            <rFont val="Tahoma"/>
            <family val="2"/>
          </rPr>
          <t xml:space="preserve">
Updated cost from $1M to $5M as of 3-7-16.  Added based on email from Trudy (3-12-15).</t>
        </r>
      </text>
    </comment>
    <comment ref="F59" authorId="0" shapeId="0">
      <text>
        <r>
          <rPr>
            <b/>
            <sz val="9"/>
            <color indexed="81"/>
            <rFont val="Tahoma"/>
            <family val="2"/>
          </rPr>
          <t>Amber Blanchard:</t>
        </r>
        <r>
          <rPr>
            <sz val="9"/>
            <color indexed="81"/>
            <rFont val="Tahoma"/>
            <family val="2"/>
          </rPr>
          <t xml:space="preserve">
Need a cost.</t>
        </r>
      </text>
    </comment>
    <comment ref="F60" authorId="0" shapeId="0">
      <text>
        <r>
          <rPr>
            <b/>
            <sz val="9"/>
            <color indexed="81"/>
            <rFont val="Tahoma"/>
            <family val="2"/>
          </rPr>
          <t>Amber Blanchard:</t>
        </r>
        <r>
          <rPr>
            <sz val="9"/>
            <color indexed="81"/>
            <rFont val="Tahoma"/>
            <family val="2"/>
          </rPr>
          <t xml:space="preserve">
Updated estimate from $2M to $3M as of 6-9-16.</t>
        </r>
      </text>
    </comment>
    <comment ref="F62" authorId="0" shapeId="0">
      <text>
        <r>
          <rPr>
            <b/>
            <sz val="9"/>
            <color indexed="81"/>
            <rFont val="Tahoma"/>
            <family val="2"/>
          </rPr>
          <t>Amber Blanchard:</t>
        </r>
        <r>
          <rPr>
            <sz val="9"/>
            <color indexed="81"/>
            <rFont val="Tahoma"/>
            <family val="2"/>
          </rPr>
          <t xml:space="preserve">
Moved from 2025 to 2024 based on draft 2021-2026 CHIP as of 5-17-16.</t>
        </r>
      </text>
    </comment>
    <comment ref="F63"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64"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65" authorId="0" shapeId="0">
      <text>
        <r>
          <rPr>
            <b/>
            <sz val="9"/>
            <color indexed="81"/>
            <rFont val="Tahoma"/>
            <charset val="1"/>
          </rPr>
          <t>Amber Blanchard:</t>
        </r>
        <r>
          <rPr>
            <sz val="9"/>
            <color indexed="81"/>
            <rFont val="Tahoma"/>
            <charset val="1"/>
          </rPr>
          <t xml:space="preserve">
Moved from 2025 to 2024 based on draft 2021-2026 CHIP as of 5-17-16.</t>
        </r>
      </text>
    </comment>
    <comment ref="F66" authorId="0" shapeId="0">
      <text>
        <r>
          <rPr>
            <b/>
            <sz val="9"/>
            <color indexed="81"/>
            <rFont val="Tahoma"/>
            <family val="2"/>
          </rPr>
          <t>Amber Blanchard:</t>
        </r>
        <r>
          <rPr>
            <sz val="9"/>
            <color indexed="81"/>
            <rFont val="Tahoma"/>
            <family val="2"/>
          </rPr>
          <t xml:space="preserve">
Moved from 2025 to 2024 based on draft 2021-2026 CHIP as of 5-17-16.</t>
        </r>
      </text>
    </comment>
    <comment ref="F67" authorId="0" shapeId="0">
      <text>
        <r>
          <rPr>
            <b/>
            <sz val="9"/>
            <color indexed="81"/>
            <rFont val="Tahoma"/>
            <family val="2"/>
          </rPr>
          <t>Amber Blanchard:</t>
        </r>
        <r>
          <rPr>
            <sz val="9"/>
            <color indexed="81"/>
            <rFont val="Tahoma"/>
            <family val="2"/>
          </rPr>
          <t xml:space="preserve">
With paving project as of 5-17-16.</t>
        </r>
      </text>
    </comment>
    <comment ref="F68" authorId="0" shapeId="0">
      <text>
        <r>
          <rPr>
            <b/>
            <sz val="9"/>
            <color indexed="81"/>
            <rFont val="Tahoma"/>
            <family val="2"/>
          </rPr>
          <t>Amber Blanchard:</t>
        </r>
        <r>
          <rPr>
            <sz val="9"/>
            <color indexed="81"/>
            <rFont val="Tahoma"/>
            <family val="2"/>
          </rPr>
          <t xml:space="preserve">
With paving project as of 5-17-16.</t>
        </r>
      </text>
    </comment>
    <comment ref="F69"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 ref="F70"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 ref="F71" authorId="0" shapeId="0">
      <text>
        <r>
          <rPr>
            <b/>
            <sz val="9"/>
            <color indexed="81"/>
            <rFont val="Tahoma"/>
            <charset val="1"/>
          </rPr>
          <t>Amber Blanchard:</t>
        </r>
        <r>
          <rPr>
            <sz val="9"/>
            <color indexed="81"/>
            <rFont val="Tahoma"/>
            <charset val="1"/>
          </rPr>
          <t xml:space="preserve">
Added based on draft 2021-2026 CHIP  with paving project as of 5-17-16.</t>
        </r>
      </text>
    </comment>
    <comment ref="F72" authorId="0" shapeId="0">
      <text>
        <r>
          <rPr>
            <b/>
            <sz val="9"/>
            <color indexed="81"/>
            <rFont val="Tahoma"/>
            <family val="2"/>
          </rPr>
          <t>Amber Blanchard:</t>
        </r>
        <r>
          <rPr>
            <sz val="9"/>
            <color indexed="81"/>
            <rFont val="Tahoma"/>
            <family val="2"/>
          </rPr>
          <t xml:space="preserve">
Moved from 2025 to 2023 based on draft 2021-2026 CHIP as of 5-17-16.</t>
        </r>
      </text>
    </comment>
    <comment ref="F77" authorId="0" shapeId="0">
      <text>
        <r>
          <rPr>
            <b/>
            <sz val="9"/>
            <color indexed="81"/>
            <rFont val="Tahoma"/>
            <family val="2"/>
          </rPr>
          <t>Amber Blanchard:</t>
        </r>
        <r>
          <rPr>
            <sz val="9"/>
            <color indexed="81"/>
            <rFont val="Tahoma"/>
            <family val="2"/>
          </rPr>
          <t xml:space="preserve">
Discussed with Trudy this would be at least a 2 year construction project.  Assume split funding between FY 2025/26 (6-15-15).</t>
        </r>
      </text>
    </comment>
    <comment ref="F78" authorId="0" shapeId="0">
      <text>
        <r>
          <rPr>
            <b/>
            <sz val="9"/>
            <color indexed="81"/>
            <rFont val="Tahoma"/>
            <family val="2"/>
          </rPr>
          <t>Amber Blanchard:</t>
        </r>
        <r>
          <rPr>
            <sz val="9"/>
            <color indexed="81"/>
            <rFont val="Tahoma"/>
            <family val="2"/>
          </rPr>
          <t xml:space="preserve">
Put in FY 2020 as part of MnPASS on 35W based on approval from Brian Gage to Metro and based on discussion with Molly, Chris, Lynne, Cindy on 8-24-16.  Bridges included in 35W MnPASS project in STIP according to Chris and Molly on 3-7-16.</t>
        </r>
      </text>
    </comment>
    <comment ref="F79" authorId="0" shapeId="0">
      <text>
        <r>
          <rPr>
            <b/>
            <sz val="9"/>
            <color indexed="81"/>
            <rFont val="Tahoma"/>
            <family val="2"/>
          </rPr>
          <t>Amber Blanchard:</t>
        </r>
        <r>
          <rPr>
            <sz val="9"/>
            <color indexed="81"/>
            <rFont val="Tahoma"/>
            <family val="2"/>
          </rPr>
          <t xml:space="preserve">
Need cost for these two bridges.  9600F will be funded with DRMP $ as per Chris Hoberg on 4-8-16.</t>
        </r>
      </text>
    </comment>
    <comment ref="F86" authorId="0" shapeId="0">
      <text>
        <r>
          <rPr>
            <b/>
            <sz val="9"/>
            <color indexed="81"/>
            <rFont val="Tahoma"/>
            <charset val="1"/>
          </rPr>
          <t>Amber Blanchard:</t>
        </r>
        <r>
          <rPr>
            <sz val="9"/>
            <color indexed="81"/>
            <rFont val="Tahoma"/>
            <charset val="1"/>
          </rPr>
          <t xml:space="preserve">
Included estimate of $4M for 69879E and $38M for 69879 based on email from Kevin R. on 7-8-16.  Added per discussion with Nancy S. on 7-6-16.  Need estimate from D1.</t>
        </r>
      </text>
    </comment>
    <comment ref="F87" authorId="0" shapeId="0">
      <text>
        <r>
          <rPr>
            <b/>
            <sz val="9"/>
            <color indexed="81"/>
            <rFont val="Tahoma"/>
            <charset val="1"/>
          </rPr>
          <t>Amber Blanchard:</t>
        </r>
        <r>
          <rPr>
            <sz val="9"/>
            <color indexed="81"/>
            <rFont val="Tahoma"/>
            <charset val="1"/>
          </rPr>
          <t xml:space="preserve">
Program in even FY so that if issues come up, it won't interfere with a new biennium as discussed with Sue T. 9-20-16.</t>
        </r>
      </text>
    </comment>
  </commentList>
</comments>
</file>

<file path=xl/sharedStrings.xml><?xml version="1.0" encoding="utf-8"?>
<sst xmlns="http://schemas.openxmlformats.org/spreadsheetml/2006/main" count="2324" uniqueCount="1593">
  <si>
    <t>Pavement Condition</t>
  </si>
  <si>
    <t>PC $</t>
  </si>
  <si>
    <t>PC %</t>
  </si>
  <si>
    <t>Bridge Condition</t>
  </si>
  <si>
    <t>BC $</t>
  </si>
  <si>
    <t>BC %</t>
  </si>
  <si>
    <t>Roadside Infrastructure Condition</t>
  </si>
  <si>
    <t>RIC %</t>
  </si>
  <si>
    <t>Traveler Safety</t>
  </si>
  <si>
    <t>TS $</t>
  </si>
  <si>
    <t>TS %</t>
  </si>
  <si>
    <t>Interregional Corridor Mobility</t>
  </si>
  <si>
    <t>IRC %</t>
  </si>
  <si>
    <t>Twin Cities Mobility</t>
  </si>
  <si>
    <t>TC %</t>
  </si>
  <si>
    <t>Bicycle Infrastructure</t>
  </si>
  <si>
    <t>Accessible Pedestrian Infrastructure</t>
  </si>
  <si>
    <t>Regional and Community Improvement Priorities</t>
  </si>
  <si>
    <t>Project Support</t>
  </si>
  <si>
    <t>Total $</t>
  </si>
  <si>
    <t>Total %</t>
  </si>
  <si>
    <t>BI %</t>
  </si>
  <si>
    <t>AP %</t>
  </si>
  <si>
    <t>RCIP %</t>
  </si>
  <si>
    <t>PS %</t>
  </si>
  <si>
    <t>Reconstruction</t>
  </si>
  <si>
    <t>Reclamation</t>
  </si>
  <si>
    <t>Mill and/or overlay</t>
  </si>
  <si>
    <t>Rehabilitation</t>
  </si>
  <si>
    <t>Preventative maintenance</t>
  </si>
  <si>
    <t>RICsubcat</t>
  </si>
  <si>
    <t>TSsubcat</t>
  </si>
  <si>
    <t>IRCsubcat</t>
  </si>
  <si>
    <t>IRC Mobility</t>
  </si>
  <si>
    <t>TC Mobility</t>
  </si>
  <si>
    <t>TCsubcat</t>
  </si>
  <si>
    <t>BIsubcat</t>
  </si>
  <si>
    <t>Accesible Pedestrian Infrastructure</t>
  </si>
  <si>
    <t>APsubcat</t>
  </si>
  <si>
    <t>RCIPsubcat</t>
  </si>
  <si>
    <t>PSsubcat</t>
  </si>
  <si>
    <t>Sequence #</t>
  </si>
  <si>
    <t>ATP</t>
  </si>
  <si>
    <t>District</t>
  </si>
  <si>
    <t>Route System</t>
  </si>
  <si>
    <t>Route Number</t>
  </si>
  <si>
    <t>Rte_Sys</t>
  </si>
  <si>
    <t>Projnum</t>
  </si>
  <si>
    <t>#Year</t>
  </si>
  <si>
    <t>Who</t>
  </si>
  <si>
    <t>MPO</t>
  </si>
  <si>
    <t>Description</t>
  </si>
  <si>
    <t>BEG_RP</t>
  </si>
  <si>
    <t>END_RP</t>
  </si>
  <si>
    <t>Length</t>
  </si>
  <si>
    <t>City</t>
  </si>
  <si>
    <t>Program</t>
  </si>
  <si>
    <t>State Plan Performance Policy Code</t>
  </si>
  <si>
    <t>Primary Work Type</t>
  </si>
  <si>
    <t>Secondary Work Type</t>
  </si>
  <si>
    <t>Fund 1</t>
  </si>
  <si>
    <t>Fund 2</t>
  </si>
  <si>
    <t>Fund 3</t>
  </si>
  <si>
    <t>STIP Total</t>
  </si>
  <si>
    <t>FHWA EARMARK</t>
  </si>
  <si>
    <t>Other FHWA</t>
  </si>
  <si>
    <t>Target FHWA</t>
  </si>
  <si>
    <t>Dist C FHWA</t>
  </si>
  <si>
    <t>Total FHWA</t>
  </si>
  <si>
    <t>HPP &amp; Other FHWA AC</t>
  </si>
  <si>
    <t>Target AC</t>
  </si>
  <si>
    <t>Dist C AC</t>
  </si>
  <si>
    <t>Total AC</t>
  </si>
  <si>
    <t>HPP &amp; Other FHWA AC Payback</t>
  </si>
  <si>
    <t>Target AC Payback</t>
  </si>
  <si>
    <t>Dist C AC Payback</t>
  </si>
  <si>
    <t>Total AC Payback</t>
  </si>
  <si>
    <t>FTA</t>
  </si>
  <si>
    <t>FTA EARMARK</t>
  </si>
  <si>
    <t>State TH</t>
  </si>
  <si>
    <t>Dist C TH</t>
  </si>
  <si>
    <t>Total TH</t>
  </si>
  <si>
    <t>Bond</t>
  </si>
  <si>
    <t>Other</t>
  </si>
  <si>
    <t>Project Total</t>
  </si>
  <si>
    <t>Running Fed Target  $ Total (includes AC payback)</t>
  </si>
  <si>
    <t>Running State Target $ Total</t>
  </si>
  <si>
    <t>YEAR</t>
  </si>
  <si>
    <t>OCPPM Comments</t>
  </si>
  <si>
    <t>District Comments</t>
  </si>
  <si>
    <t>Special Funding Program</t>
  </si>
  <si>
    <t xml:space="preserve">Local Contribution </t>
  </si>
  <si>
    <t xml:space="preserve">Local Match </t>
  </si>
  <si>
    <t>ADA</t>
  </si>
  <si>
    <t>Congressional District</t>
  </si>
  <si>
    <t>TRLF</t>
  </si>
  <si>
    <t>Summary</t>
  </si>
  <si>
    <t>Drainage and culverts</t>
  </si>
  <si>
    <t>Guardrails and fencing</t>
  </si>
  <si>
    <t>Overhead structures</t>
  </si>
  <si>
    <t>Other structures</t>
  </si>
  <si>
    <t>Rest areas</t>
  </si>
  <si>
    <t>Pavement markings</t>
  </si>
  <si>
    <t>Signs</t>
  </si>
  <si>
    <t>Lighting</t>
  </si>
  <si>
    <t>Sustained crash locations</t>
  </si>
  <si>
    <t>Capacity expansion</t>
  </si>
  <si>
    <t>Intersection improvements</t>
  </si>
  <si>
    <t>Access restriction</t>
  </si>
  <si>
    <t>Congestion Management and Safety Plan</t>
  </si>
  <si>
    <t>Active Traffic Management</t>
  </si>
  <si>
    <t>Shared-use path</t>
  </si>
  <si>
    <t>ADA improvements - curb</t>
  </si>
  <si>
    <t>ADA improvements - APS</t>
  </si>
  <si>
    <t>ADA improvements - other</t>
  </si>
  <si>
    <t>Sidewalk</t>
  </si>
  <si>
    <t>Signing and signals</t>
  </si>
  <si>
    <t>Statewide solicitation</t>
  </si>
  <si>
    <t>District program</t>
  </si>
  <si>
    <t>Agency commitments</t>
  </si>
  <si>
    <t>Right of way</t>
  </si>
  <si>
    <t>Consultant services</t>
  </si>
  <si>
    <t>Supplemental agreements</t>
  </si>
  <si>
    <t>Construction incentives</t>
  </si>
  <si>
    <t>Strategic capacity expansion</t>
  </si>
  <si>
    <t>Other improvements</t>
  </si>
  <si>
    <t>Row Labels</t>
  </si>
  <si>
    <t>Grand Total</t>
  </si>
  <si>
    <t>Remaining</t>
  </si>
  <si>
    <t>Red cells/text indicate you have overspent in that year</t>
  </si>
  <si>
    <t>Green cells/text indicate you have underspent in that year</t>
  </si>
  <si>
    <t xml:space="preserve">statewide priorities </t>
  </si>
  <si>
    <t>PC%</t>
  </si>
  <si>
    <t>BC%</t>
  </si>
  <si>
    <t>RIC%</t>
  </si>
  <si>
    <t>TS%</t>
  </si>
  <si>
    <t>IRC%</t>
  </si>
  <si>
    <t>TC%</t>
  </si>
  <si>
    <t>BI%</t>
  </si>
  <si>
    <t>AP%</t>
  </si>
  <si>
    <t>RCIP%</t>
  </si>
  <si>
    <t>PS%</t>
  </si>
  <si>
    <t xml:space="preserve">Total allocation/yr </t>
  </si>
  <si>
    <r>
      <rPr>
        <b/>
        <sz val="11"/>
        <color theme="1"/>
        <rFont val="Calibri"/>
        <family val="2"/>
        <scheme val="minor"/>
      </rPr>
      <t>step 2:</t>
    </r>
    <r>
      <rPr>
        <sz val="11"/>
        <color theme="1"/>
        <rFont val="Calibri"/>
        <family val="2"/>
        <scheme val="minor"/>
      </rPr>
      <t xml:space="preserve"> INSERT DISTRICT ALLOCATION/YR IN C19-C23 </t>
    </r>
    <r>
      <rPr>
        <b/>
        <sz val="11"/>
        <color theme="9" tint="-0.249977111117893"/>
        <rFont val="Calibri"/>
        <family val="2"/>
        <scheme val="minor"/>
      </rPr>
      <t>(orange cells)</t>
    </r>
  </si>
  <si>
    <t>Sum of PC $</t>
  </si>
  <si>
    <t>Sum of BC $</t>
  </si>
  <si>
    <t>Sum of RIC $</t>
  </si>
  <si>
    <t>Sum of TS $</t>
  </si>
  <si>
    <t>Sum of IRC $</t>
  </si>
  <si>
    <t>Sum of TC $</t>
  </si>
  <si>
    <t>Sum of BI $</t>
  </si>
  <si>
    <t>Sum of AP $</t>
  </si>
  <si>
    <t>Sum of RCIP $</t>
  </si>
  <si>
    <t>Sum of PS $</t>
  </si>
  <si>
    <t>Sum of Total $</t>
  </si>
  <si>
    <r>
      <rPr>
        <b/>
        <sz val="11"/>
        <color theme="1"/>
        <rFont val="Calibri"/>
        <family val="2"/>
        <scheme val="minor"/>
      </rPr>
      <t>step 3:</t>
    </r>
    <r>
      <rPr>
        <sz val="11"/>
        <color theme="1"/>
        <rFont val="Calibri"/>
        <family val="2"/>
        <scheme val="minor"/>
      </rPr>
      <t xml:space="preserve"> see what percentage has been spent on each investment category</t>
    </r>
  </si>
  <si>
    <t>Crossings/curb extension/refuge</t>
  </si>
  <si>
    <t>Signals</t>
  </si>
  <si>
    <t>Other traffic devices</t>
  </si>
  <si>
    <t>Adjustment of posted speed limit</t>
  </si>
  <si>
    <r>
      <rPr>
        <b/>
        <sz val="11"/>
        <color theme="1"/>
        <rFont val="Calibri"/>
        <family val="2"/>
        <scheme val="minor"/>
      </rPr>
      <t>step 1:</t>
    </r>
    <r>
      <rPr>
        <sz val="11"/>
        <color theme="1"/>
        <rFont val="Calibri"/>
        <family val="2"/>
        <scheme val="minor"/>
      </rPr>
      <t xml:space="preserve"> FOR REFERENCE ONLY - RIGHT CLICK AND HIT REFRESH TO SEE MOST UPDATED RUNNING TOTALS BY YEAR AND INVESTMENT CATEGORY</t>
    </r>
  </si>
  <si>
    <t>Managed lanes</t>
  </si>
  <si>
    <t>Interchange Improvements</t>
  </si>
  <si>
    <t>On-road</t>
  </si>
  <si>
    <t>Off-road</t>
  </si>
  <si>
    <t>Preservation - Preventive and reactive maintenance</t>
  </si>
  <si>
    <t>Preservation - Overlay</t>
  </si>
  <si>
    <t>Preservation - Painting</t>
  </si>
  <si>
    <t>Improvement - Deck replacement</t>
  </si>
  <si>
    <t>Improvement - Major rehabilitation or replacement</t>
  </si>
  <si>
    <t>BCsubcat</t>
  </si>
  <si>
    <t>PCsubcat</t>
  </si>
  <si>
    <t>Lower cost high benefit</t>
  </si>
  <si>
    <t>M</t>
  </si>
  <si>
    <t>Metro District 
Data Input Worksheet
STIP 2014-2016</t>
  </si>
  <si>
    <t>Federal Target</t>
  </si>
  <si>
    <t>State Target</t>
  </si>
  <si>
    <t>Fed + State Target</t>
  </si>
  <si>
    <t>Fed + State Actual</t>
  </si>
  <si>
    <t>Federal Formula</t>
  </si>
  <si>
    <t>State Funds</t>
  </si>
  <si>
    <t># of Projects</t>
  </si>
  <si>
    <t>District Target FHWA + AC Payback</t>
  </si>
  <si>
    <t>SRC</t>
  </si>
  <si>
    <r>
      <t xml:space="preserve">Adjusted Fed Target </t>
    </r>
    <r>
      <rPr>
        <b/>
        <sz val="8"/>
        <rFont val="Arial Narrow"/>
        <family val="2"/>
      </rPr>
      <t>(incl AC Payback)</t>
    </r>
  </si>
  <si>
    <t>fed target increased by $2.7 MnDOT from additional FFY 11 funds, $7.8M for BR4M, &amp; $21M SBPF for Lafayette;  SF target increased by $21.5M for BR4M and decreased $20M-moved to FY 2013</t>
  </si>
  <si>
    <t>fed target increased by $60M - SBPF Cayuga &amp; $20M SF FROM FY 2012</t>
  </si>
  <si>
    <t xml:space="preserve">fed target increased by $61M-SBPF St Croix  Bridge </t>
  </si>
  <si>
    <t xml:space="preserve">fed target increased by $53M-SBPF St Croix  Bridge + $4M for St Croix mitigation </t>
  </si>
  <si>
    <t>fed target increased by $33M-SBPF St Croix Bridge</t>
  </si>
  <si>
    <t>Rank (Optional)</t>
  </si>
  <si>
    <t>Agency</t>
  </si>
  <si>
    <t>County_Name</t>
  </si>
  <si>
    <r>
      <t xml:space="preserve">Perf Policy Code 1 </t>
    </r>
    <r>
      <rPr>
        <sz val="10"/>
        <color indexed="10"/>
        <rFont val="Arial Narrow"/>
        <family val="2"/>
      </rPr>
      <t>(No Longer Needed)</t>
    </r>
  </si>
  <si>
    <r>
      <t xml:space="preserve">Perf Policy Code 2 </t>
    </r>
    <r>
      <rPr>
        <sz val="10"/>
        <color indexed="10"/>
        <rFont val="Arial Narrow"/>
        <family val="2"/>
      </rPr>
      <t>(No Longer Needed)</t>
    </r>
  </si>
  <si>
    <t>Funds</t>
  </si>
  <si>
    <t>DEMO</t>
  </si>
  <si>
    <t>Other_FHWA</t>
  </si>
  <si>
    <t>FHWA</t>
  </si>
  <si>
    <t>Demo &amp; Other FHWA AC</t>
  </si>
  <si>
    <t>District C AC</t>
  </si>
  <si>
    <t>AC</t>
  </si>
  <si>
    <t>Demo &amp; Other FHWA AC Payback</t>
  </si>
  <si>
    <t>District C AC Payback</t>
  </si>
  <si>
    <t>FHWA AC Payback</t>
  </si>
  <si>
    <t>Metro State TH</t>
  </si>
  <si>
    <t>District C TH</t>
  </si>
  <si>
    <t>State_TH</t>
  </si>
  <si>
    <t>YR</t>
  </si>
  <si>
    <t>20 Year Fix?</t>
  </si>
  <si>
    <t>ADA?</t>
  </si>
  <si>
    <t>Alternate Bid?</t>
  </si>
  <si>
    <t>ELLA?</t>
  </si>
  <si>
    <t>LGA?</t>
  </si>
  <si>
    <t>SRC Budget?</t>
  </si>
  <si>
    <t>TRLF?</t>
  </si>
  <si>
    <t>1st District</t>
  </si>
  <si>
    <t>BB</t>
  </si>
  <si>
    <t>L</t>
  </si>
  <si>
    <t>AITKIN</t>
  </si>
  <si>
    <t>AM</t>
  </si>
  <si>
    <t>BRPC - BRIDGE REPLACEMENT OR CONSTRUCTION</t>
  </si>
  <si>
    <t>GRADE AND SURFACE</t>
  </si>
  <si>
    <t>BF</t>
  </si>
  <si>
    <t>BP08</t>
  </si>
  <si>
    <t>2nd District</t>
  </si>
  <si>
    <t>CITY</t>
  </si>
  <si>
    <t>S</t>
  </si>
  <si>
    <t>ADAMS</t>
  </si>
  <si>
    <t>ANOKA</t>
  </si>
  <si>
    <t>AR</t>
  </si>
  <si>
    <t>BRRH - BRIDGE REHABILITATION</t>
  </si>
  <si>
    <t>GRADE AND BRIDGE</t>
  </si>
  <si>
    <t>CMAQ</t>
  </si>
  <si>
    <t>BP09</t>
  </si>
  <si>
    <t>3rd District</t>
  </si>
  <si>
    <t>A</t>
  </si>
  <si>
    <t>ADRIAN</t>
  </si>
  <si>
    <t>BECKER</t>
  </si>
  <si>
    <t>AU</t>
  </si>
  <si>
    <t>GRSU - GRADE AND SURFACE</t>
  </si>
  <si>
    <t>GRADING</t>
  </si>
  <si>
    <t>BR4M</t>
  </si>
  <si>
    <t>4th District</t>
  </si>
  <si>
    <t>CR</t>
  </si>
  <si>
    <t>AFTON</t>
  </si>
  <si>
    <t>BELTRAMI</t>
  </si>
  <si>
    <t>B3</t>
  </si>
  <si>
    <t>GSBR - GRADE, SURFACE AND BRIDGE</t>
  </si>
  <si>
    <t>BRIDGE REPLACEMENT</t>
  </si>
  <si>
    <t>FMP</t>
  </si>
  <si>
    <t>5th District</t>
  </si>
  <si>
    <t>CSAH</t>
  </si>
  <si>
    <t>BENTON</t>
  </si>
  <si>
    <t>B9</t>
  </si>
  <si>
    <t>TRAN - TRANSIT</t>
  </si>
  <si>
    <t>BOX CULVERT</t>
  </si>
  <si>
    <t>FFM</t>
  </si>
  <si>
    <t>NexTED</t>
  </si>
  <si>
    <t>6th District</t>
  </si>
  <si>
    <t>EN</t>
  </si>
  <si>
    <t>AKELEY</t>
  </si>
  <si>
    <t>BIG STONE</t>
  </si>
  <si>
    <t>PLAN - PLANNING</t>
  </si>
  <si>
    <t>BRIDGE REMOVAL</t>
  </si>
  <si>
    <t>FH</t>
  </si>
  <si>
    <t>SAM</t>
  </si>
  <si>
    <t>7th District</t>
  </si>
  <si>
    <t>ALBANY</t>
  </si>
  <si>
    <t>BLUE EARTH</t>
  </si>
  <si>
    <t>BI</t>
  </si>
  <si>
    <t>ITS - INTELLIGENT TRANSPORTATION SYSTEMS</t>
  </si>
  <si>
    <t>BRIDGE APPROACHES</t>
  </si>
  <si>
    <t>SECT 5307</t>
  </si>
  <si>
    <t>8th District</t>
  </si>
  <si>
    <t>I</t>
  </si>
  <si>
    <t>ALBERTA</t>
  </si>
  <si>
    <t>BROWN</t>
  </si>
  <si>
    <t>BR</t>
  </si>
  <si>
    <t>PRMN - PRESERVATION/MAINTENANCE</t>
  </si>
  <si>
    <t>CULVERT REPLACEMENT</t>
  </si>
  <si>
    <t>HRRR</t>
  </si>
  <si>
    <t>SECT 5308</t>
  </si>
  <si>
    <t>Multiple Congressional Districts</t>
  </si>
  <si>
    <t>C</t>
  </si>
  <si>
    <t>IRR</t>
  </si>
  <si>
    <t>ALBERTVILLE</t>
  </si>
  <si>
    <t>CARLTON</t>
  </si>
  <si>
    <t>BT</t>
  </si>
  <si>
    <t>PVTR - PAVEMENT RESURFACE AND REHABILITATION</t>
  </si>
  <si>
    <t>CULVERT EXTENSION</t>
  </si>
  <si>
    <t>HSIP</t>
  </si>
  <si>
    <t>SECT 5309</t>
  </si>
  <si>
    <t>ALDEN</t>
  </si>
  <si>
    <t>CARVER</t>
  </si>
  <si>
    <t>CA</t>
  </si>
  <si>
    <t>RW - RIGHT OF WAY</t>
  </si>
  <si>
    <t>NEW BRIDGE</t>
  </si>
  <si>
    <t>SECT 5310</t>
  </si>
  <si>
    <t>ALDRICH</t>
  </si>
  <si>
    <t>CASS</t>
  </si>
  <si>
    <t>CF</t>
  </si>
  <si>
    <t>SETA - SETASIDE</t>
  </si>
  <si>
    <t>CULVERT REPAIR</t>
  </si>
  <si>
    <t>LF</t>
  </si>
  <si>
    <t>SECT 5311</t>
  </si>
  <si>
    <t>MN</t>
  </si>
  <si>
    <t>ALEXANDRIA</t>
  </si>
  <si>
    <t>CHIPPEWA</t>
  </si>
  <si>
    <t>DA</t>
  </si>
  <si>
    <t>CRACK AND OVERLAY</t>
  </si>
  <si>
    <t>SECT 5316</t>
  </si>
  <si>
    <t>MSAS</t>
  </si>
  <si>
    <t>ALPHA</t>
  </si>
  <si>
    <t>CHISAGO</t>
  </si>
  <si>
    <t>DR</t>
  </si>
  <si>
    <t>APPU-APPURTENANCE</t>
  </si>
  <si>
    <t>TEMPORARY BRIDGE</t>
  </si>
  <si>
    <t>NHPP</t>
  </si>
  <si>
    <t>SECT 5317</t>
  </si>
  <si>
    <t>MUN</t>
  </si>
  <si>
    <t>ALTURA</t>
  </si>
  <si>
    <t>CLAY</t>
  </si>
  <si>
    <t>APPROACH PANEL</t>
  </si>
  <si>
    <t>SECT 5339</t>
  </si>
  <si>
    <t>PED/BIKE</t>
  </si>
  <si>
    <t>ALVARADO</t>
  </si>
  <si>
    <t>CLEARWATER</t>
  </si>
  <si>
    <t>IR</t>
  </si>
  <si>
    <t>APPROACH PANEL REPLACEMENT</t>
  </si>
  <si>
    <t>TED</t>
  </si>
  <si>
    <t>PL</t>
  </si>
  <si>
    <t>AMBOY</t>
  </si>
  <si>
    <t>COOK</t>
  </si>
  <si>
    <t>JA</t>
  </si>
  <si>
    <t>CULVERT</t>
  </si>
  <si>
    <t>RT</t>
  </si>
  <si>
    <t>iTED</t>
  </si>
  <si>
    <t>REC TRAIL</t>
  </si>
  <si>
    <t>ANDOVER</t>
  </si>
  <si>
    <t>COTTONWOOD</t>
  </si>
  <si>
    <t>MA</t>
  </si>
  <si>
    <t>CENTER LINE CULVERT</t>
  </si>
  <si>
    <t>SF</t>
  </si>
  <si>
    <t>TIGER I</t>
  </si>
  <si>
    <t>ANNANDALE</t>
  </si>
  <si>
    <t>CROW WING</t>
  </si>
  <si>
    <t>MC</t>
  </si>
  <si>
    <t>UNBONDED CONCRETE OVERLAY</t>
  </si>
  <si>
    <t>STP 5K-200K</t>
  </si>
  <si>
    <t>TIGER II</t>
  </si>
  <si>
    <t>RR</t>
  </si>
  <si>
    <t>DAKOTA</t>
  </si>
  <si>
    <t>MP</t>
  </si>
  <si>
    <t>BONDED CONCRETE OVERLAY</t>
  </si>
  <si>
    <t>STP&gt;200K</t>
  </si>
  <si>
    <t>TIGER III</t>
  </si>
  <si>
    <t>APPLE VALLEY</t>
  </si>
  <si>
    <t>DODGE</t>
  </si>
  <si>
    <t>NB</t>
  </si>
  <si>
    <t>CONCRETE PAVEMENT</t>
  </si>
  <si>
    <t>STP5K</t>
  </si>
  <si>
    <t>TIGER IV</t>
  </si>
  <si>
    <t>TWN</t>
  </si>
  <si>
    <t>APPLETON</t>
  </si>
  <si>
    <t>DOUGLAS</t>
  </si>
  <si>
    <t>NF</t>
  </si>
  <si>
    <t>SURFACING</t>
  </si>
  <si>
    <t>STP-BROS</t>
  </si>
  <si>
    <t>Do Not Know</t>
  </si>
  <si>
    <t>US</t>
  </si>
  <si>
    <t>ARCO</t>
  </si>
  <si>
    <t>FARIBAULT</t>
  </si>
  <si>
    <t>NO</t>
  </si>
  <si>
    <t>TRCD - TRAFFIC CONTROL DEVICES</t>
  </si>
  <si>
    <t>STEEL FOR NEW BRIDGE</t>
  </si>
  <si>
    <t>N/A</t>
  </si>
  <si>
    <t>ARDEN HILLS</t>
  </si>
  <si>
    <t>FILLMORE</t>
  </si>
  <si>
    <t>OB</t>
  </si>
  <si>
    <t>CONCRETE PAVEMENT REHAB</t>
  </si>
  <si>
    <t>TAP 5K</t>
  </si>
  <si>
    <t>ARGYLE</t>
  </si>
  <si>
    <t>FREEBORN</t>
  </si>
  <si>
    <t>CONCRETE PVMNT SURF PLNG</t>
  </si>
  <si>
    <t>TAP 5K-200K</t>
  </si>
  <si>
    <t>ARLINGTON</t>
  </si>
  <si>
    <t>GOODHUE</t>
  </si>
  <si>
    <t>PM</t>
  </si>
  <si>
    <t>BITUMINOUS PAVEMENT</t>
  </si>
  <si>
    <t>TAP Statewide</t>
  </si>
  <si>
    <t>ASHBY</t>
  </si>
  <si>
    <t>GRANT</t>
  </si>
  <si>
    <t>PP</t>
  </si>
  <si>
    <t>JOINT SEALING</t>
  </si>
  <si>
    <t>TAP&gt;200K</t>
  </si>
  <si>
    <t>ASKOV</t>
  </si>
  <si>
    <t>HENNEPIN</t>
  </si>
  <si>
    <t>RB</t>
  </si>
  <si>
    <t>BITUMINOUS OVERLAY</t>
  </si>
  <si>
    <t>ATWATER</t>
  </si>
  <si>
    <t>HOUSTON</t>
  </si>
  <si>
    <t>MILL AND OVERLAY</t>
  </si>
  <si>
    <t>AUDUBON</t>
  </si>
  <si>
    <t>HUBBARD</t>
  </si>
  <si>
    <t>RC</t>
  </si>
  <si>
    <t>BITUMINOUS SEAL COAT</t>
  </si>
  <si>
    <t>AURORA</t>
  </si>
  <si>
    <t>ISANTI</t>
  </si>
  <si>
    <t>RD</t>
  </si>
  <si>
    <t>EDGE DRAINS</t>
  </si>
  <si>
    <t>AUSTIN</t>
  </si>
  <si>
    <t>ITASCA</t>
  </si>
  <si>
    <t>RS</t>
  </si>
  <si>
    <t>JOINT REPAIRS</t>
  </si>
  <si>
    <t>AVOCA</t>
  </si>
  <si>
    <t>JACKSON</t>
  </si>
  <si>
    <t>BITUMINIOUS CRACK &amp; SEALING</t>
  </si>
  <si>
    <t>AVON</t>
  </si>
  <si>
    <t>KANABEC</t>
  </si>
  <si>
    <t>RW</t>
  </si>
  <si>
    <t>BITUMINOUS SAW &amp; SEAL</t>
  </si>
  <si>
    <t>BABBITT</t>
  </si>
  <si>
    <t>KANDIYOHI</t>
  </si>
  <si>
    <t>RX</t>
  </si>
  <si>
    <t>BITUMINOUS ROUT &amp;SEAL</t>
  </si>
  <si>
    <t>BACKUS</t>
  </si>
  <si>
    <t>KITTSON</t>
  </si>
  <si>
    <t>SA</t>
  </si>
  <si>
    <t>BITUMINOUS RECLAMATION</t>
  </si>
  <si>
    <t>BADGER</t>
  </si>
  <si>
    <t>KOOCHICHING</t>
  </si>
  <si>
    <t>SC</t>
  </si>
  <si>
    <t>BIT. COLD INPLACE RECYCLING</t>
  </si>
  <si>
    <t>BAGLEY</t>
  </si>
  <si>
    <t>LAC QUI PARLE</t>
  </si>
  <si>
    <t>SH</t>
  </si>
  <si>
    <t>CONCRETE OVERLAY</t>
  </si>
  <si>
    <t>BALATON</t>
  </si>
  <si>
    <t>LAKE</t>
  </si>
  <si>
    <t>SR</t>
  </si>
  <si>
    <t>CONCRETE WHITE TOPPING</t>
  </si>
  <si>
    <t>BARNESVILLE</t>
  </si>
  <si>
    <t>LAKE OF THE WOODS</t>
  </si>
  <si>
    <t>TM</t>
  </si>
  <si>
    <t>CRACK REPAIR</t>
  </si>
  <si>
    <t>BARNUM</t>
  </si>
  <si>
    <t>LE SUEUR</t>
  </si>
  <si>
    <t>TR</t>
  </si>
  <si>
    <t>MICRO SURFACING</t>
  </si>
  <si>
    <t>BARRETT</t>
  </si>
  <si>
    <t>LINCOLN</t>
  </si>
  <si>
    <t>PAVEMENT PATCHING</t>
  </si>
  <si>
    <t>BARRY</t>
  </si>
  <si>
    <t>LYON</t>
  </si>
  <si>
    <t>PAVEMENT SURFACE PLANING</t>
  </si>
  <si>
    <t>BATTLE LAKE</t>
  </si>
  <si>
    <t>MAHNOMEN</t>
  </si>
  <si>
    <t>SEAL COAT</t>
  </si>
  <si>
    <t>BAUDETTE</t>
  </si>
  <si>
    <t>MARSHALL</t>
  </si>
  <si>
    <t>MILL AND INLAY</t>
  </si>
  <si>
    <t>BAXTER</t>
  </si>
  <si>
    <t>MARTIN</t>
  </si>
  <si>
    <t>RUBBELIZED CONCRETE-BIT OVERLAY</t>
  </si>
  <si>
    <t>BAYPORT</t>
  </si>
  <si>
    <t>MCLEOD</t>
  </si>
  <si>
    <t>CURB &amp; GUTTER</t>
  </si>
  <si>
    <t>BEARDSLEY</t>
  </si>
  <si>
    <t>MEEKER</t>
  </si>
  <si>
    <t>COLD INPLACE RECYCLING</t>
  </si>
  <si>
    <t>BEAVER BAY</t>
  </si>
  <si>
    <t>MILLE LACS</t>
  </si>
  <si>
    <t>BRIDGE REPAIR</t>
  </si>
  <si>
    <t>BEAVER CREEK</t>
  </si>
  <si>
    <t>MORRISON</t>
  </si>
  <si>
    <t>REDECK</t>
  </si>
  <si>
    <t>MOWER</t>
  </si>
  <si>
    <t>WIDEN AND REDECK</t>
  </si>
  <si>
    <t>BEJOU</t>
  </si>
  <si>
    <t>MURRAY</t>
  </si>
  <si>
    <t>PAINT BRIDGE</t>
  </si>
  <si>
    <t>BELGRADE</t>
  </si>
  <si>
    <t>NICOLLET</t>
  </si>
  <si>
    <t>RAILINGS</t>
  </si>
  <si>
    <t>BELLE PLAINE</t>
  </si>
  <si>
    <t>NOBLES</t>
  </si>
  <si>
    <t>BRIDGE REPAIR OTHER</t>
  </si>
  <si>
    <t>BELLECHESTER</t>
  </si>
  <si>
    <t>NORMAN</t>
  </si>
  <si>
    <t>BRIDGE OVERLAY</t>
  </si>
  <si>
    <t>BELLINGHAM</t>
  </si>
  <si>
    <t>OLMSTED</t>
  </si>
  <si>
    <t>BRIDGE JOINTS</t>
  </si>
  <si>
    <t>OTTER TAIL</t>
  </si>
  <si>
    <t>BRIDGE WIDEN</t>
  </si>
  <si>
    <t>BELVIEW</t>
  </si>
  <si>
    <t>PENNINGTON</t>
  </si>
  <si>
    <t>SPOT IMPROVEMENT</t>
  </si>
  <si>
    <t>BEMIDJI</t>
  </si>
  <si>
    <t>PINE</t>
  </si>
  <si>
    <t>SHOULDER WIDENING</t>
  </si>
  <si>
    <t>BENA</t>
  </si>
  <si>
    <t>PIPESTONE</t>
  </si>
  <si>
    <t>PAVE SHOULDER</t>
  </si>
  <si>
    <t>BENSON</t>
  </si>
  <si>
    <t>POLK</t>
  </si>
  <si>
    <t>PAVEMENT WIDENING</t>
  </si>
  <si>
    <t>BERTHA</t>
  </si>
  <si>
    <t>POPE</t>
  </si>
  <si>
    <t>TURN LANES</t>
  </si>
  <si>
    <t>BETHEL</t>
  </si>
  <si>
    <t>RAMSEY</t>
  </si>
  <si>
    <t>GUARD RAIL</t>
  </si>
  <si>
    <t>BIG FALLS</t>
  </si>
  <si>
    <t>RED LAKE</t>
  </si>
  <si>
    <t>TRAFFIC BARRIER</t>
  </si>
  <si>
    <t>BIG LAKE</t>
  </si>
  <si>
    <t>REDWOOD</t>
  </si>
  <si>
    <t>CHANNELIZATION</t>
  </si>
  <si>
    <t>BIGELOW</t>
  </si>
  <si>
    <t>RENVILLE</t>
  </si>
  <si>
    <t>SHOULDER REPLACEMENT</t>
  </si>
  <si>
    <t>BIGFORK</t>
  </si>
  <si>
    <t>RICE</t>
  </si>
  <si>
    <t>EROSION REPAIR</t>
  </si>
  <si>
    <t>BINGHAM LAKE</t>
  </si>
  <si>
    <t>ROCK</t>
  </si>
  <si>
    <t>BACKSLOPING</t>
  </si>
  <si>
    <t>BIRCHWOOD</t>
  </si>
  <si>
    <t>ROSEAU</t>
  </si>
  <si>
    <t>BYPASS LANE</t>
  </si>
  <si>
    <t>BIRD ISLAND</t>
  </si>
  <si>
    <t>SCOTT</t>
  </si>
  <si>
    <t>CLEAR &amp; GRUB</t>
  </si>
  <si>
    <t>BISCAY</t>
  </si>
  <si>
    <t>SHERBURNE</t>
  </si>
  <si>
    <t>EXCAVATION</t>
  </si>
  <si>
    <t>BIWABIK</t>
  </si>
  <si>
    <t>SIBLEY</t>
  </si>
  <si>
    <t>MEDIAN BARRIER</t>
  </si>
  <si>
    <t>BLACKDUCK</t>
  </si>
  <si>
    <t>ST. LOUIS</t>
  </si>
  <si>
    <t>IMPACT ATTENUATOR</t>
  </si>
  <si>
    <t>BLAINE</t>
  </si>
  <si>
    <t>STEARNS</t>
  </si>
  <si>
    <t>SLOPE FLATTENING</t>
  </si>
  <si>
    <t>BLOMKEST</t>
  </si>
  <si>
    <t>STEELE</t>
  </si>
  <si>
    <t>STORM SEWER</t>
  </si>
  <si>
    <t>BLOOMING PRAIRIE</t>
  </si>
  <si>
    <t>STEVENS</t>
  </si>
  <si>
    <t>STORM SEWER REPAIR</t>
  </si>
  <si>
    <t>BLOOMINGTON</t>
  </si>
  <si>
    <t>SWIFT</t>
  </si>
  <si>
    <t>STORM SEWER REPLACEMENT</t>
  </si>
  <si>
    <t>TODD</t>
  </si>
  <si>
    <t>RIP RAP</t>
  </si>
  <si>
    <t>BLUFFTON</t>
  </si>
  <si>
    <t>TRAVERSE</t>
  </si>
  <si>
    <t xml:space="preserve">SAFETY TARGET </t>
  </si>
  <si>
    <t>BOCK</t>
  </si>
  <si>
    <t>WABASHA</t>
  </si>
  <si>
    <t>FRONTAGE ROAD</t>
  </si>
  <si>
    <t>BORUP</t>
  </si>
  <si>
    <t>WADENA</t>
  </si>
  <si>
    <t>SHOULDER REPAIR</t>
  </si>
  <si>
    <t>BOVEY</t>
  </si>
  <si>
    <t>WASECA</t>
  </si>
  <si>
    <t>INSLOPE REPAIR</t>
  </si>
  <si>
    <t>BOWLUS</t>
  </si>
  <si>
    <t>WASHINGTON</t>
  </si>
  <si>
    <t>SLIDE REPAIR</t>
  </si>
  <si>
    <t>BOY RIVER</t>
  </si>
  <si>
    <t>WATONWAN</t>
  </si>
  <si>
    <t>TRAFFIC SIGNAL INST.</t>
  </si>
  <si>
    <t>BOYD</t>
  </si>
  <si>
    <t>WILKIN</t>
  </si>
  <si>
    <t>TRAFFIC SIGNAL REVISION</t>
  </si>
  <si>
    <t>BRAHAM</t>
  </si>
  <si>
    <t>WINONA</t>
  </si>
  <si>
    <t>TRAFFIC MGMT. SYSTEM</t>
  </si>
  <si>
    <t>BRAINERD</t>
  </si>
  <si>
    <t>WRIGHT</t>
  </si>
  <si>
    <t>WARNING FLASHERS</t>
  </si>
  <si>
    <t>BRANDON</t>
  </si>
  <si>
    <t>YELLOW MEDICINE</t>
  </si>
  <si>
    <t>HOV RAMP METER BYPASS</t>
  </si>
  <si>
    <t>BRECKENRIDGE</t>
  </si>
  <si>
    <t>DISTRICTWIDE</t>
  </si>
  <si>
    <t>DEER REFLECTORS</t>
  </si>
  <si>
    <t>BREEZY POINT</t>
  </si>
  <si>
    <t>STATEWIDE</t>
  </si>
  <si>
    <t>STRIPING</t>
  </si>
  <si>
    <t>BREWSTER</t>
  </si>
  <si>
    <t>MULTICOUNTY</t>
  </si>
  <si>
    <t>SIGNING</t>
  </si>
  <si>
    <t>BRICELYN</t>
  </si>
  <si>
    <t>LIGHTING</t>
  </si>
  <si>
    <t>BROOK PARK</t>
  </si>
  <si>
    <t>LANDSCAPING</t>
  </si>
  <si>
    <t>BROOKLYN CENTER</t>
  </si>
  <si>
    <t>SALVAGE YD. SCREENING</t>
  </si>
  <si>
    <t>BROOKLYN PARK</t>
  </si>
  <si>
    <t>FENCING</t>
  </si>
  <si>
    <t>BROOKS</t>
  </si>
  <si>
    <t>LANDSCAPE PARTNERSHIP</t>
  </si>
  <si>
    <t>BROOKSTON</t>
  </si>
  <si>
    <t>LIVING SNOW FENCE</t>
  </si>
  <si>
    <t>BROOTEN</t>
  </si>
  <si>
    <t>NOISE ABATEMENT</t>
  </si>
  <si>
    <t>BROWERVILLE</t>
  </si>
  <si>
    <t>BUILDINGS</t>
  </si>
  <si>
    <t>BROWNS VALLEY</t>
  </si>
  <si>
    <t>REST AREA</t>
  </si>
  <si>
    <t>BROWNSDALE</t>
  </si>
  <si>
    <t>WEIGH STATION</t>
  </si>
  <si>
    <t>BROWNSVILLE</t>
  </si>
  <si>
    <t>BUILDING REMOVAL</t>
  </si>
  <si>
    <t>BROWNTON</t>
  </si>
  <si>
    <t>MISCELLANEOUS</t>
  </si>
  <si>
    <t>BRUNO</t>
  </si>
  <si>
    <t>ABANDONED R.R &amp; R/W ALIGN.</t>
  </si>
  <si>
    <t>BUCKMAN</t>
  </si>
  <si>
    <t>RR X-ING IMPROVEMENTS</t>
  </si>
  <si>
    <t>BUFFALO</t>
  </si>
  <si>
    <t>R/W MONUMENTATION &amp; MAP</t>
  </si>
  <si>
    <t>BUFFALO LAKE</t>
  </si>
  <si>
    <t>RAILROAD SURFACING</t>
  </si>
  <si>
    <t>BUHL</t>
  </si>
  <si>
    <t>RAILROAD SIGNALS</t>
  </si>
  <si>
    <t>BURNSVILLE</t>
  </si>
  <si>
    <t>RAILROAD SURF/SIGNALS</t>
  </si>
  <si>
    <t>BURTRUM</t>
  </si>
  <si>
    <t>COOP. CONST. AGREEMENT</t>
  </si>
  <si>
    <t>BUTTERFIELD</t>
  </si>
  <si>
    <t>DETOUR AGREEMENT</t>
  </si>
  <si>
    <t>BYRON</t>
  </si>
  <si>
    <t>RAILROAD AGREEMENT</t>
  </si>
  <si>
    <t>CALEDONIA</t>
  </si>
  <si>
    <t>RESEARCH AGREEMENT</t>
  </si>
  <si>
    <t>CALLAWAY</t>
  </si>
  <si>
    <t>UTILITY AGREEMENT</t>
  </si>
  <si>
    <t>CALUMET</t>
  </si>
  <si>
    <t>ROAD REPAIR</t>
  </si>
  <si>
    <t>CAMBRIDGE</t>
  </si>
  <si>
    <t>PREVENTIVE MAINTENANCE</t>
  </si>
  <si>
    <t>CAMPBELL</t>
  </si>
  <si>
    <t>PURCHASE BUS</t>
  </si>
  <si>
    <t>CANBY</t>
  </si>
  <si>
    <t>OPERATE BUS</t>
  </si>
  <si>
    <t>CANNON FALLS</t>
  </si>
  <si>
    <t>BUS GRANT</t>
  </si>
  <si>
    <t>CANTON</t>
  </si>
  <si>
    <t>BUS GRANT CAPITAL IMPROVEMENT</t>
  </si>
  <si>
    <t>CARLOS</t>
  </si>
  <si>
    <t>RIGHT OF WAY</t>
  </si>
  <si>
    <t>ACQUIRE ACCESS CONTROL</t>
  </si>
  <si>
    <t>ACQUIRE SITE CORNERS</t>
  </si>
  <si>
    <t>CASS LAKE</t>
  </si>
  <si>
    <t>JURISDICTIONAL REASSIGNMENT</t>
  </si>
  <si>
    <t>CEDAR MILLS</t>
  </si>
  <si>
    <t>SUPP. AGREE. &amp; COST OVERRUNS</t>
  </si>
  <si>
    <t>CENTER CITY</t>
  </si>
  <si>
    <t>PED./BIKE IMPROVEMENT</t>
  </si>
  <si>
    <t>CENTERVILLE</t>
  </si>
  <si>
    <t>ENHANCEMENT</t>
  </si>
  <si>
    <t>CEYLON</t>
  </si>
  <si>
    <t>PEDESTRIAN BIKE TRAIL</t>
  </si>
  <si>
    <t>CHAMPLIN</t>
  </si>
  <si>
    <t>PEDESTRIAN BIKE BRIDGE</t>
  </si>
  <si>
    <t>CHANDLER</t>
  </si>
  <si>
    <t>HISTORIC PRESERVATION</t>
  </si>
  <si>
    <t>CHANHASSEN</t>
  </si>
  <si>
    <t>FERRY BOAT FACILITIES</t>
  </si>
  <si>
    <t>CHASKA</t>
  </si>
  <si>
    <t>PLANNING</t>
  </si>
  <si>
    <t>CHATFIELD</t>
  </si>
  <si>
    <t>1 - PM  MICRO-SURFACING</t>
  </si>
  <si>
    <t>CHICKAMAW BEACH</t>
  </si>
  <si>
    <t>2 - PM  CRACK SEAL</t>
  </si>
  <si>
    <t>CHISAGO CITY</t>
  </si>
  <si>
    <t>3 - PM  CRACK REPAIR</t>
  </si>
  <si>
    <t>CHISHOLM</t>
  </si>
  <si>
    <t>4 - PM RUT FILL</t>
  </si>
  <si>
    <t>CHOKIO</t>
  </si>
  <si>
    <t>5 - PM CHIP SEAL</t>
  </si>
  <si>
    <t>CIRCLE PINES</t>
  </si>
  <si>
    <t>6 - PM CRACK REPAIR &amp; CHIP SEAL</t>
  </si>
  <si>
    <t>CLARA CITY</t>
  </si>
  <si>
    <t>7 - PM  CRACK REPAIR &amp; MICRO-SURFACE</t>
  </si>
  <si>
    <t>CLAREMONT</t>
  </si>
  <si>
    <t>8 - PM  CRACK FILL</t>
  </si>
  <si>
    <t>CLARISSA</t>
  </si>
  <si>
    <t>10 - PM  CRACK SEAL &amp; CHIP SEAL</t>
  </si>
  <si>
    <t>CLARKFIELD</t>
  </si>
  <si>
    <t>11 - PM  CRACK SEAL &amp; MICRO-SURFACE</t>
  </si>
  <si>
    <t>CLARKS GROVE</t>
  </si>
  <si>
    <t>12 - PM  RUT FILL &amp; CHIP SEAL</t>
  </si>
  <si>
    <t>CLEAR LAKE</t>
  </si>
  <si>
    <t>13 - PM  RUT FILL &amp; MICRO-SURFACE</t>
  </si>
  <si>
    <t>CLEARBROOK</t>
  </si>
  <si>
    <t>14 - PM  RUT FILL &amp; CRACK REPAIR</t>
  </si>
  <si>
    <t>18 - PM  RUT FILL &amp; CRACK FILL</t>
  </si>
  <si>
    <t>CLEMENTS</t>
  </si>
  <si>
    <t>19 - PM  RUT FILL &amp; CRACK SEAL</t>
  </si>
  <si>
    <t>CLEVELAND</t>
  </si>
  <si>
    <t>20 - PM  THIN OVERLAY (2" OR LESS)</t>
  </si>
  <si>
    <t>CLIMAX</t>
  </si>
  <si>
    <t>21 - PM  MEDIUM OVERLAY (2-4")</t>
  </si>
  <si>
    <t>CLINTON</t>
  </si>
  <si>
    <t xml:space="preserve">22 - PM  THICK OVERLAY (OVER 4:)  </t>
  </si>
  <si>
    <t>CLITHERALL</t>
  </si>
  <si>
    <t>23 - PM  THIN MILL/OVERLAY (2" OR LESS)</t>
  </si>
  <si>
    <t>CLONTARF</t>
  </si>
  <si>
    <t>24 - PM  MEDIUM MILL/OVERLAY (2-4")</t>
  </si>
  <si>
    <t>CLOQUET</t>
  </si>
  <si>
    <t>25 - PM  THICK MILL/OVERLAY (OVER 4")</t>
  </si>
  <si>
    <t>COATES</t>
  </si>
  <si>
    <t>26 - PM  CRACK REPAIR &amp; MEDIUM OVERLAY</t>
  </si>
  <si>
    <t>COBDEN</t>
  </si>
  <si>
    <t>27 - PM  COLD IN-PLACE RECYCLING &amp; MEDIUM OVERLAY</t>
  </si>
  <si>
    <t>COHASSET</t>
  </si>
  <si>
    <t>30 - PM  WHITETOPPING (CONCRETE OL ON BITUMIOUS)</t>
  </si>
  <si>
    <t>COKATO</t>
  </si>
  <si>
    <t>31 - PM  BITUMINOUS/AGGREGATE BASE CONSTRUCTION</t>
  </si>
  <si>
    <t>COLD SPRING</t>
  </si>
  <si>
    <t>32 - PM  BITUMINOUS FULL DEPTH CONSTRUCTION</t>
  </si>
  <si>
    <t>COLERAINE</t>
  </si>
  <si>
    <t>33 - PM  CONCERTE (UNDOWELED) CONSTRUCTION</t>
  </si>
  <si>
    <t>COLOGNE</t>
  </si>
  <si>
    <t>34 - PM  CONTINUOUSLY REINFORCED CONCRETE CONSTRUCTION</t>
  </si>
  <si>
    <t>COLUMBIA HEIGHTS</t>
  </si>
  <si>
    <t>35 - PM  CONCRETE (WITH DOWELS) CONSTRUCTION</t>
  </si>
  <si>
    <t>COMFREY</t>
  </si>
  <si>
    <t>50 - PM  JOINT SEAL</t>
  </si>
  <si>
    <t>COMSTOCK</t>
  </si>
  <si>
    <t>51 - PM  JOINT SEAL &amp; EDGE DRAINS</t>
  </si>
  <si>
    <t>CONGER</t>
  </si>
  <si>
    <t>52 - PM  DIAMOND GRINDING</t>
  </si>
  <si>
    <t>53 - PM  DIAMOND GRINDING &amp; EDGE DRAINS</t>
  </si>
  <si>
    <t>COON RAPIDS</t>
  </si>
  <si>
    <t>54 - PM  MINOR CPR</t>
  </si>
  <si>
    <t>CORCORAN</t>
  </si>
  <si>
    <t>55 - PM  MAJOR CPR</t>
  </si>
  <si>
    <t>CORRELL</t>
  </si>
  <si>
    <t>57 - PM  THICK OVERLAY &amp; EDGE DRAINS</t>
  </si>
  <si>
    <t>COSMOS</t>
  </si>
  <si>
    <t>58 - PM  RUBBLIZE &amp; THICK OVERLAY</t>
  </si>
  <si>
    <t>COTTAGE GROVE</t>
  </si>
  <si>
    <t>59 - PM  CRACK AND SEAT &amp; THICK OVERLAY</t>
  </si>
  <si>
    <t>60 - PM  CRACK AND SEAT, THICK OVERLAY &amp; EDGE DRAINS</t>
  </si>
  <si>
    <t>COURTLAND</t>
  </si>
  <si>
    <t>61 - PM  MINOR CPR &amp; EDGE DRAINS</t>
  </si>
  <si>
    <t>CROMWELL</t>
  </si>
  <si>
    <t>62 - PM  MINOR CPR &amp; DIAMOND GRINDING</t>
  </si>
  <si>
    <t>CROOKSTON</t>
  </si>
  <si>
    <t>63 - PM  MINOR CPR, EDGE DRAINS &amp; DIAMOND GRINDING</t>
  </si>
  <si>
    <t>CROSBY</t>
  </si>
  <si>
    <t>64 - PM  MINOR CPR, RETROFIT DOWELS &amp; DIAMOND GRIND</t>
  </si>
  <si>
    <t>CROSS LAKE</t>
  </si>
  <si>
    <t>65 - PM  MINOR CPR, RETROFIT DOWELS, DIAMOND GRIND &amp; EDGE DRAINS</t>
  </si>
  <si>
    <t>CRYSTAL</t>
  </si>
  <si>
    <t>66 - PM  MAJOR CPR &amp; EDGE DRAINS</t>
  </si>
  <si>
    <t>CURRIE</t>
  </si>
  <si>
    <t>67 - PM  MAJOR CPR &amp; DIAMOND GRINDING</t>
  </si>
  <si>
    <t>CUYUNA</t>
  </si>
  <si>
    <t>68 - PM  MAJOR CPR, EDGE DRAINS &amp; DIAMOND GRINDING</t>
  </si>
  <si>
    <t>CYRUS</t>
  </si>
  <si>
    <t>69 - PM  MAJOR CPR, RETROFIT DOWELS &amp; DIAMOND GRIND</t>
  </si>
  <si>
    <t>70 - PM  MAJOR CPR, RETROFIT DOWELS, DIAMOND GRIND &amp; EDGE DRAINS</t>
  </si>
  <si>
    <t>DALTON</t>
  </si>
  <si>
    <t>71 - PM  RETROFIT DOWELS &amp; DIAMOND GRINDING</t>
  </si>
  <si>
    <t>DANUBE</t>
  </si>
  <si>
    <t>72 - PM  RETROFIT DOWELS, DIAMOND GRINDING &amp; EDGE DRAINS</t>
  </si>
  <si>
    <t>DANVERS</t>
  </si>
  <si>
    <t>73 - PM  UNBONDED OVERLAY</t>
  </si>
  <si>
    <t>DARFUR</t>
  </si>
  <si>
    <t>74 - PM  BONDED OVERLAY</t>
  </si>
  <si>
    <t>DARWIN</t>
  </si>
  <si>
    <t>75 - PM  GROOVE CONCRETE</t>
  </si>
  <si>
    <t>DASSEL</t>
  </si>
  <si>
    <t>90 - PM  REMOVE ALL BITUMINOUS &amp; OL CONCRETE</t>
  </si>
  <si>
    <t>DAWSON</t>
  </si>
  <si>
    <t>DAYTON</t>
  </si>
  <si>
    <t>DE GRAFF</t>
  </si>
  <si>
    <t>DEEPHAVEN</t>
  </si>
  <si>
    <t>DEER CREEK</t>
  </si>
  <si>
    <t>DEER RIVER</t>
  </si>
  <si>
    <t>DEERWOOD</t>
  </si>
  <si>
    <t>DELANO</t>
  </si>
  <si>
    <t>DELAVAN</t>
  </si>
  <si>
    <t>DELHI</t>
  </si>
  <si>
    <t>DELLWOOD</t>
  </si>
  <si>
    <t>DENHAM</t>
  </si>
  <si>
    <t>DENNISON</t>
  </si>
  <si>
    <t>DENT</t>
  </si>
  <si>
    <t>DETROIT LAKES</t>
  </si>
  <si>
    <t>DEXTER</t>
  </si>
  <si>
    <t>DILWORTH</t>
  </si>
  <si>
    <t>DODGE CENTER</t>
  </si>
  <si>
    <t>DONALDSON</t>
  </si>
  <si>
    <t>DONNELLY</t>
  </si>
  <si>
    <t>DORAN</t>
  </si>
  <si>
    <t>DOVER</t>
  </si>
  <si>
    <t>DOVRAY</t>
  </si>
  <si>
    <t>DULUTH</t>
  </si>
  <si>
    <t>DUMONT</t>
  </si>
  <si>
    <t>DUNDAS</t>
  </si>
  <si>
    <t>DUNDEE</t>
  </si>
  <si>
    <t>DUNNELL</t>
  </si>
  <si>
    <t>EAGAN</t>
  </si>
  <si>
    <t>EAGLE BEND</t>
  </si>
  <si>
    <t>EAGLE LAKE</t>
  </si>
  <si>
    <t>EAST BETHEL</t>
  </si>
  <si>
    <t>EAST GRAND FORKS</t>
  </si>
  <si>
    <t>EAST GULL LAKE</t>
  </si>
  <si>
    <t>EASTON</t>
  </si>
  <si>
    <t>ECHO</t>
  </si>
  <si>
    <t>EDEN PRAIRIE</t>
  </si>
  <si>
    <t>EDEN VALLEY</t>
  </si>
  <si>
    <t>EDGERTON</t>
  </si>
  <si>
    <t>EDINA</t>
  </si>
  <si>
    <t>EFFIE</t>
  </si>
  <si>
    <t>EITZEN</t>
  </si>
  <si>
    <t>ELBA</t>
  </si>
  <si>
    <t>ELBOW LAKE</t>
  </si>
  <si>
    <t>ELGIN</t>
  </si>
  <si>
    <t>ELIZABETH</t>
  </si>
  <si>
    <t>ELK RIVER</t>
  </si>
  <si>
    <t>ELKO</t>
  </si>
  <si>
    <t>ELKTON</t>
  </si>
  <si>
    <t>ELLENDALE</t>
  </si>
  <si>
    <t>ELLSWORTH</t>
  </si>
  <si>
    <t>ELMDALE</t>
  </si>
  <si>
    <t>ELMORE</t>
  </si>
  <si>
    <t>ELROSA</t>
  </si>
  <si>
    <t>ELY</t>
  </si>
  <si>
    <t>ELYSIAN</t>
  </si>
  <si>
    <t>EMILY</t>
  </si>
  <si>
    <t>EMMONS</t>
  </si>
  <si>
    <t>ERHARD</t>
  </si>
  <si>
    <t>ERSKINE</t>
  </si>
  <si>
    <t>EVAN</t>
  </si>
  <si>
    <t>EVANSVILLE</t>
  </si>
  <si>
    <t>EVELETH</t>
  </si>
  <si>
    <t>EXCELSIOR</t>
  </si>
  <si>
    <t>EYOTA</t>
  </si>
  <si>
    <t>FAIRFAX</t>
  </si>
  <si>
    <t>FAIRMONT</t>
  </si>
  <si>
    <t>FALCON HEIGHTS</t>
  </si>
  <si>
    <t>FARMINGTON</t>
  </si>
  <si>
    <t>FARWELL</t>
  </si>
  <si>
    <t>FEDERAL DAM</t>
  </si>
  <si>
    <t>FELTON</t>
  </si>
  <si>
    <t>FERGUS FALLS</t>
  </si>
  <si>
    <t>FERTILE</t>
  </si>
  <si>
    <t>FIFTY LAKES</t>
  </si>
  <si>
    <t>FINLAYSON</t>
  </si>
  <si>
    <t>FISHER</t>
  </si>
  <si>
    <t>FLENSBURG</t>
  </si>
  <si>
    <t>FLOODWOOD</t>
  </si>
  <si>
    <t>FLORENCE</t>
  </si>
  <si>
    <t>FOLEY</t>
  </si>
  <si>
    <t>FORADA</t>
  </si>
  <si>
    <t>FOREST LAKE</t>
  </si>
  <si>
    <t>FORESTON</t>
  </si>
  <si>
    <t>FORT RIPLEY</t>
  </si>
  <si>
    <t>FOSSTON</t>
  </si>
  <si>
    <t>FOUNTAIN</t>
  </si>
  <si>
    <t>FOXHOME</t>
  </si>
  <si>
    <t>FRANKLIN</t>
  </si>
  <si>
    <t>FRAZEE</t>
  </si>
  <si>
    <t>FREEPORT</t>
  </si>
  <si>
    <t>FRIDLEY</t>
  </si>
  <si>
    <t>FROST</t>
  </si>
  <si>
    <t>FULDA</t>
  </si>
  <si>
    <t>FUNKLEY</t>
  </si>
  <si>
    <t>GARFIELD</t>
  </si>
  <si>
    <t>GARRISON</t>
  </si>
  <si>
    <t>GARVIN</t>
  </si>
  <si>
    <t>GARY</t>
  </si>
  <si>
    <t>GAYLORD</t>
  </si>
  <si>
    <t>GEM LAKE</t>
  </si>
  <si>
    <t>GENEVA</t>
  </si>
  <si>
    <t>GENOLA</t>
  </si>
  <si>
    <t>GEORGETOWN</t>
  </si>
  <si>
    <t>GHENT</t>
  </si>
  <si>
    <t>GIBBON</t>
  </si>
  <si>
    <t>GILBERT</t>
  </si>
  <si>
    <t>GILMAN</t>
  </si>
  <si>
    <t>GLENCOE</t>
  </si>
  <si>
    <t>GLENVILLE</t>
  </si>
  <si>
    <t>GLENWOOD</t>
  </si>
  <si>
    <t>GLYNDON</t>
  </si>
  <si>
    <t>GOLDEN VALLEY</t>
  </si>
  <si>
    <t>GONVICK</t>
  </si>
  <si>
    <t>GOOD THUNDER</t>
  </si>
  <si>
    <t>GOODRIDGE</t>
  </si>
  <si>
    <t>GOODVIEW</t>
  </si>
  <si>
    <t>GRACEVILLE</t>
  </si>
  <si>
    <t>GRANADA</t>
  </si>
  <si>
    <t>GRAND MARAIS</t>
  </si>
  <si>
    <t>GRAND MEADOW</t>
  </si>
  <si>
    <t>GRAND RAPIDS</t>
  </si>
  <si>
    <t>GRANITE FALLS</t>
  </si>
  <si>
    <t>GRASSTON</t>
  </si>
  <si>
    <t>GREEN ISLE</t>
  </si>
  <si>
    <t>GREENBUSH</t>
  </si>
  <si>
    <t>GREENFIELD</t>
  </si>
  <si>
    <t>GREENWALD</t>
  </si>
  <si>
    <t>GREENWOOD</t>
  </si>
  <si>
    <t>GREY EAGLE</t>
  </si>
  <si>
    <t>GROVE CITY</t>
  </si>
  <si>
    <t>GRYGLA</t>
  </si>
  <si>
    <t>GULLY</t>
  </si>
  <si>
    <t>HACKENSACK</t>
  </si>
  <si>
    <t>HADLEY</t>
  </si>
  <si>
    <t>HALLOCK</t>
  </si>
  <si>
    <t>HALMA</t>
  </si>
  <si>
    <t>HALSTAD</t>
  </si>
  <si>
    <t>HAM LAKE</t>
  </si>
  <si>
    <t>HAMBURG</t>
  </si>
  <si>
    <t>HAMMOND</t>
  </si>
  <si>
    <t>HAMPTON</t>
  </si>
  <si>
    <t>HANCOCK</t>
  </si>
  <si>
    <t>HANLEY FALLS</t>
  </si>
  <si>
    <t>HANOVER</t>
  </si>
  <si>
    <t>HANSKA</t>
  </si>
  <si>
    <t>HARDING</t>
  </si>
  <si>
    <t>HARDWICK</t>
  </si>
  <si>
    <t>HARMONY</t>
  </si>
  <si>
    <t>HARRIS</t>
  </si>
  <si>
    <t>HARTLAND</t>
  </si>
  <si>
    <t>HASTINGS</t>
  </si>
  <si>
    <t>HATFIELD</t>
  </si>
  <si>
    <t>HAWLEY</t>
  </si>
  <si>
    <t>HAYFIELD</t>
  </si>
  <si>
    <t>HAYWARD</t>
  </si>
  <si>
    <t>HAZEL RUN</t>
  </si>
  <si>
    <t>HECTOR</t>
  </si>
  <si>
    <t>HEIDELBERG</t>
  </si>
  <si>
    <t>HENDERSON</t>
  </si>
  <si>
    <t>HENDRICKS</t>
  </si>
  <si>
    <t>HENDRUM</t>
  </si>
  <si>
    <t>HENNING</t>
  </si>
  <si>
    <t>HENRIETTE</t>
  </si>
  <si>
    <t>HERMAN</t>
  </si>
  <si>
    <t>HERMANTOWN</t>
  </si>
  <si>
    <t>HERON LAKE</t>
  </si>
  <si>
    <t>HEWITT</t>
  </si>
  <si>
    <t>HIBBING</t>
  </si>
  <si>
    <t>HILL CITY</t>
  </si>
  <si>
    <t>HILLMAN</t>
  </si>
  <si>
    <t>HILLS</t>
  </si>
  <si>
    <t>HILLTOP</t>
  </si>
  <si>
    <t>HINCKLEY</t>
  </si>
  <si>
    <t>HITTERDAL</t>
  </si>
  <si>
    <t>HOFFMAN</t>
  </si>
  <si>
    <t>HOKAH</t>
  </si>
  <si>
    <t>HOLDINGFORD</t>
  </si>
  <si>
    <t>HOLLAND</t>
  </si>
  <si>
    <t>HOLLANDALE</t>
  </si>
  <si>
    <t>HOLLOWAY</t>
  </si>
  <si>
    <t>HOLT</t>
  </si>
  <si>
    <t>HOPKINS</t>
  </si>
  <si>
    <t>HOWARD LAKE</t>
  </si>
  <si>
    <t>HOYT LAKES</t>
  </si>
  <si>
    <t>HUGO</t>
  </si>
  <si>
    <t>HUMBOLDT</t>
  </si>
  <si>
    <t>HUTCHINSON</t>
  </si>
  <si>
    <t>IHLEN</t>
  </si>
  <si>
    <t>INDEPENDENCE</t>
  </si>
  <si>
    <t>INTERNATIONAL FALLS</t>
  </si>
  <si>
    <t>INVER GROVE HEIGHTS</t>
  </si>
  <si>
    <t>IONA (IONA LAKE STATION)</t>
  </si>
  <si>
    <t>IRON JUNCTION</t>
  </si>
  <si>
    <t>IRONTON</t>
  </si>
  <si>
    <t>ISLE</t>
  </si>
  <si>
    <t>IVANHOE</t>
  </si>
  <si>
    <t>JANESVILLE</t>
  </si>
  <si>
    <t>JASPER</t>
  </si>
  <si>
    <t>JEFFERS</t>
  </si>
  <si>
    <t>JENKINS</t>
  </si>
  <si>
    <t>JOHNSON</t>
  </si>
  <si>
    <t>JORDAN</t>
  </si>
  <si>
    <t>KARLSTAD</t>
  </si>
  <si>
    <t>KASOTA</t>
  </si>
  <si>
    <t>KASSON</t>
  </si>
  <si>
    <t>KEEWATIN</t>
  </si>
  <si>
    <t>KELLIHER</t>
  </si>
  <si>
    <t>KELLOGG</t>
  </si>
  <si>
    <t>KENNEDY</t>
  </si>
  <si>
    <t>KENNETH</t>
  </si>
  <si>
    <t>KENSINGTON</t>
  </si>
  <si>
    <t>KENT</t>
  </si>
  <si>
    <t>KENYON</t>
  </si>
  <si>
    <t>KERKHOVEN</t>
  </si>
  <si>
    <t>KERRICK</t>
  </si>
  <si>
    <t>KETTLE RIVER</t>
  </si>
  <si>
    <t>KIESTER</t>
  </si>
  <si>
    <t>KILKENNY</t>
  </si>
  <si>
    <t>KIMBALL</t>
  </si>
  <si>
    <t>KINBRAE</t>
  </si>
  <si>
    <t>KINGSTON</t>
  </si>
  <si>
    <t>KINNEY</t>
  </si>
  <si>
    <t>LA PRAIRIE</t>
  </si>
  <si>
    <t>LA SALLE</t>
  </si>
  <si>
    <t>LACRESCENT</t>
  </si>
  <si>
    <t>LAFAYETTE</t>
  </si>
  <si>
    <t>LAKE BENTON</t>
  </si>
  <si>
    <t>LAKE BRONSON</t>
  </si>
  <si>
    <t>LAKE CITY</t>
  </si>
  <si>
    <t>LAKE CRYSTAL</t>
  </si>
  <si>
    <t>LAKE ELMO</t>
  </si>
  <si>
    <t>LAKE HENRY</t>
  </si>
  <si>
    <t>LAKE LILLIAN</t>
  </si>
  <si>
    <t>LAKE PARK</t>
  </si>
  <si>
    <t>LAKE SAINT CROIX BEACH</t>
  </si>
  <si>
    <t>LAKE SHORE</t>
  </si>
  <si>
    <t>LAKE WILSON</t>
  </si>
  <si>
    <t>LAKEFIELD</t>
  </si>
  <si>
    <t>LAKELAND</t>
  </si>
  <si>
    <t>LAKELAND SHORES</t>
  </si>
  <si>
    <t>LAKEVILLE</t>
  </si>
  <si>
    <t>LAMBERTON</t>
  </si>
  <si>
    <t>LANCASTER</t>
  </si>
  <si>
    <t>LANDFALL</t>
  </si>
  <si>
    <t>LANESBORO</t>
  </si>
  <si>
    <t>LAPORTE</t>
  </si>
  <si>
    <t>LASTRUP</t>
  </si>
  <si>
    <t>LAUDERDALE</t>
  </si>
  <si>
    <t>LE CENTER</t>
  </si>
  <si>
    <t>LE ROY</t>
  </si>
  <si>
    <t>LENGBY</t>
  </si>
  <si>
    <t>LEONARD</t>
  </si>
  <si>
    <t>LEONIDAS</t>
  </si>
  <si>
    <t>LESTER PRAIRIE</t>
  </si>
  <si>
    <t>LEWISTON</t>
  </si>
  <si>
    <t>LEWISVILLE</t>
  </si>
  <si>
    <t>LEXINGTON</t>
  </si>
  <si>
    <t>LILYDALE</t>
  </si>
  <si>
    <t>LINDSTROM</t>
  </si>
  <si>
    <t>LINO LAKES</t>
  </si>
  <si>
    <t>LISMORE</t>
  </si>
  <si>
    <t>LITCHFIELD</t>
  </si>
  <si>
    <t>LITTLE CANADA</t>
  </si>
  <si>
    <t>LITTLE FALLS</t>
  </si>
  <si>
    <t>LITTLEFORK</t>
  </si>
  <si>
    <t>LONG BEACH</t>
  </si>
  <si>
    <t>LONG LAKE</t>
  </si>
  <si>
    <t>LONG PRAIRIE</t>
  </si>
  <si>
    <t>LONGVILLE</t>
  </si>
  <si>
    <t>LONSDALE</t>
  </si>
  <si>
    <t>LORETTO</t>
  </si>
  <si>
    <t>LOUISBURG</t>
  </si>
  <si>
    <t>LOWRY</t>
  </si>
  <si>
    <t>LUCAN</t>
  </si>
  <si>
    <t>LUVERNE</t>
  </si>
  <si>
    <t>LYLE</t>
  </si>
  <si>
    <t>LYND</t>
  </si>
  <si>
    <t>MABEL</t>
  </si>
  <si>
    <t>MADELIA</t>
  </si>
  <si>
    <t>MADISON</t>
  </si>
  <si>
    <t>MADISON LAKE</t>
  </si>
  <si>
    <t>MAGNOLIA</t>
  </si>
  <si>
    <t>MAHTOMEDI</t>
  </si>
  <si>
    <t>MANCHESTER</t>
  </si>
  <si>
    <t>MANHATTAN BEACH</t>
  </si>
  <si>
    <t>MANKATO</t>
  </si>
  <si>
    <t>MANTORVILLE</t>
  </si>
  <si>
    <t>MAPLE GROVE</t>
  </si>
  <si>
    <t>MAPLE LAKE</t>
  </si>
  <si>
    <t>MAPLE PLAIN</t>
  </si>
  <si>
    <t>MAPLETON</t>
  </si>
  <si>
    <t>MAPLEVIEW</t>
  </si>
  <si>
    <t>MAPLEWOOD</t>
  </si>
  <si>
    <t>MARBLE</t>
  </si>
  <si>
    <t>MARIETTA</t>
  </si>
  <si>
    <t>MARINE ON ST. CROIX</t>
  </si>
  <si>
    <t>MAYER</t>
  </si>
  <si>
    <t>MAYNARD</t>
  </si>
  <si>
    <t>MAZEPPA</t>
  </si>
  <si>
    <t>MCGRATH</t>
  </si>
  <si>
    <t>MCGREGOR</t>
  </si>
  <si>
    <t>MCINTOSH</t>
  </si>
  <si>
    <t>MCKINLEY</t>
  </si>
  <si>
    <t>MEADOWLANDS</t>
  </si>
  <si>
    <t>MEDFORD</t>
  </si>
  <si>
    <t>MEDICINE LAKE</t>
  </si>
  <si>
    <t>MEDINA</t>
  </si>
  <si>
    <t>MEIRE GROVE</t>
  </si>
  <si>
    <t>MELROSE</t>
  </si>
  <si>
    <t>MENAHGA</t>
  </si>
  <si>
    <t>MENDOTA</t>
  </si>
  <si>
    <t>MENDOTA HEIGHTS</t>
  </si>
  <si>
    <t>MENTOR</t>
  </si>
  <si>
    <t>MIDDLE RIVER</t>
  </si>
  <si>
    <t>MIESVILLE</t>
  </si>
  <si>
    <t>MILACA</t>
  </si>
  <si>
    <t>MILAN</t>
  </si>
  <si>
    <t>MILLERVILLE</t>
  </si>
  <si>
    <t>MILLVILLE</t>
  </si>
  <si>
    <t>MILROY</t>
  </si>
  <si>
    <t>MILTONA</t>
  </si>
  <si>
    <t>MINNEAPOLIS</t>
  </si>
  <si>
    <t>MINNEISKA</t>
  </si>
  <si>
    <t>MINNEOTA</t>
  </si>
  <si>
    <t>MINNESOTA CITY</t>
  </si>
  <si>
    <t>MINNESOTA LAKE</t>
  </si>
  <si>
    <t>MINNETONKA</t>
  </si>
  <si>
    <t>MINNETONKA BEACH</t>
  </si>
  <si>
    <t>MINNETRISTA</t>
  </si>
  <si>
    <t>MIZPAH</t>
  </si>
  <si>
    <t>MONTEVIDEO</t>
  </si>
  <si>
    <t>MONTGOMERY</t>
  </si>
  <si>
    <t>MONTICELLO</t>
  </si>
  <si>
    <t>MONTROSE</t>
  </si>
  <si>
    <t>MOORHEAD</t>
  </si>
  <si>
    <t>MOOSE LAKE</t>
  </si>
  <si>
    <t>MORA</t>
  </si>
  <si>
    <t>MORGAN</t>
  </si>
  <si>
    <t>MORRIS</t>
  </si>
  <si>
    <t>MORRISTOWN</t>
  </si>
  <si>
    <t>MORTON</t>
  </si>
  <si>
    <t>MOTLEY</t>
  </si>
  <si>
    <t>MOUND</t>
  </si>
  <si>
    <t>MOUNDS VIEW</t>
  </si>
  <si>
    <t>MOUNTAIN IRON</t>
  </si>
  <si>
    <t>MOUNTAIN LAKE</t>
  </si>
  <si>
    <t>MURDOCK</t>
  </si>
  <si>
    <t>MYRTLE</t>
  </si>
  <si>
    <t>NASHUA</t>
  </si>
  <si>
    <t>NASHWAUK</t>
  </si>
  <si>
    <t>NASSAU</t>
  </si>
  <si>
    <t>NELSON</t>
  </si>
  <si>
    <t>NERSTRAND</t>
  </si>
  <si>
    <t>NEVIS</t>
  </si>
  <si>
    <t>NEW AUBURN</t>
  </si>
  <si>
    <t>NEW BRIGHTON</t>
  </si>
  <si>
    <t>NEW GERMANY</t>
  </si>
  <si>
    <t>NEW HOPE</t>
  </si>
  <si>
    <t>NEW LONDON</t>
  </si>
  <si>
    <t>NEW MARKET</t>
  </si>
  <si>
    <t>NEW MUNICH</t>
  </si>
  <si>
    <t>NEW PRAGUE</t>
  </si>
  <si>
    <t>NEW RICHLAND</t>
  </si>
  <si>
    <t>NEW TRIER</t>
  </si>
  <si>
    <t>NEW ULM</t>
  </si>
  <si>
    <t>NEW YORK MILLS</t>
  </si>
  <si>
    <t>NEWFOLDEN</t>
  </si>
  <si>
    <t>NEWPORT</t>
  </si>
  <si>
    <t>NIELSVILLE</t>
  </si>
  <si>
    <t>NIMROD</t>
  </si>
  <si>
    <t>NISSWA</t>
  </si>
  <si>
    <t>NORCROSS</t>
  </si>
  <si>
    <t>NORTH BRANCH</t>
  </si>
  <si>
    <t>NORTH MANKATO</t>
  </si>
  <si>
    <t>NORTH OAKS</t>
  </si>
  <si>
    <t>NORTH SAINT PAUL</t>
  </si>
  <si>
    <t>NORTHFIELD</t>
  </si>
  <si>
    <t>NORTHOME</t>
  </si>
  <si>
    <t>NORTHROP</t>
  </si>
  <si>
    <t>NORWOOD YOUNG AMERICA</t>
  </si>
  <si>
    <t>OAKDALE</t>
  </si>
  <si>
    <t>OAK PARK HEIGHTS</t>
  </si>
  <si>
    <t>ODESSA</t>
  </si>
  <si>
    <t>ODIN</t>
  </si>
  <si>
    <t>OGEMA</t>
  </si>
  <si>
    <t>OGILVIE</t>
  </si>
  <si>
    <t>OKABENA</t>
  </si>
  <si>
    <t>OKLEE</t>
  </si>
  <si>
    <t>OLIVIA</t>
  </si>
  <si>
    <t>ONAMIA</t>
  </si>
  <si>
    <t>ORMSBY</t>
  </si>
  <si>
    <t>ORONO</t>
  </si>
  <si>
    <t>ORONOCO</t>
  </si>
  <si>
    <t>ORR</t>
  </si>
  <si>
    <t>ORTONVILLE</t>
  </si>
  <si>
    <t>OSAKIS</t>
  </si>
  <si>
    <t>OSLO</t>
  </si>
  <si>
    <t>OSSEO</t>
  </si>
  <si>
    <t>OSTRANDER</t>
  </si>
  <si>
    <t>OTSEGO</t>
  </si>
  <si>
    <t>OTTERTAIL</t>
  </si>
  <si>
    <t>OWATONNA</t>
  </si>
  <si>
    <t>PALISADE</t>
  </si>
  <si>
    <t>PARK RAPIDS</t>
  </si>
  <si>
    <t>PARKERS PRAIRIE</t>
  </si>
  <si>
    <t>PAYNESVILLE</t>
  </si>
  <si>
    <t>PEASE</t>
  </si>
  <si>
    <t>PELICAN RAPIDS</t>
  </si>
  <si>
    <t>PEMBERTON</t>
  </si>
  <si>
    <t>PENNOCK</t>
  </si>
  <si>
    <t>PEQUOT LAKES</t>
  </si>
  <si>
    <t>PERHAM</t>
  </si>
  <si>
    <t>PERLEY</t>
  </si>
  <si>
    <t>PETERSON</t>
  </si>
  <si>
    <t>PIERZ</t>
  </si>
  <si>
    <t>PILLAGER</t>
  </si>
  <si>
    <t>PINE CITY</t>
  </si>
  <si>
    <t>PINE ISLAND</t>
  </si>
  <si>
    <t>PINE RIVER</t>
  </si>
  <si>
    <t>PINE SPRINGS</t>
  </si>
  <si>
    <t>PLAINVIEW</t>
  </si>
  <si>
    <t>PLATO</t>
  </si>
  <si>
    <t>PLEASANT LAKE</t>
  </si>
  <si>
    <t>PLUMMER</t>
  </si>
  <si>
    <t>PLYMOUTH</t>
  </si>
  <si>
    <t>PORTER</t>
  </si>
  <si>
    <t>PRESTON</t>
  </si>
  <si>
    <t>PRINCETON</t>
  </si>
  <si>
    <t>PRINSBURG</t>
  </si>
  <si>
    <t>PRIOR LAKE</t>
  </si>
  <si>
    <t>PROCTOR</t>
  </si>
  <si>
    <t>QUAMBA</t>
  </si>
  <si>
    <t>RACINE</t>
  </si>
  <si>
    <t>RANDALL</t>
  </si>
  <si>
    <t>RANDOLPH</t>
  </si>
  <si>
    <t>RANIER</t>
  </si>
  <si>
    <t>RAYMOND</t>
  </si>
  <si>
    <t>RED LAKE FALLS</t>
  </si>
  <si>
    <t>RED WING</t>
  </si>
  <si>
    <t>REDWOOD FALLS</t>
  </si>
  <si>
    <t>REGAL</t>
  </si>
  <si>
    <t>REMER</t>
  </si>
  <si>
    <t>REVERE</t>
  </si>
  <si>
    <t>RICHFIELD</t>
  </si>
  <si>
    <t>RICHMOND</t>
  </si>
  <si>
    <t>RICHVILLE</t>
  </si>
  <si>
    <t>RIVERTON</t>
  </si>
  <si>
    <t>ROBBINSDALE</t>
  </si>
  <si>
    <t>ROCHESTER</t>
  </si>
  <si>
    <t>ROCK CREEK</t>
  </si>
  <si>
    <t>ROCKFORD</t>
  </si>
  <si>
    <t>ROCKVILLE</t>
  </si>
  <si>
    <t>ROGERS</t>
  </si>
  <si>
    <t>ROLLINGSTONE</t>
  </si>
  <si>
    <t>RONNEBY</t>
  </si>
  <si>
    <t>ROOSEVELT</t>
  </si>
  <si>
    <t>ROSCOE</t>
  </si>
  <si>
    <t>ROSE CREEK</t>
  </si>
  <si>
    <t>ROSEMOUNT</t>
  </si>
  <si>
    <t>ROSEVILLE</t>
  </si>
  <si>
    <t>ROTHSAY</t>
  </si>
  <si>
    <t>ROUND LAKE</t>
  </si>
  <si>
    <t>ROYALTON</t>
  </si>
  <si>
    <t>RUSH CITY</t>
  </si>
  <si>
    <t>RUSHFORD</t>
  </si>
  <si>
    <t>RUSHFORD VILLAGE</t>
  </si>
  <si>
    <t>RUSHMORE</t>
  </si>
  <si>
    <t>RUSSELL</t>
  </si>
  <si>
    <t>RUTHTON</t>
  </si>
  <si>
    <t>RUTLEDGE</t>
  </si>
  <si>
    <t>SABIN</t>
  </si>
  <si>
    <t>SACRED HEART</t>
  </si>
  <si>
    <t>SAINT ANTHONY</t>
  </si>
  <si>
    <t>SAINT BONIFACIUS</t>
  </si>
  <si>
    <t>SAINT CHARLES</t>
  </si>
  <si>
    <t>SAINT CLAIR</t>
  </si>
  <si>
    <t>SAINT CLOUD</t>
  </si>
  <si>
    <t>SAINT FRANCIS</t>
  </si>
  <si>
    <t>SAINT HILAIRE</t>
  </si>
  <si>
    <t>SAINT JAMES</t>
  </si>
  <si>
    <t>SAINT JOSEPH</t>
  </si>
  <si>
    <t>SAINT LEO</t>
  </si>
  <si>
    <t>SAINT LOUIS PARK</t>
  </si>
  <si>
    <t>SAINT MARTIN</t>
  </si>
  <si>
    <t>SAINT MARYS POINT</t>
  </si>
  <si>
    <t>SAINT MICHAEL</t>
  </si>
  <si>
    <t>SAINT PAUL</t>
  </si>
  <si>
    <t>SAINT PAUL PARK</t>
  </si>
  <si>
    <t>SAINT PETER</t>
  </si>
  <si>
    <t>SAINT ROSA</t>
  </si>
  <si>
    <t>SAINT STEPHEN</t>
  </si>
  <si>
    <t>SAINT VINCENT</t>
  </si>
  <si>
    <t>SANBORN</t>
  </si>
  <si>
    <t>SANDSTONE</t>
  </si>
  <si>
    <t>SARGEANT</t>
  </si>
  <si>
    <t>SARTELL</t>
  </si>
  <si>
    <t>SAUK CENTRE</t>
  </si>
  <si>
    <t>SAUK RAPIDS</t>
  </si>
  <si>
    <t>SAVAGE</t>
  </si>
  <si>
    <t>SCANLON</t>
  </si>
  <si>
    <t>SEAFORTH</t>
  </si>
  <si>
    <t>SEBEKA</t>
  </si>
  <si>
    <t>SEDAN</t>
  </si>
  <si>
    <t>SHAFER</t>
  </si>
  <si>
    <t>SHAKOPEE</t>
  </si>
  <si>
    <t>SHELLY</t>
  </si>
  <si>
    <t>SHERBURN</t>
  </si>
  <si>
    <t>SHEVLIN</t>
  </si>
  <si>
    <t>SHOREVIEW</t>
  </si>
  <si>
    <t>SHOREWOOD</t>
  </si>
  <si>
    <t>SILVER BAY</t>
  </si>
  <si>
    <t>SILVER LAKE</t>
  </si>
  <si>
    <t>SKYLINE</t>
  </si>
  <si>
    <t>SLAYTON</t>
  </si>
  <si>
    <t>SLEEPY EYE</t>
  </si>
  <si>
    <t>SOBIESKI</t>
  </si>
  <si>
    <t>SOLWAY</t>
  </si>
  <si>
    <t>SOUTH HAVEN</t>
  </si>
  <si>
    <t>SOUTH  SAINT PAUL</t>
  </si>
  <si>
    <t>SPICER</t>
  </si>
  <si>
    <t>SPRING GROVE</t>
  </si>
  <si>
    <t>SPRING HILL</t>
  </si>
  <si>
    <t>SPRING LAKE PARK</t>
  </si>
  <si>
    <t>SPRING PARK</t>
  </si>
  <si>
    <t>SPRING VALLEY</t>
  </si>
  <si>
    <t>SPRINGFIELD</t>
  </si>
  <si>
    <t>SQUAW LAKE</t>
  </si>
  <si>
    <t>STACY</t>
  </si>
  <si>
    <t>STAPLES</t>
  </si>
  <si>
    <t>STARBUCK</t>
  </si>
  <si>
    <t>STEEN</t>
  </si>
  <si>
    <t>STEPHEN</t>
  </si>
  <si>
    <t>STEWART</t>
  </si>
  <si>
    <t>STEWARTVILLE</t>
  </si>
  <si>
    <t>STILLWATER</t>
  </si>
  <si>
    <t>STOCKTON</t>
  </si>
  <si>
    <t>STORDEN</t>
  </si>
  <si>
    <t>STRANDQUIST</t>
  </si>
  <si>
    <t>STRATHCONA</t>
  </si>
  <si>
    <t>STURGEON LAKE</t>
  </si>
  <si>
    <t>SUNBURG</t>
  </si>
  <si>
    <t>SUNFISH LAKE</t>
  </si>
  <si>
    <t>TACONITE</t>
  </si>
  <si>
    <t>TALL MOON</t>
  </si>
  <si>
    <t>TAMARACK</t>
  </si>
  <si>
    <t>TAOPI</t>
  </si>
  <si>
    <t>TAUNTON</t>
  </si>
  <si>
    <t>TAYLORS FALLS</t>
  </si>
  <si>
    <t>TENNEY</t>
  </si>
  <si>
    <t>TENSTRIKE</t>
  </si>
  <si>
    <t>THIEF RIVER FALLS</t>
  </si>
  <si>
    <t>THOMSON</t>
  </si>
  <si>
    <t>TINTAH</t>
  </si>
  <si>
    <t>TONKA BAY</t>
  </si>
  <si>
    <t>TOWER</t>
  </si>
  <si>
    <t>TRACY</t>
  </si>
  <si>
    <t>TRAIL</t>
  </si>
  <si>
    <t>TRIMONT</t>
  </si>
  <si>
    <t>TROMMALD</t>
  </si>
  <si>
    <t>TROSKY</t>
  </si>
  <si>
    <t>TRUMAN</t>
  </si>
  <si>
    <t>TURTLE RIVER</t>
  </si>
  <si>
    <t>TWIN LAKES</t>
  </si>
  <si>
    <t>TWIN VALLEY</t>
  </si>
  <si>
    <t>TYLER</t>
  </si>
  <si>
    <t>ULEN</t>
  </si>
  <si>
    <t>UNDERWOOD</t>
  </si>
  <si>
    <t>UPSALA</t>
  </si>
  <si>
    <t>URBANK</t>
  </si>
  <si>
    <t>UTICA</t>
  </si>
  <si>
    <t>VADNAIS HEIGHTS</t>
  </si>
  <si>
    <t>VERGAS</t>
  </si>
  <si>
    <t>VERMILLION</t>
  </si>
  <si>
    <t>VERNDALE</t>
  </si>
  <si>
    <t>VERNON CENTER</t>
  </si>
  <si>
    <t>VESTA</t>
  </si>
  <si>
    <t>VICTORIA</t>
  </si>
  <si>
    <t>VIKING</t>
  </si>
  <si>
    <t>VILLARD</t>
  </si>
  <si>
    <t>VINING</t>
  </si>
  <si>
    <t>VIRGINIA</t>
  </si>
  <si>
    <t>WABASSO</t>
  </si>
  <si>
    <t>WACONIA</t>
  </si>
  <si>
    <t>WAHKON</t>
  </si>
  <si>
    <t>WAITE PARK</t>
  </si>
  <si>
    <t>WALDORF</t>
  </si>
  <si>
    <t>WALKER</t>
  </si>
  <si>
    <t>WALNUT GROVE</t>
  </si>
  <si>
    <t>WALTERS</t>
  </si>
  <si>
    <t>WALTHAM</t>
  </si>
  <si>
    <t>WANAMINGO</t>
  </si>
  <si>
    <t>WANDA</t>
  </si>
  <si>
    <t>WARBA</t>
  </si>
  <si>
    <t>WARREN</t>
  </si>
  <si>
    <t>WARROAD</t>
  </si>
  <si>
    <t>WATERTOWN</t>
  </si>
  <si>
    <t>WATERVILLE</t>
  </si>
  <si>
    <t>WATKINS</t>
  </si>
  <si>
    <t>WATSON</t>
  </si>
  <si>
    <t>WAUBUN</t>
  </si>
  <si>
    <t>WAVERLY</t>
  </si>
  <si>
    <t>WAYZATA</t>
  </si>
  <si>
    <t>WELCOME</t>
  </si>
  <si>
    <t>WELLS</t>
  </si>
  <si>
    <t>WENDELL</t>
  </si>
  <si>
    <t>WEST CONCORD</t>
  </si>
  <si>
    <t>WEST SAINT PAUL</t>
  </si>
  <si>
    <t>WEST UNION</t>
  </si>
  <si>
    <t>WESTBROOK</t>
  </si>
  <si>
    <t>WESTPORT</t>
  </si>
  <si>
    <t>WHALAN</t>
  </si>
  <si>
    <t>WHEATON</t>
  </si>
  <si>
    <t>WHITE BEAR LAKE</t>
  </si>
  <si>
    <t>WILDER</t>
  </si>
  <si>
    <t>WILLERNIE</t>
  </si>
  <si>
    <t>WILLIAMS</t>
  </si>
  <si>
    <t>WILLMAR</t>
  </si>
  <si>
    <t>WILLOW RIVER</t>
  </si>
  <si>
    <t>WILMONT</t>
  </si>
  <si>
    <t>WILTON</t>
  </si>
  <si>
    <t>WINDOM</t>
  </si>
  <si>
    <t>WINGER</t>
  </si>
  <si>
    <t>WINNEBAGO</t>
  </si>
  <si>
    <t>WINSTED</t>
  </si>
  <si>
    <t>WINTHROP</t>
  </si>
  <si>
    <t>WINTON</t>
  </si>
  <si>
    <t>WOLF LAKE</t>
  </si>
  <si>
    <t>WOLVERTON</t>
  </si>
  <si>
    <t>WOOD LAKE</t>
  </si>
  <si>
    <t>WOODBURY</t>
  </si>
  <si>
    <t>WOODLAND</t>
  </si>
  <si>
    <t>WOODSTOCK</t>
  </si>
  <si>
    <t>WORTHINGTON</t>
  </si>
  <si>
    <t>WRENSHALL</t>
  </si>
  <si>
    <t>WYKOFF</t>
  </si>
  <si>
    <t>WYOMING</t>
  </si>
  <si>
    <t>ZEMPLE</t>
  </si>
  <si>
    <t>ZIMMERMAN</t>
  </si>
  <si>
    <t>ZUMBRO FALLS</t>
  </si>
  <si>
    <t>ZUMBROTA</t>
  </si>
  <si>
    <t xml:space="preserve"> RIC $ </t>
  </si>
  <si>
    <t xml:space="preserve"> IRC $ </t>
  </si>
  <si>
    <t xml:space="preserve"> TC $ </t>
  </si>
  <si>
    <t xml:space="preserve"> BI $ </t>
  </si>
  <si>
    <t xml:space="preserve"> AP $ </t>
  </si>
  <si>
    <t xml:space="preserve"> RCIP $ </t>
  </si>
  <si>
    <t xml:space="preserve"> PS $ </t>
  </si>
  <si>
    <t>BROS</t>
  </si>
  <si>
    <t>LOCAL</t>
  </si>
  <si>
    <t>NCIP</t>
  </si>
  <si>
    <t>PLHD</t>
  </si>
  <si>
    <t>RRS</t>
  </si>
  <si>
    <t>STP BROS</t>
  </si>
  <si>
    <t>STP Statewide</t>
  </si>
  <si>
    <t>5880-9790</t>
  </si>
  <si>
    <t>5880-9789</t>
  </si>
  <si>
    <t>Replace BRIDGE  #9789, 1.2 MI NORTH OF JCT TH 48 (SB), BNSF RR</t>
  </si>
  <si>
    <t>OVERLAY BRIDGE #71012 IN MONTICELLO OVER MISSISSIPPI RIVER</t>
  </si>
  <si>
    <t>REPLACE BRIDGE #73876 AT BNSF RAILROAD</t>
  </si>
  <si>
    <t>35W</t>
  </si>
  <si>
    <t>2781-447</t>
  </si>
  <si>
    <t>NEW</t>
  </si>
  <si>
    <t xml:space="preserve">OVER CP RAIL, REPLACE BRIDGE 6776 </t>
  </si>
  <si>
    <t>Replace BRIDGE  #9790, 1.2 MI NORTH OF JCT TH 48 (NB), BNSF RR</t>
  </si>
  <si>
    <t>Bridge</t>
  </si>
  <si>
    <t>multi</t>
  </si>
  <si>
    <t>21805
21806</t>
  </si>
  <si>
    <t>9200
9294</t>
  </si>
  <si>
    <t>2180-104</t>
  </si>
  <si>
    <t>I 90 EB OVER US 52, BRIDGE 55810 AND WB OVER US 52, BRIDGE 55809, REHAB BRIDGES</t>
  </si>
  <si>
    <t>5580-91</t>
  </si>
  <si>
    <t>55810
55809</t>
  </si>
  <si>
    <t>27861
27859
27V28</t>
  </si>
  <si>
    <t>4902-XX</t>
  </si>
  <si>
    <t>Replace Br. 49009 over BNSF RR and CSAH 76</t>
  </si>
  <si>
    <t>7708-XX</t>
  </si>
  <si>
    <t>Replace Br. 6852 in Long Prairie over Long Prairie River</t>
  </si>
  <si>
    <t>Overlay and Rehab Br. 86817 over Wright CSAH 19 in Albertville</t>
  </si>
  <si>
    <t>Overlay and Rehab Br. 86818 over Wright CSAH 19 in Albertville</t>
  </si>
  <si>
    <t>5080-165</t>
  </si>
  <si>
    <t>I90 over Rose Creek, Replace Box Culverts 8963, 8964, 8965</t>
  </si>
  <si>
    <t>8504-77</t>
  </si>
  <si>
    <t>I90, Replace WB Br. 6868 over Cedar River and WB Br. 9178 over 6th St NE</t>
  </si>
  <si>
    <t>Repair Brs. 27033, 27193, 27068</t>
  </si>
  <si>
    <t>7380-XX</t>
  </si>
  <si>
    <t>7104-XX</t>
  </si>
  <si>
    <t>5880-9787</t>
  </si>
  <si>
    <t>SB over the Grindstone River, Replace/Rehab Br. 9787</t>
  </si>
  <si>
    <t>5880-9788</t>
  </si>
  <si>
    <t>NB over the Grindstone River, Replace/Rehab Br. 9788</t>
  </si>
  <si>
    <t>6980-69808A</t>
  </si>
  <si>
    <t>6980-69809</t>
  </si>
  <si>
    <t>69808A</t>
  </si>
  <si>
    <t>Improve Br. 69808A over Garfield Ave</t>
  </si>
  <si>
    <t>Improve Br. 69809 over BNSF RR</t>
  </si>
  <si>
    <t>US 218, SB over I90, Replace Br. 9201</t>
  </si>
  <si>
    <t>US 218, SB over I90, Replace Br. 50803</t>
  </si>
  <si>
    <t>0980-09823</t>
  </si>
  <si>
    <t>09823</t>
  </si>
  <si>
    <t>SB at CSAH 61, Redeck, Repair, Repaint Br. 09823</t>
  </si>
  <si>
    <t>Rehabilitate Railing on Br. 4190 Mendota Bridge</t>
  </si>
  <si>
    <t>Rehab (Joints) Br 19865 I494 over Concord</t>
  </si>
  <si>
    <t>Rehab Br 2440 3rd Ave over Mississippi River</t>
  </si>
  <si>
    <t>1909-99</t>
  </si>
  <si>
    <t>Redeck/Overlay Br 19819 TH 55 over I35E, Br 19827 TH 55 over I494</t>
  </si>
  <si>
    <t>Redeck Br 27239 TH 610 WB over Mississippi River</t>
  </si>
  <si>
    <t>US 61  over Cedar Creek, Replace Br. 9062 (NB) and Br. 9063 (SB)</t>
  </si>
  <si>
    <t>Replace Bridge No. 58803, 58804 over the Snake River</t>
  </si>
  <si>
    <t>0503-XX</t>
  </si>
  <si>
    <t>REPLACE BRIDGE #9021 MN 23 OVER TH10</t>
  </si>
  <si>
    <t>REPLACE BRIDGE #9022 MN 23 OVER TH10</t>
  </si>
  <si>
    <t>5080-164</t>
  </si>
  <si>
    <t>REPLACE BRIDGE #5907 IN LITTLE FALLS OVER MISSISSIPPI RIVER</t>
  </si>
  <si>
    <t>I90 , CSAH 46 over I90, Replace Br. 9180</t>
  </si>
  <si>
    <t>9217E            9217W</t>
  </si>
  <si>
    <t>REHAB BR 9217E I 494 EB OVER THE MN RIVER AND BR 9217W I 494 WB OVER THE MN RIVER</t>
  </si>
  <si>
    <t>REPLACE BR 62847, I 94 OVER FAIRVIEW AVE</t>
  </si>
  <si>
    <t>REPLACE BR 9013 TH 51 NB OVER TH 36, AND BR 9012 TH 51 SB OVER TH 36</t>
  </si>
  <si>
    <t>9012                 9013</t>
  </si>
  <si>
    <t>Replace Br. 62813 Pelham over RR and I94</t>
  </si>
  <si>
    <t>2514-121</t>
  </si>
  <si>
    <t>US 61 OVER HAY CREEK AND WITHERS HARBOR DRIVE, REPLACE BRIDGE 6483 AND OVER ABANDONED C&amp;NW RR, PLUG BRIDGE 6482 - IN RED WING</t>
  </si>
  <si>
    <t>2710-47</t>
  </si>
  <si>
    <t>1981-118</t>
  </si>
  <si>
    <t>**AC**FROM CLIFF RD TO WEST 106TH ST IN CITIES OF BURNSVILLE AND BLOOMINGTON - REPLACE I-35W MINNESOTA RIVER BRIDGE (#5983) (Payback in FY21 and FY22)</t>
  </si>
  <si>
    <t>1804-5265A</t>
  </si>
  <si>
    <t>PROJECTS CURRENTLY NOT FINALIZED IN THE WORK PLAN SHOWN BELOW:</t>
  </si>
  <si>
    <t>2515-21OV</t>
  </si>
  <si>
    <t>CONTRACT ADMINISTRATION (CONSULTANT AND INTERNAL BOND ELIGIBLE) - RED WING BRIDGE 9040 AND BRIDGE 9103 - F.Y. 2018</t>
  </si>
  <si>
    <t>3905-09
3905-09AC</t>
  </si>
  <si>
    <t>**SPPB**I94, WB EXIT AND EB ENTRANCE RAMP OVER LRT, S 17TH AVE, 0.1 MI E OF JCT OF TH 55 IN MPLS - MAINTENANCE ON BRIDGES 27859, 27861, 27V28</t>
  </si>
  <si>
    <t>0804-81
0804-81AC1</t>
  </si>
  <si>
    <t>**AC**CHAP 152** MN 72, IN BAUDETTE, REPLACE OLD BR 9412 OVER THE RAINY RIVER AND APPROACHES (AC PROJECT, PAYBACK IN FY 2019)</t>
  </si>
  <si>
    <t>US 169, .5 MI S OF JCT MN 18, PRESERVE BRIDGE #5265 OVER DRY STREAM</t>
  </si>
  <si>
    <t>**AC** **Chap 152**ELLA** US 14, DESIGN BUILD, OVER MN RIVER, DM&amp;E RR &amp; MSAS 111, 0.4 MI E OF S JCT OF TH 15, REPLACE BR 9200 &amp; BR 9294 (AC PAYBACK IN 2019)</t>
  </si>
  <si>
    <t>US 10, REPLACE BRIDGE #5444 OVER BNSF RR 3.3 MI E OF BIG LAKE</t>
  </si>
  <si>
    <t>US 71, REPLACE BRIDGE #5428 OVER SAUK RIVER 1.4 MI N OF I-94 IN SAUK CENTRE</t>
  </si>
  <si>
    <t>I-94, REPLACE BRIDGE #6870 OVER SAUK RIVER 2.4 MI E OF MELROSE (EB)</t>
  </si>
  <si>
    <t>I-94, REPLACE BRIDGE #6897 OVER SAUK RIVER 2.5 MI NW OF MELROSE (EB)</t>
  </si>
  <si>
    <t>I-94, REPLACE BRIDGE #73875 OVER BNSF RR W OF MN 23 INTERCHANGE (EB)</t>
  </si>
  <si>
    <t>Replace or Redeck #21816 &amp; #21815 over CP Rail Line</t>
  </si>
  <si>
    <t>0.1 MILES E. OF E. JCT MN 67, SCARIFY &amp; LOW SLUMP OVERLAY ON BRIDGE 12000</t>
  </si>
  <si>
    <t>US 52, SB OVER N FK ZUMBRO RIVER, REPLACE BRIDGE 9414</t>
  </si>
  <si>
    <t>MN 105, OVER I 90, REPLACE BRIDGE 9183</t>
  </si>
  <si>
    <t>US 218, OVER I 90, REPLACE BRIDGE 50804</t>
  </si>
  <si>
    <t>Redeck Br 27831 I394 over Dunwoody Blvd</t>
  </si>
  <si>
    <t>Replace Br 9351 I35W SB over BNSF RR &amp; West Frontage Rd, Br 9352 I35W NB over BNSF RR &amp; West Frontage Rd, Br 9353 I35W SB over CR C (CSAH 23), Br 9354 I35W NB over CR C</t>
  </si>
  <si>
    <t>6981-9030L</t>
  </si>
  <si>
    <t>**SPPB** I-535, BETWEEN DULUTH &amp; SUPERIOR WISCONSIN OVER ST LOUIS RIVER, BLATNIK BRIDGE #9030 PAINTING.</t>
  </si>
  <si>
    <t xml:space="preserve">**SPPB** ON I94, OVER LATOKA LAKE, REPLACE OLD BR#21805 WITH NEW BR#21829 AND REPLACE OLD BR#21806 WITH NEW BR#21830 </t>
  </si>
  <si>
    <t>9779              9780</t>
  </si>
  <si>
    <t>8963              8964              8965</t>
  </si>
  <si>
    <t>6868              9178</t>
  </si>
  <si>
    <t>27033          27193          27068</t>
  </si>
  <si>
    <t>21815          21816</t>
  </si>
  <si>
    <t>9062              9063</t>
  </si>
  <si>
    <t>52001          52002</t>
  </si>
  <si>
    <t>9351              9352              9353              9354</t>
  </si>
  <si>
    <t>58803         58804</t>
  </si>
  <si>
    <t>Replace Br. 9700 US 10 over Rum River and Repair 6 additional bridges between Minn St and E of 7th Ave (02010, 9713, 9714, 9715, 9716, 9717)</t>
  </si>
  <si>
    <t>Reoverlay and Paint Br. 27855 I94 over TH 55 and Ramps</t>
  </si>
  <si>
    <t>Repair Brs 9780, 9779 TH 13 over I35W</t>
  </si>
  <si>
    <t>Reoverlay Br. 9600S TH 77 SB over Minnesota River, Br. 9600N TH 77 NB over Minnesota River</t>
  </si>
  <si>
    <t>9600S        9600N</t>
  </si>
  <si>
    <t>Redeck/Repair Br. 5891 over RR E. of TH 100</t>
  </si>
  <si>
    <t>Reoverlay/Redeck Br. 9044 I35W over 106th St.</t>
  </si>
  <si>
    <t>6916-69802C</t>
  </si>
  <si>
    <t>6980-69808</t>
  </si>
  <si>
    <t>I-535, IN DULUTH, OVER GARFIELD AVENUE, IMPROVE BR# 69808</t>
  </si>
  <si>
    <t>MN 65, REPLACE BRIDGE #6778 OVER SNAKE RIVER IN MORA (CONCURRENT ROUTE WITH MN 23)</t>
  </si>
  <si>
    <t>3307-XX</t>
  </si>
  <si>
    <t>05003</t>
  </si>
  <si>
    <t>US 10, REDECK BR#05003 AT MN 15 IN SARTELL</t>
  </si>
  <si>
    <t>0502-XX</t>
  </si>
  <si>
    <t>I 94, REPLACE EB BR#6896 OVER SAUK RIVER, 0.8 MILES EAST OF US 71 IN SAUK CENTRE</t>
  </si>
  <si>
    <t>I 94, OVERLAY EB BR#73854 OVER STEARNS CSAH 75 IN ST. CLOUD</t>
  </si>
  <si>
    <t>I 94, REOVERLAY WB BR#73855 OVER MN 15 IN ST. CLOUD</t>
  </si>
  <si>
    <t>MN 101, REPLACE NB BR#71002 OVER US 10 IN ELK RIVER</t>
  </si>
  <si>
    <t>I 94, REPLACE EB BR#73820 OVER STEARNS CR 184 1.8 MILES WEST OF US 71 IN SAUK CENTRE</t>
  </si>
  <si>
    <t>I 94, REPLACE BR#73816 UNDER CR 186 IN MELROSE</t>
  </si>
  <si>
    <t>I 94, REOVERLAY EB BR#73856 OVER MN 15 IN ST. CLOUD</t>
  </si>
  <si>
    <t>MN 15, REOVERLAY BR#05011 OVER MISSISSIPPI RIVER IN SARTELL/SAUK RAPIDS</t>
  </si>
  <si>
    <t>MN 15, REOVERLAY SB BR#73027 OVER SAUK RIVER IN ST. CLOUD</t>
  </si>
  <si>
    <t>MN 15, REOVERLAY NB BR#73028 OVER SAUK RIVER IN ST. CLOUD</t>
  </si>
  <si>
    <t>I 94, REPLACE WB BR#73805 OVER SAUK RIVER, 0.8 MILES EAST OF US 71 IN SAUK CENTRE</t>
  </si>
  <si>
    <t>I 94, REPLACE WB BR#73809 OVER SAUK RIVER, 1.5 MILES WEST OF MELROSE</t>
  </si>
  <si>
    <t>I 94, REPLACE WB BR#73811 OVER SAUK RIVER, 2.5 MILES EAST OF MELROSE</t>
  </si>
  <si>
    <t>0509-XX</t>
  </si>
  <si>
    <t>7321-XX</t>
  </si>
  <si>
    <t>05011</t>
  </si>
  <si>
    <t>I 90, REHAB EB BR 9179 OVER 6TH ST NE</t>
  </si>
  <si>
    <t>REPLACE BRIDGE 52001 (RP 69.474)</t>
  </si>
  <si>
    <t>REHAB MULTIPLE BRIDGES ON US169/60  - BRIDGE 52008 (RP 053.236); 52011 (RP 053.536); 52012 (RP 053.534); 9098 (RP 053.234) (AC PAYBACK IN 2025)</t>
  </si>
  <si>
    <t>52008        52011       52012         9098</t>
  </si>
  <si>
    <t>REPLACE BRIDGE 8436 (RP 58.447); REHAB BRIDGE 07036 (RP 58.126); 40003 (RP 63.463); 40002 (RP 63.531)</t>
  </si>
  <si>
    <t>8436         07036       40003       40002</t>
  </si>
  <si>
    <t>EB OVER CEDAR RIVER, REPLACE BRIDGE 6869</t>
  </si>
  <si>
    <t>US 53, IN DULUTH, OVER 1ST ST AND 21ST AVE W. REPLACE BRS# 69802C, 69802D, 69802E</t>
  </si>
  <si>
    <t>69879       69879E</t>
  </si>
  <si>
    <t>Replace Br. 69879 I35 NB over CP Rail, Ramps, Streets and Br. 69879E I35 NB Off Ramp over 57th Ave West in Duluth</t>
  </si>
  <si>
    <t>5880-189</t>
  </si>
  <si>
    <t>69802C                  69802D           69802E</t>
  </si>
  <si>
    <t>I-535, BETWEEN DULUTH &amp; SUPERIOR WISCONSIN OVER ST LOUIS RIVER, REPLACE BLATNIK BRIDGE #9030 MAIN SPAN</t>
  </si>
  <si>
    <t>6981-XXX</t>
  </si>
  <si>
    <t>19819           19827</t>
  </si>
  <si>
    <t>8680-172</t>
  </si>
  <si>
    <t>ABC Candidate</t>
  </si>
  <si>
    <t>Alt. Del. Candidate</t>
  </si>
  <si>
    <t>X</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</si>
</sst>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4" formatCode="_(&quot;$&quot;* #,##0.00_);_(&quot;$&quot;* \(#,##0.00\);_(&quot;$&quot;* &quot;-&quot;??_);_(@_)"/>
    <numFmt numFmtId="43" formatCode="_(* #,##0.00_);_(* \(#,##0.00\);_(* &quot;-&quot;??_);_(@_)"/>
    <numFmt numFmtId="164" formatCode="&quot;$&quot;#,##0"/>
    <numFmt numFmtId="165" formatCode="0.0%"/>
    <numFmt numFmtId="166" formatCode="_(&quot;$&quot;* #,##0_);_(&quot;$&quot;* \(#,##0\);_(&quot;$&quot;* &quot;-&quot;??_);_(@_)"/>
    <numFmt numFmtId="167" formatCode="0.0"/>
    <numFmt numFmtId="168" formatCode="_(* #,##0_);_(* \(#,##0\);_(* &quot;-&quot;??_);_(@_)"/>
    <numFmt numFmtId="169" formatCode="_(* #,##0.0_);_(* \(#,##0.0\);_(* &quot;-&quot;??_);_(@_)"/>
    <numFmt numFmtId="170" formatCode="&quot;$&quot;#,##0.0"/>
  </numFmts>
  <fonts count="64" x14ac:knownFonts="1">
    <font>
      <sz val="11"/>
      <color theme="1"/>
      <name val="Calibri"/>
      <family val="2"/>
      <scheme val="minor"/>
    </font>
    <font>
      <b/>
      <sz val="11"/>
      <color theme="1"/>
      <name val="Calibri"/>
      <family val="2"/>
      <scheme val="minor"/>
    </font>
    <font>
      <sz val="10"/>
      <name val="Arial Narrow"/>
      <family val="2"/>
    </font>
    <font>
      <b/>
      <sz val="10"/>
      <name val="Arial Narrow"/>
      <family val="2"/>
    </font>
    <font>
      <sz val="11"/>
      <color theme="1"/>
      <name val="Calibri"/>
      <family val="2"/>
      <scheme val="minor"/>
    </font>
    <font>
      <sz val="10"/>
      <name val="Calibri"/>
      <family val="2"/>
      <scheme val="minor"/>
    </font>
    <font>
      <sz val="11"/>
      <name val="Calibri"/>
      <family val="2"/>
      <scheme val="minor"/>
    </font>
    <font>
      <sz val="11"/>
      <color rgb="FFC00000"/>
      <name val="Calibri"/>
      <family val="2"/>
      <scheme val="minor"/>
    </font>
    <font>
      <sz val="11"/>
      <color theme="6" tint="-0.499984740745262"/>
      <name val="Calibri"/>
      <family val="2"/>
      <scheme val="minor"/>
    </font>
    <font>
      <b/>
      <sz val="11"/>
      <color theme="9" tint="-0.249977111117893"/>
      <name val="Calibri"/>
      <family val="2"/>
      <scheme val="minor"/>
    </font>
    <font>
      <sz val="10"/>
      <name val="Arial Narrow"/>
      <family val="2"/>
    </font>
    <font>
      <b/>
      <sz val="14"/>
      <name val="Arial Narrow"/>
      <family val="2"/>
    </font>
    <font>
      <b/>
      <sz val="10"/>
      <color indexed="10"/>
      <name val="Arial Narrow"/>
      <family val="2"/>
    </font>
    <font>
      <b/>
      <sz val="10"/>
      <name val="Arial"/>
      <family val="2"/>
    </font>
    <font>
      <b/>
      <sz val="8"/>
      <name val="Arial Narrow"/>
      <family val="2"/>
    </font>
    <font>
      <sz val="10"/>
      <color indexed="10"/>
      <name val="Arial Narrow"/>
      <family val="2"/>
    </font>
    <font>
      <sz val="10"/>
      <name val="Arial"/>
      <family val="2"/>
    </font>
    <font>
      <sz val="10"/>
      <color indexed="10"/>
      <name val="Arial"/>
      <family val="2"/>
    </font>
    <font>
      <sz val="10"/>
      <color rgb="FF00B0F0"/>
      <name val="Arial Narrow"/>
      <family val="2"/>
    </font>
    <font>
      <sz val="10"/>
      <color rgb="FFFF0000"/>
      <name val="Arial Narrow"/>
      <family val="2"/>
    </font>
    <font>
      <sz val="10"/>
      <name val="Helv"/>
    </font>
    <font>
      <sz val="10"/>
      <color theme="1"/>
      <name val="Calibri"/>
      <family val="2"/>
      <scheme val="minor"/>
    </font>
    <font>
      <sz val="10"/>
      <color theme="1"/>
      <name val="Arial Narrow"/>
      <family val="2"/>
    </font>
    <font>
      <sz val="10"/>
      <color indexed="8"/>
      <name val="Arial Narrow"/>
      <family val="2"/>
    </font>
    <font>
      <b/>
      <sz val="10"/>
      <color rgb="FFFF0000"/>
      <name val="Arial Narrow"/>
      <family val="2"/>
    </font>
    <font>
      <sz val="12"/>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sz val="10"/>
      <name val="MS Sans Serif"/>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u/>
      <sz val="10"/>
      <color indexed="12"/>
      <name val="Arial"/>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1"/>
      <color rgb="FF0070C0"/>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sz val="11"/>
      <color theme="0"/>
      <name val="Calibri"/>
      <family val="2"/>
      <scheme val="minor"/>
    </font>
    <font>
      <b/>
      <sz val="11"/>
      <color indexed="52"/>
      <name val="Calibri"/>
      <family val="2"/>
      <scheme val="minor"/>
    </font>
    <font>
      <sz val="11"/>
      <color indexed="60"/>
      <name val="Calibri"/>
      <family val="2"/>
      <scheme val="minor"/>
    </font>
    <font>
      <sz val="9"/>
      <color indexed="81"/>
      <name val="Tahoma"/>
      <family val="2"/>
    </font>
    <font>
      <b/>
      <sz val="9"/>
      <color indexed="81"/>
      <name val="Tahoma"/>
      <family val="2"/>
    </font>
    <font>
      <b/>
      <u/>
      <sz val="11"/>
      <color theme="1"/>
      <name val="Calibri"/>
      <family val="2"/>
      <scheme val="minor"/>
    </font>
    <font>
      <b/>
      <sz val="12"/>
      <name val="Arial Narrow"/>
      <family val="2"/>
    </font>
    <font>
      <b/>
      <sz val="11"/>
      <color theme="0" tint="-0.14999847407452621"/>
      <name val="Calibri"/>
      <family val="2"/>
      <scheme val="minor"/>
    </font>
    <font>
      <b/>
      <sz val="14"/>
      <color theme="0" tint="-0.14999847407452621"/>
      <name val="Calibri"/>
      <family val="2"/>
      <scheme val="minor"/>
    </font>
    <font>
      <b/>
      <sz val="10"/>
      <color theme="0" tint="-0.14999847407452621"/>
      <name val="Calibri"/>
      <family val="2"/>
      <scheme val="minor"/>
    </font>
    <font>
      <sz val="11"/>
      <name val="Calibri"/>
      <family val="2"/>
    </font>
    <font>
      <sz val="11"/>
      <color theme="0" tint="-0.14999847407452621"/>
      <name val="Calibri"/>
      <family val="2"/>
      <scheme val="minor"/>
    </font>
    <font>
      <sz val="9"/>
      <color indexed="81"/>
      <name val="Tahoma"/>
      <charset val="1"/>
    </font>
    <font>
      <b/>
      <sz val="9"/>
      <color indexed="81"/>
      <name val="Tahoma"/>
      <charset val="1"/>
    </font>
  </fonts>
  <fills count="54">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F99"/>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rgb="FFFFFF00"/>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rgb="FFFFC000"/>
        <bgColor indexed="64"/>
      </patternFill>
    </fill>
    <fill>
      <patternFill patternType="solid">
        <fgColor rgb="FFA5F49A"/>
        <bgColor indexed="64"/>
      </patternFill>
    </fill>
    <fill>
      <patternFill patternType="solid">
        <fgColor indexed="47"/>
        <bgColor indexed="64"/>
      </patternFill>
    </fill>
    <fill>
      <patternFill patternType="solid">
        <fgColor indexed="42"/>
        <bgColor indexed="64"/>
      </patternFill>
    </fill>
    <fill>
      <patternFill patternType="solid">
        <fgColor indexed="44"/>
        <bgColor indexed="64"/>
      </patternFill>
    </fill>
    <fill>
      <patternFill patternType="solid">
        <fgColor indexed="55"/>
        <bgColor indexed="64"/>
      </patternFill>
    </fill>
    <fill>
      <patternFill patternType="solid">
        <fgColor indexed="22"/>
        <bgColor indexed="64"/>
      </patternFill>
    </fill>
    <fill>
      <patternFill patternType="solid">
        <fgColor indexed="43"/>
        <bgColor indexed="64"/>
      </patternFill>
    </fill>
    <fill>
      <patternFill patternType="solid">
        <fgColor theme="2" tint="-9.9978637043366805E-2"/>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EB9C"/>
      </patternFill>
    </fill>
    <fill>
      <patternFill patternType="solid">
        <fgColor rgb="FF92D050"/>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4" tint="0.59999389629810485"/>
        <bgColor indexed="64"/>
      </patternFill>
    </fill>
    <fill>
      <patternFill patternType="solid">
        <fgColor rgb="FFFFFFCC"/>
        <bgColor indexed="64"/>
      </patternFill>
    </fill>
    <fill>
      <patternFill patternType="solid">
        <fgColor rgb="FF00B0F0"/>
        <bgColor indexed="64"/>
      </patternFill>
    </fill>
    <fill>
      <patternFill patternType="solid">
        <fgColor theme="2" tint="-0.499984740745262"/>
        <bgColor indexed="64"/>
      </patternFill>
    </fill>
    <fill>
      <patternFill patternType="solid">
        <fgColor rgb="FFC00000"/>
        <bgColor indexed="64"/>
      </patternFill>
    </fill>
    <fill>
      <patternFill patternType="solid">
        <fgColor rgb="FF99FFCC"/>
        <bgColor indexed="64"/>
      </patternFill>
    </fill>
  </fills>
  <borders count="5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double">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bottom/>
      <diagonal/>
    </border>
    <border>
      <left/>
      <right/>
      <top/>
      <bottom style="thin">
        <color indexed="64"/>
      </bottom>
      <diagonal/>
    </border>
    <border>
      <left style="double">
        <color indexed="64"/>
      </left>
      <right/>
      <top style="thin">
        <color indexed="64"/>
      </top>
      <bottom/>
      <diagonal/>
    </border>
    <border>
      <left style="thin">
        <color indexed="64"/>
      </left>
      <right style="thin">
        <color indexed="64"/>
      </right>
      <top style="thin">
        <color indexed="64"/>
      </top>
      <bottom style="thick">
        <color rgb="FFC00000"/>
      </bottom>
      <diagonal/>
    </border>
    <border>
      <left style="thin">
        <color indexed="64"/>
      </left>
      <right/>
      <top style="thin">
        <color indexed="64"/>
      </top>
      <bottom style="thick">
        <color rgb="FFC00000"/>
      </bottom>
      <diagonal/>
    </border>
    <border>
      <left style="thin">
        <color indexed="64"/>
      </left>
      <right style="thin">
        <color indexed="64"/>
      </right>
      <top style="thick">
        <color rgb="FFC00000"/>
      </top>
      <bottom style="thin">
        <color indexed="64"/>
      </bottom>
      <diagonal/>
    </border>
    <border>
      <left style="thin">
        <color indexed="64"/>
      </left>
      <right/>
      <top style="thick">
        <color rgb="FFC00000"/>
      </top>
      <bottom style="thin">
        <color indexed="64"/>
      </bottom>
      <diagonal/>
    </border>
    <border>
      <left style="thin">
        <color indexed="64"/>
      </left>
      <right style="thin">
        <color indexed="64"/>
      </right>
      <top style="thick">
        <color rgb="FFC00000"/>
      </top>
      <bottom/>
      <diagonal/>
    </border>
    <border>
      <left/>
      <right/>
      <top style="thick">
        <color rgb="FFC00000"/>
      </top>
      <bottom style="thick">
        <color rgb="FFC00000"/>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ck">
        <color rgb="FFC00000"/>
      </bottom>
      <diagonal/>
    </border>
  </borders>
  <cellStyleXfs count="22345">
    <xf numFmtId="0" fontId="0" fillId="0" borderId="0"/>
    <xf numFmtId="0" fontId="2" fillId="0" borderId="0"/>
    <xf numFmtId="44" fontId="4" fillId="0" borderId="0" applyFont="0" applyFill="0" applyBorder="0" applyAlignment="0" applyProtection="0"/>
    <xf numFmtId="9" fontId="4" fillId="0" borderId="0" applyFont="0" applyFill="0" applyBorder="0" applyAlignment="0" applyProtection="0"/>
    <xf numFmtId="43" fontId="2" fillId="0" borderId="0" applyFont="0" applyFill="0" applyBorder="0" applyAlignment="0" applyProtection="0"/>
    <xf numFmtId="0" fontId="2" fillId="0" borderId="0"/>
    <xf numFmtId="0" fontId="10" fillId="0" borderId="0"/>
    <xf numFmtId="43" fontId="10" fillId="0" borderId="0" applyFont="0" applyFill="0" applyBorder="0" applyAlignment="0" applyProtection="0"/>
    <xf numFmtId="0" fontId="16" fillId="0" borderId="0"/>
    <xf numFmtId="0" fontId="20" fillId="0" borderId="0"/>
    <xf numFmtId="0" fontId="4" fillId="0" borderId="0"/>
    <xf numFmtId="0" fontId="4" fillId="0" borderId="0"/>
    <xf numFmtId="0" fontId="4" fillId="0" borderId="0"/>
    <xf numFmtId="44" fontId="4" fillId="0" borderId="0" applyFont="0" applyFill="0" applyBorder="0" applyAlignment="0" applyProtection="0"/>
    <xf numFmtId="0" fontId="4" fillId="0" borderId="0"/>
    <xf numFmtId="9" fontId="4" fillId="0" borderId="0" applyFont="0" applyFill="0" applyBorder="0" applyAlignment="0" applyProtection="0"/>
    <xf numFmtId="0" fontId="25" fillId="0" borderId="0"/>
    <xf numFmtId="0" fontId="26" fillId="22" borderId="0" applyNumberFormat="0" applyBorder="0" applyAlignment="0" applyProtection="0"/>
    <xf numFmtId="0" fontId="26" fillId="23" borderId="0" applyNumberFormat="0" applyBorder="0" applyAlignment="0" applyProtection="0"/>
    <xf numFmtId="0" fontId="26" fillId="24" borderId="0" applyNumberFormat="0" applyBorder="0" applyAlignment="0" applyProtection="0"/>
    <xf numFmtId="0" fontId="26" fillId="25" borderId="0" applyNumberFormat="0" applyBorder="0" applyAlignment="0" applyProtection="0"/>
    <xf numFmtId="0" fontId="26" fillId="26" borderId="0" applyNumberFormat="0" applyBorder="0" applyAlignment="0" applyProtection="0"/>
    <xf numFmtId="0" fontId="26" fillId="27" borderId="0" applyNumberFormat="0" applyBorder="0" applyAlignment="0" applyProtection="0"/>
    <xf numFmtId="0" fontId="26" fillId="28"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25" borderId="0" applyNumberFormat="0" applyBorder="0" applyAlignment="0" applyProtection="0"/>
    <xf numFmtId="0" fontId="26" fillId="28" borderId="0" applyNumberFormat="0" applyBorder="0" applyAlignment="0" applyProtection="0"/>
    <xf numFmtId="0" fontId="26" fillId="31" borderId="0" applyNumberFormat="0" applyBorder="0" applyAlignment="0" applyProtection="0"/>
    <xf numFmtId="0" fontId="27" fillId="32" borderId="0" applyNumberFormat="0" applyBorder="0" applyAlignment="0" applyProtection="0"/>
    <xf numFmtId="0" fontId="27" fillId="29" borderId="0" applyNumberFormat="0" applyBorder="0" applyAlignment="0" applyProtection="0"/>
    <xf numFmtId="0" fontId="27" fillId="30"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5" borderId="0" applyNumberFormat="0" applyBorder="0" applyAlignment="0" applyProtection="0"/>
    <xf numFmtId="0" fontId="27" fillId="36" borderId="0" applyNumberFormat="0" applyBorder="0" applyAlignment="0" applyProtection="0"/>
    <xf numFmtId="0" fontId="27" fillId="37" borderId="0" applyNumberFormat="0" applyBorder="0" applyAlignment="0" applyProtection="0"/>
    <xf numFmtId="0" fontId="27" fillId="38" borderId="0" applyNumberFormat="0" applyBorder="0" applyAlignment="0" applyProtection="0"/>
    <xf numFmtId="0" fontId="27" fillId="33" borderId="0" applyNumberFormat="0" applyBorder="0" applyAlignment="0" applyProtection="0"/>
    <xf numFmtId="0" fontId="27" fillId="34" borderId="0" applyNumberFormat="0" applyBorder="0" applyAlignment="0" applyProtection="0"/>
    <xf numFmtId="0" fontId="27" fillId="39" borderId="0" applyNumberFormat="0" applyBorder="0" applyAlignment="0" applyProtection="0"/>
    <xf numFmtId="0" fontId="28" fillId="23" borderId="0" applyNumberFormat="0" applyBorder="0" applyAlignment="0" applyProtection="0"/>
    <xf numFmtId="0" fontId="29" fillId="40" borderId="20" applyNumberFormat="0" applyAlignment="0" applyProtection="0"/>
    <xf numFmtId="0" fontId="30" fillId="41" borderId="21" applyNumberFormat="0" applyAlignment="0" applyProtection="0"/>
    <xf numFmtId="43" fontId="31" fillId="0" borderId="0" applyFont="0" applyFill="0" applyBorder="0" applyAlignment="0" applyProtection="0"/>
    <xf numFmtId="44" fontId="2" fillId="0" borderId="0" applyFont="0" applyFill="0" applyBorder="0" applyAlignment="0" applyProtection="0"/>
    <xf numFmtId="44" fontId="16" fillId="0" borderId="0" applyFont="0" applyFill="0" applyBorder="0" applyAlignment="0" applyProtection="0"/>
    <xf numFmtId="44" fontId="16" fillId="0" borderId="0" applyFont="0" applyFill="0" applyBorder="0" applyAlignment="0" applyProtection="0"/>
    <xf numFmtId="44" fontId="31" fillId="0" borderId="0" applyFont="0" applyFill="0" applyBorder="0" applyAlignment="0" applyProtection="0"/>
    <xf numFmtId="0" fontId="32" fillId="0" borderId="0" applyNumberFormat="0" applyFill="0" applyBorder="0" applyAlignment="0" applyProtection="0"/>
    <xf numFmtId="0" fontId="33" fillId="24" borderId="0" applyNumberFormat="0" applyBorder="0" applyAlignment="0" applyProtection="0"/>
    <xf numFmtId="0" fontId="34" fillId="0" borderId="22" applyNumberFormat="0" applyFill="0" applyAlignment="0" applyProtection="0"/>
    <xf numFmtId="0" fontId="35" fillId="0" borderId="23" applyNumberFormat="0" applyFill="0" applyAlignment="0" applyProtection="0"/>
    <xf numFmtId="0" fontId="36" fillId="0" borderId="24" applyNumberFormat="0" applyFill="0" applyAlignment="0" applyProtection="0"/>
    <xf numFmtId="0" fontId="36" fillId="0" borderId="0" applyNumberFormat="0" applyFill="0" applyBorder="0" applyAlignment="0" applyProtection="0"/>
    <xf numFmtId="0" fontId="37"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27" borderId="20" applyNumberFormat="0" applyAlignment="0" applyProtection="0"/>
    <xf numFmtId="0" fontId="39" fillId="0" borderId="25" applyNumberFormat="0" applyFill="0" applyAlignment="0" applyProtection="0"/>
    <xf numFmtId="0" fontId="40" fillId="42" borderId="0" applyNumberFormat="0" applyBorder="0" applyAlignment="0" applyProtection="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xf numFmtId="0" fontId="1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1" fillId="0" borderId="0"/>
    <xf numFmtId="0" fontId="31" fillId="0" borderId="0"/>
    <xf numFmtId="0" fontId="31" fillId="0" borderId="0"/>
    <xf numFmtId="0" fontId="31" fillId="0" borderId="0"/>
    <xf numFmtId="0" fontId="2"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16" fillId="0" borderId="0"/>
    <xf numFmtId="0" fontId="31" fillId="0" borderId="0"/>
    <xf numFmtId="0" fontId="31" fillId="0" borderId="0"/>
    <xf numFmtId="0" fontId="16" fillId="0" borderId="0"/>
    <xf numFmtId="0" fontId="16"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31" fillId="0" borderId="0"/>
    <xf numFmtId="0" fontId="2" fillId="0" borderId="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41" fillId="40" borderId="27" applyNumberFormat="0" applyAlignment="0" applyProtection="0"/>
    <xf numFmtId="0" fontId="42" fillId="0" borderId="0" applyNumberFormat="0" applyFill="0" applyBorder="0" applyAlignment="0" applyProtection="0"/>
    <xf numFmtId="0" fontId="43" fillId="0" borderId="28" applyNumberFormat="0" applyFill="0" applyAlignment="0" applyProtection="0"/>
    <xf numFmtId="0" fontId="44" fillId="0" borderId="0" applyNumberFormat="0" applyFill="0" applyBorder="0" applyAlignment="0" applyProtection="0"/>
    <xf numFmtId="0" fontId="26" fillId="22" borderId="0" applyNumberFormat="0" applyBorder="0" applyAlignment="0" applyProtection="0"/>
    <xf numFmtId="0" fontId="26" fillId="22" borderId="0" applyNumberFormat="0" applyBorder="0" applyAlignment="0" applyProtection="0"/>
    <xf numFmtId="0" fontId="26" fillId="22" borderId="0" applyNumberFormat="0" applyBorder="0" applyAlignment="0" applyProtection="0"/>
    <xf numFmtId="0" fontId="4" fillId="22"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4" fillId="23"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26" fillId="24" borderId="0" applyNumberFormat="0" applyBorder="0" applyAlignment="0" applyProtection="0"/>
    <xf numFmtId="0" fontId="4" fillId="24"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4" fillId="25" borderId="0" applyNumberFormat="0" applyBorder="0" applyAlignment="0" applyProtection="0"/>
    <xf numFmtId="0" fontId="26" fillId="26" borderId="0" applyNumberFormat="0" applyBorder="0" applyAlignment="0" applyProtection="0"/>
    <xf numFmtId="0" fontId="26" fillId="26" borderId="0" applyNumberFormat="0" applyBorder="0" applyAlignment="0" applyProtection="0"/>
    <xf numFmtId="0" fontId="26" fillId="26"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26" fillId="27" borderId="0" applyNumberFormat="0" applyBorder="0" applyAlignment="0" applyProtection="0"/>
    <xf numFmtId="0" fontId="4" fillId="40"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4" fillId="28"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29" borderId="0" applyNumberFormat="0" applyBorder="0" applyAlignment="0" applyProtection="0"/>
    <xf numFmtId="0" fontId="26" fillId="30" borderId="0" applyNumberFormat="0" applyBorder="0" applyAlignment="0" applyProtection="0"/>
    <xf numFmtId="0" fontId="26" fillId="30" borderId="0" applyNumberFormat="0" applyBorder="0" applyAlignment="0" applyProtection="0"/>
    <xf numFmtId="0" fontId="26" fillId="30" borderId="0" applyNumberFormat="0" applyBorder="0" applyAlignment="0" applyProtection="0"/>
    <xf numFmtId="0" fontId="4" fillId="30"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26" fillId="25" borderId="0" applyNumberFormat="0" applyBorder="0" applyAlignment="0" applyProtection="0"/>
    <xf numFmtId="0" fontId="4" fillId="25"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26" fillId="28" borderId="0" applyNumberFormat="0" applyBorder="0" applyAlignment="0" applyProtection="0"/>
    <xf numFmtId="0" fontId="4" fillId="28"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26" fillId="31" borderId="0" applyNumberFormat="0" applyBorder="0" applyAlignment="0" applyProtection="0"/>
    <xf numFmtId="0" fontId="4" fillId="31" borderId="0" applyNumberFormat="0" applyBorder="0" applyAlignment="0" applyProtection="0"/>
    <xf numFmtId="0" fontId="27" fillId="32" borderId="0" applyNumberFormat="0" applyBorder="0" applyAlignment="0" applyProtection="0"/>
    <xf numFmtId="0" fontId="27" fillId="32" borderId="0" applyNumberFormat="0" applyBorder="0" applyAlignment="0" applyProtection="0"/>
    <xf numFmtId="0" fontId="50" fillId="32" borderId="0" applyNumberFormat="0" applyBorder="0" applyAlignment="0" applyProtection="0"/>
    <xf numFmtId="0" fontId="27" fillId="29" borderId="0" applyNumberFormat="0" applyBorder="0" applyAlignment="0" applyProtection="0"/>
    <xf numFmtId="0" fontId="27" fillId="29" borderId="0" applyNumberFormat="0" applyBorder="0" applyAlignment="0" applyProtection="0"/>
    <xf numFmtId="0" fontId="50" fillId="29" borderId="0" applyNumberFormat="0" applyBorder="0" applyAlignment="0" applyProtection="0"/>
    <xf numFmtId="0" fontId="27" fillId="30" borderId="0" applyNumberFormat="0" applyBorder="0" applyAlignment="0" applyProtection="0"/>
    <xf numFmtId="0" fontId="27" fillId="30" borderId="0" applyNumberFormat="0" applyBorder="0" applyAlignment="0" applyProtection="0"/>
    <xf numFmtId="0" fontId="50" fillId="30"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50" fillId="33"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50" fillId="34" borderId="0" applyNumberFormat="0" applyBorder="0" applyAlignment="0" applyProtection="0"/>
    <xf numFmtId="0" fontId="27" fillId="35" borderId="0" applyNumberFormat="0" applyBorder="0" applyAlignment="0" applyProtection="0"/>
    <xf numFmtId="0" fontId="27" fillId="35" borderId="0" applyNumberFormat="0" applyBorder="0" applyAlignment="0" applyProtection="0"/>
    <xf numFmtId="0" fontId="50" fillId="35"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50" fillId="36" borderId="0" applyNumberFormat="0" applyBorder="0" applyAlignment="0" applyProtection="0"/>
    <xf numFmtId="0" fontId="27" fillId="37" borderId="0" applyNumberFormat="0" applyBorder="0" applyAlignment="0" applyProtection="0"/>
    <xf numFmtId="0" fontId="27" fillId="37" borderId="0" applyNumberFormat="0" applyBorder="0" applyAlignment="0" applyProtection="0"/>
    <xf numFmtId="0" fontId="50" fillId="37"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50" fillId="38"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50" fillId="33" borderId="0" applyNumberFormat="0" applyBorder="0" applyAlignment="0" applyProtection="0"/>
    <xf numFmtId="0" fontId="27" fillId="34" borderId="0" applyNumberFormat="0" applyBorder="0" applyAlignment="0" applyProtection="0"/>
    <xf numFmtId="0" fontId="27" fillId="34" borderId="0" applyNumberFormat="0" applyBorder="0" applyAlignment="0" applyProtection="0"/>
    <xf numFmtId="0" fontId="27" fillId="39" borderId="0" applyNumberFormat="0" applyBorder="0" applyAlignment="0" applyProtection="0"/>
    <xf numFmtId="0" fontId="27" fillId="39" borderId="0" applyNumberFormat="0" applyBorder="0" applyAlignment="0" applyProtection="0"/>
    <xf numFmtId="0" fontId="50" fillId="39" borderId="0" applyNumberFormat="0" applyBorder="0" applyAlignment="0" applyProtection="0"/>
    <xf numFmtId="0" fontId="28" fillId="23" borderId="0" applyNumberFormat="0" applyBorder="0" applyAlignment="0" applyProtection="0"/>
    <xf numFmtId="0" fontId="28" fillId="23" borderId="0" applyNumberFormat="0" applyBorder="0" applyAlignment="0" applyProtection="0"/>
    <xf numFmtId="0" fontId="47" fillId="23" borderId="0" applyNumberFormat="0" applyBorder="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29" fillId="40" borderId="20" applyNumberFormat="0" applyAlignment="0" applyProtection="0"/>
    <xf numFmtId="0" fontId="51" fillId="40" borderId="29" applyNumberFormat="0" applyAlignment="0" applyProtection="0"/>
    <xf numFmtId="0" fontId="30" fillId="41" borderId="21" applyNumberFormat="0" applyAlignment="0" applyProtection="0"/>
    <xf numFmtId="0" fontId="30" fillId="41" borderId="21" applyNumberFormat="0" applyAlignment="0" applyProtection="0"/>
    <xf numFmtId="43" fontId="2" fillId="0" borderId="0" applyFont="0" applyFill="0" applyBorder="0" applyAlignment="0" applyProtection="0"/>
    <xf numFmtId="43" fontId="2" fillId="0" borderId="0" applyFont="0" applyFill="0" applyBorder="0" applyAlignment="0" applyProtection="0"/>
    <xf numFmtId="43" fontId="1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1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32" fillId="0" borderId="0" applyNumberFormat="0" applyFill="0" applyBorder="0" applyAlignment="0" applyProtection="0"/>
    <xf numFmtId="0" fontId="32" fillId="0" borderId="0" applyNumberFormat="0" applyFill="0" applyBorder="0" applyAlignment="0" applyProtection="0"/>
    <xf numFmtId="0" fontId="33" fillId="24" borderId="0" applyNumberFormat="0" applyBorder="0" applyAlignment="0" applyProtection="0"/>
    <xf numFmtId="0" fontId="33" fillId="24" borderId="0" applyNumberFormat="0" applyBorder="0" applyAlignment="0" applyProtection="0"/>
    <xf numFmtId="0" fontId="46" fillId="24" borderId="0" applyNumberFormat="0" applyBorder="0" applyAlignment="0" applyProtection="0"/>
    <xf numFmtId="0" fontId="34" fillId="0" borderId="22" applyNumberFormat="0" applyFill="0" applyAlignment="0" applyProtection="0"/>
    <xf numFmtId="0" fontId="34" fillId="0" borderId="22" applyNumberFormat="0" applyFill="0" applyAlignment="0" applyProtection="0"/>
    <xf numFmtId="0" fontId="35" fillId="0" borderId="23" applyNumberFormat="0" applyFill="0" applyAlignment="0" applyProtection="0"/>
    <xf numFmtId="0" fontId="35" fillId="0" borderId="23" applyNumberFormat="0" applyFill="0" applyAlignment="0" applyProtection="0"/>
    <xf numFmtId="0" fontId="36" fillId="0" borderId="24" applyNumberFormat="0" applyFill="0" applyAlignment="0" applyProtection="0"/>
    <xf numFmtId="0" fontId="36" fillId="0" borderId="24" applyNumberFormat="0" applyFill="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38" fillId="27" borderId="20" applyNumberFormat="0" applyAlignment="0" applyProtection="0"/>
    <xf numFmtId="0" fontId="48" fillId="40" borderId="29" applyNumberFormat="0" applyAlignment="0" applyProtection="0"/>
    <xf numFmtId="0" fontId="39" fillId="0" borderId="25" applyNumberFormat="0" applyFill="0" applyAlignment="0" applyProtection="0"/>
    <xf numFmtId="0" fontId="39" fillId="0" borderId="25" applyNumberFormat="0" applyFill="0" applyAlignment="0" applyProtection="0"/>
    <xf numFmtId="0" fontId="40" fillId="42" borderId="0" applyNumberFormat="0" applyBorder="0" applyAlignment="0" applyProtection="0"/>
    <xf numFmtId="0" fontId="40" fillId="42" borderId="0" applyNumberFormat="0" applyBorder="0" applyAlignment="0" applyProtection="0"/>
    <xf numFmtId="0" fontId="52" fillId="44" borderId="0" applyNumberFormat="0" applyBorder="0" applyAlignment="0" applyProtection="0"/>
    <xf numFmtId="0" fontId="16" fillId="0" borderId="0"/>
    <xf numFmtId="0" fontId="2" fillId="0" borderId="0"/>
    <xf numFmtId="0" fontId="4" fillId="0" borderId="0"/>
    <xf numFmtId="0" fontId="4" fillId="0" borderId="0"/>
    <xf numFmtId="0" fontId="16"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16" fillId="0" borderId="0"/>
    <xf numFmtId="0" fontId="16" fillId="0" borderId="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16" fillId="43" borderId="26" applyNumberFormat="0" applyFon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1" fillId="40" borderId="27" applyNumberFormat="0" applyAlignment="0" applyProtection="0"/>
    <xf numFmtId="0" fontId="49" fillId="40" borderId="30" applyNumberFormat="0" applyAlignment="0" applyProtection="0"/>
    <xf numFmtId="9" fontId="16" fillId="0" borderId="0" applyFont="0" applyFill="0" applyBorder="0" applyAlignment="0" applyProtection="0"/>
    <xf numFmtId="9" fontId="4"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42" fillId="0" borderId="0" applyNumberFormat="0" applyFill="0" applyBorder="0" applyAlignment="0" applyProtection="0"/>
    <xf numFmtId="0" fontId="42" fillId="0" borderId="0" applyNumberFormat="0" applyFill="0" applyBorder="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43" fillId="0" borderId="28" applyNumberFormat="0" applyFill="0" applyAlignment="0" applyProtection="0"/>
    <xf numFmtId="0" fontId="1" fillId="0" borderId="28" applyNumberFormat="0" applyFill="0" applyAlignment="0" applyProtection="0"/>
    <xf numFmtId="0" fontId="44" fillId="0" borderId="0" applyNumberFormat="0" applyFill="0" applyBorder="0" applyAlignment="0" applyProtection="0"/>
    <xf numFmtId="0" fontId="44" fillId="0" borderId="0" applyNumberFormat="0" applyFill="0" applyBorder="0" applyAlignment="0" applyProtection="0"/>
    <xf numFmtId="43" fontId="2" fillId="0" borderId="0" applyFont="0" applyFill="0" applyBorder="0" applyAlignment="0" applyProtection="0"/>
  </cellStyleXfs>
  <cellXfs count="283">
    <xf numFmtId="0" fontId="0" fillId="0" borderId="0" xfId="0"/>
    <xf numFmtId="0" fontId="0" fillId="3" borderId="0" xfId="0" applyFill="1"/>
    <xf numFmtId="0" fontId="1" fillId="3" borderId="0" xfId="0" applyFont="1" applyFill="1"/>
    <xf numFmtId="0" fontId="0" fillId="4" borderId="0" xfId="0" applyFont="1" applyFill="1"/>
    <xf numFmtId="0" fontId="0" fillId="4" borderId="0" xfId="0" applyFill="1"/>
    <xf numFmtId="165" fontId="0" fillId="0" borderId="0" xfId="3" applyNumberFormat="1" applyFont="1" applyFill="1"/>
    <xf numFmtId="165" fontId="0" fillId="0" borderId="0" xfId="3" applyNumberFormat="1" applyFont="1"/>
    <xf numFmtId="0" fontId="0" fillId="7" borderId="0" xfId="0" applyFill="1"/>
    <xf numFmtId="0" fontId="0" fillId="0" borderId="0" xfId="0" pivotButton="1"/>
    <xf numFmtId="0" fontId="0" fillId="0" borderId="0" xfId="0" applyAlignment="1">
      <alignment horizontal="left"/>
    </xf>
    <xf numFmtId="0" fontId="0" fillId="12" borderId="0" xfId="0" applyFill="1"/>
    <xf numFmtId="0" fontId="0" fillId="10" borderId="0" xfId="0" applyFill="1"/>
    <xf numFmtId="166" fontId="0" fillId="0" borderId="0" xfId="0" applyNumberFormat="1"/>
    <xf numFmtId="164" fontId="0" fillId="0" borderId="0" xfId="2" applyNumberFormat="1" applyFont="1"/>
    <xf numFmtId="0" fontId="7" fillId="9" borderId="0" xfId="0" applyFont="1" applyFill="1"/>
    <xf numFmtId="0" fontId="8" fillId="14" borderId="0" xfId="0" applyFont="1" applyFill="1"/>
    <xf numFmtId="0" fontId="0" fillId="11" borderId="0" xfId="0" applyFill="1" applyAlignment="1">
      <alignment wrapText="1"/>
    </xf>
    <xf numFmtId="165" fontId="0" fillId="11" borderId="0" xfId="3" applyNumberFormat="1" applyFont="1" applyFill="1"/>
    <xf numFmtId="165" fontId="0" fillId="11" borderId="0" xfId="0" applyNumberFormat="1" applyFill="1"/>
    <xf numFmtId="166" fontId="0" fillId="13" borderId="0" xfId="2" applyNumberFormat="1" applyFont="1" applyFill="1"/>
    <xf numFmtId="0" fontId="1" fillId="13" borderId="0" xfId="0" applyFont="1" applyFill="1"/>
    <xf numFmtId="0" fontId="0" fillId="10" borderId="0" xfId="0" applyFill="1" applyAlignment="1">
      <alignment horizontal="left"/>
    </xf>
    <xf numFmtId="166" fontId="0" fillId="10" borderId="0" xfId="0" applyNumberFormat="1" applyFill="1"/>
    <xf numFmtId="0" fontId="0" fillId="7" borderId="0" xfId="0" applyFill="1" applyAlignment="1">
      <alignment horizontal="left"/>
    </xf>
    <xf numFmtId="0" fontId="10" fillId="0" borderId="0" xfId="6" applyAlignment="1">
      <alignment horizontal="center" vertical="top"/>
    </xf>
    <xf numFmtId="0" fontId="10" fillId="0" borderId="0" xfId="6" applyAlignment="1">
      <alignment horizontal="left" vertical="top"/>
    </xf>
    <xf numFmtId="0" fontId="10" fillId="0" borderId="0" xfId="6" applyAlignment="1">
      <alignment vertical="top"/>
    </xf>
    <xf numFmtId="0" fontId="10" fillId="0" borderId="0" xfId="6"/>
    <xf numFmtId="3" fontId="10" fillId="0" borderId="0" xfId="6" applyNumberFormat="1"/>
    <xf numFmtId="0" fontId="2" fillId="0" borderId="0" xfId="6" applyFont="1" applyAlignment="1">
      <alignment vertical="top"/>
    </xf>
    <xf numFmtId="3" fontId="2" fillId="0" borderId="0" xfId="6" applyNumberFormat="1" applyFont="1" applyAlignment="1">
      <alignment vertical="top"/>
    </xf>
    <xf numFmtId="0" fontId="2" fillId="0" borderId="0" xfId="6" applyFont="1" applyAlignment="1">
      <alignment horizontal="left" vertical="top"/>
    </xf>
    <xf numFmtId="0" fontId="2" fillId="0" borderId="0" xfId="6" applyFont="1" applyAlignment="1">
      <alignment wrapText="1"/>
    </xf>
    <xf numFmtId="0" fontId="3" fillId="16" borderId="12" xfId="6" applyFont="1" applyFill="1" applyBorder="1" applyAlignment="1">
      <alignment horizontal="center" wrapText="1"/>
    </xf>
    <xf numFmtId="0" fontId="3" fillId="16" borderId="16" xfId="6" applyFont="1" applyFill="1" applyBorder="1" applyAlignment="1">
      <alignment horizontal="center" wrapText="1"/>
    </xf>
    <xf numFmtId="0" fontId="3" fillId="16" borderId="17" xfId="6" applyFont="1" applyFill="1" applyBorder="1" applyAlignment="1">
      <alignment horizontal="center" wrapText="1"/>
    </xf>
    <xf numFmtId="0" fontId="3" fillId="17" borderId="12" xfId="6" applyFont="1" applyFill="1" applyBorder="1" applyAlignment="1">
      <alignment horizontal="center" wrapText="1"/>
    </xf>
    <xf numFmtId="0" fontId="3" fillId="17" borderId="13" xfId="6" applyFont="1" applyFill="1" applyBorder="1" applyAlignment="1">
      <alignment horizontal="center" wrapText="1"/>
    </xf>
    <xf numFmtId="0" fontId="3" fillId="0" borderId="0" xfId="6" applyFont="1" applyFill="1" applyBorder="1" applyAlignment="1">
      <alignment horizontal="center" wrapText="1"/>
    </xf>
    <xf numFmtId="0" fontId="3" fillId="16" borderId="1" xfId="6" applyFont="1" applyFill="1" applyBorder="1" applyAlignment="1">
      <alignment horizontal="center"/>
    </xf>
    <xf numFmtId="0" fontId="3" fillId="16" borderId="1" xfId="6" applyFont="1" applyFill="1" applyBorder="1" applyAlignment="1">
      <alignment horizontal="center" wrapText="1"/>
    </xf>
    <xf numFmtId="0" fontId="12" fillId="16" borderId="1" xfId="6" applyFont="1" applyFill="1" applyBorder="1" applyAlignment="1">
      <alignment horizontal="center" wrapText="1"/>
    </xf>
    <xf numFmtId="3" fontId="3" fillId="16" borderId="1" xfId="6" applyNumberFormat="1" applyFont="1" applyFill="1" applyBorder="1" applyAlignment="1">
      <alignment horizontal="center" wrapText="1"/>
    </xf>
    <xf numFmtId="0" fontId="3" fillId="0" borderId="0" xfId="6" applyFont="1" applyFill="1" applyBorder="1" applyAlignment="1">
      <alignment horizontal="center" vertical="center" wrapText="1"/>
    </xf>
    <xf numFmtId="0" fontId="13" fillId="0" borderId="0" xfId="6" applyFont="1" applyFill="1" applyBorder="1" applyAlignment="1">
      <alignment horizontal="center" vertical="center" wrapText="1"/>
    </xf>
    <xf numFmtId="0" fontId="3" fillId="0" borderId="1" xfId="6" applyFont="1" applyFill="1" applyBorder="1" applyAlignment="1">
      <alignment horizontal="center" vertical="center" wrapText="1"/>
    </xf>
    <xf numFmtId="0" fontId="13" fillId="0" borderId="1" xfId="6" applyFont="1" applyFill="1" applyBorder="1" applyAlignment="1">
      <alignment horizontal="center" vertical="center" wrapText="1"/>
    </xf>
    <xf numFmtId="0" fontId="2" fillId="0" borderId="0" xfId="6" applyFont="1" applyBorder="1" applyAlignment="1">
      <alignment vertical="top"/>
    </xf>
    <xf numFmtId="3" fontId="2" fillId="0" borderId="0" xfId="6" applyNumberFormat="1" applyFont="1" applyBorder="1" applyAlignment="1">
      <alignment vertical="top"/>
    </xf>
    <xf numFmtId="0" fontId="2" fillId="0" borderId="0" xfId="6" applyFont="1" applyBorder="1" applyAlignment="1">
      <alignment horizontal="left" vertical="top"/>
    </xf>
    <xf numFmtId="169" fontId="2" fillId="18" borderId="14" xfId="7" applyNumberFormat="1" applyFont="1" applyFill="1" applyBorder="1"/>
    <xf numFmtId="169" fontId="2" fillId="18" borderId="4" xfId="7" applyNumberFormat="1" applyFont="1" applyFill="1" applyBorder="1"/>
    <xf numFmtId="0" fontId="10" fillId="19" borderId="0" xfId="6" applyFill="1" applyBorder="1"/>
    <xf numFmtId="3" fontId="10" fillId="19" borderId="0" xfId="6" applyNumberFormat="1" applyFill="1" applyBorder="1"/>
    <xf numFmtId="3" fontId="10" fillId="19" borderId="5" xfId="6" applyNumberFormat="1" applyFill="1" applyBorder="1"/>
    <xf numFmtId="3" fontId="10" fillId="19" borderId="10" xfId="6" applyNumberFormat="1" applyFill="1" applyBorder="1"/>
    <xf numFmtId="2" fontId="10" fillId="0" borderId="0" xfId="6" applyNumberFormat="1" applyFill="1" applyBorder="1"/>
    <xf numFmtId="0" fontId="10" fillId="19" borderId="0" xfId="6" applyFill="1"/>
    <xf numFmtId="3" fontId="10" fillId="19" borderId="0" xfId="6" applyNumberFormat="1" applyFill="1"/>
    <xf numFmtId="3" fontId="10" fillId="0" borderId="0" xfId="6" applyNumberFormat="1" applyFill="1"/>
    <xf numFmtId="164" fontId="15" fillId="0" borderId="0" xfId="6" applyNumberFormat="1" applyFont="1" applyFill="1" applyBorder="1" applyAlignment="1">
      <alignment horizontal="center"/>
    </xf>
    <xf numFmtId="170" fontId="16" fillId="0" borderId="0" xfId="6" applyNumberFormat="1" applyFont="1" applyFill="1" applyBorder="1" applyAlignment="1">
      <alignment horizontal="center"/>
    </xf>
    <xf numFmtId="0" fontId="17" fillId="0" borderId="0" xfId="6" applyFont="1"/>
    <xf numFmtId="170" fontId="15" fillId="0" borderId="1" xfId="6" applyNumberFormat="1" applyFont="1" applyFill="1" applyBorder="1" applyAlignment="1">
      <alignment horizontal="center"/>
    </xf>
    <xf numFmtId="170" fontId="16" fillId="0" borderId="1" xfId="6" applyNumberFormat="1" applyFont="1" applyFill="1" applyBorder="1" applyAlignment="1">
      <alignment horizontal="center"/>
    </xf>
    <xf numFmtId="0" fontId="15" fillId="0" borderId="0" xfId="6" applyFont="1" applyAlignment="1">
      <alignment vertical="top"/>
    </xf>
    <xf numFmtId="0" fontId="2" fillId="0" borderId="0" xfId="6" applyFont="1"/>
    <xf numFmtId="169" fontId="2" fillId="18" borderId="5" xfId="7" applyNumberFormat="1" applyFont="1" applyFill="1" applyBorder="1"/>
    <xf numFmtId="169" fontId="2" fillId="18" borderId="0" xfId="7" applyNumberFormat="1" applyFont="1" applyFill="1" applyBorder="1"/>
    <xf numFmtId="0" fontId="18" fillId="0" borderId="0" xfId="6" applyFont="1" applyAlignment="1">
      <alignment horizontal="left"/>
    </xf>
    <xf numFmtId="164" fontId="2" fillId="0" borderId="0" xfId="8" applyNumberFormat="1" applyFont="1" applyFill="1" applyBorder="1" applyAlignment="1">
      <alignment horizontal="left" vertical="top"/>
    </xf>
    <xf numFmtId="169" fontId="2" fillId="18" borderId="8" xfId="7" applyNumberFormat="1" applyFont="1" applyFill="1" applyBorder="1"/>
    <xf numFmtId="169" fontId="2" fillId="18" borderId="11" xfId="7" applyNumberFormat="1" applyFont="1" applyFill="1" applyBorder="1"/>
    <xf numFmtId="0" fontId="10" fillId="19" borderId="11" xfId="6" applyFill="1" applyBorder="1"/>
    <xf numFmtId="3" fontId="10" fillId="2" borderId="11" xfId="6" applyNumberFormat="1" applyFill="1" applyBorder="1"/>
    <xf numFmtId="3" fontId="10" fillId="2" borderId="8" xfId="6" applyNumberFormat="1" applyFill="1" applyBorder="1"/>
    <xf numFmtId="3" fontId="10" fillId="2" borderId="9" xfId="6" applyNumberFormat="1" applyFill="1" applyBorder="1"/>
    <xf numFmtId="0" fontId="19" fillId="0" borderId="0" xfId="6" applyFont="1" applyBorder="1" applyAlignment="1">
      <alignment vertical="top"/>
    </xf>
    <xf numFmtId="167" fontId="10" fillId="0" borderId="0" xfId="6" applyNumberFormat="1" applyAlignment="1">
      <alignment horizontal="right" vertical="top"/>
    </xf>
    <xf numFmtId="0" fontId="10" fillId="0" borderId="0" xfId="6" applyAlignment="1">
      <alignment horizontal="left" vertical="top" wrapText="1"/>
    </xf>
    <xf numFmtId="0" fontId="3" fillId="20" borderId="1" xfId="6" applyFont="1" applyFill="1" applyBorder="1" applyAlignment="1">
      <alignment horizontal="center" wrapText="1"/>
    </xf>
    <xf numFmtId="0" fontId="12" fillId="19" borderId="1" xfId="6" applyFont="1" applyFill="1" applyBorder="1" applyAlignment="1">
      <alignment horizontal="center" wrapText="1"/>
    </xf>
    <xf numFmtId="0" fontId="3" fillId="8" borderId="1" xfId="6" applyFont="1" applyFill="1" applyBorder="1" applyAlignment="1">
      <alignment horizontal="center" wrapText="1"/>
    </xf>
    <xf numFmtId="167" fontId="3" fillId="20" borderId="1" xfId="6" applyNumberFormat="1" applyFont="1" applyFill="1" applyBorder="1" applyAlignment="1">
      <alignment horizontal="center" wrapText="1"/>
    </xf>
    <xf numFmtId="0" fontId="12" fillId="8" borderId="1" xfId="6" applyFont="1" applyFill="1" applyBorder="1" applyAlignment="1">
      <alignment horizontal="left" vertical="top" wrapText="1"/>
    </xf>
    <xf numFmtId="0" fontId="12" fillId="19" borderId="18" xfId="6" applyFont="1" applyFill="1" applyBorder="1" applyAlignment="1">
      <alignment horizontal="center" wrapText="1"/>
    </xf>
    <xf numFmtId="3" fontId="3" fillId="20" borderId="1" xfId="6" applyNumberFormat="1" applyFont="1" applyFill="1" applyBorder="1" applyAlignment="1">
      <alignment horizontal="center" wrapText="1"/>
    </xf>
    <xf numFmtId="0" fontId="3" fillId="5" borderId="1" xfId="6" applyFont="1" applyFill="1" applyBorder="1" applyAlignment="1">
      <alignment horizontal="center" wrapText="1"/>
    </xf>
    <xf numFmtId="3" fontId="3" fillId="5" borderId="1" xfId="6" applyNumberFormat="1" applyFont="1" applyFill="1" applyBorder="1" applyAlignment="1">
      <alignment horizontal="center" wrapText="1"/>
    </xf>
    <xf numFmtId="0" fontId="3" fillId="5" borderId="1" xfId="6" applyFont="1" applyFill="1" applyBorder="1" applyAlignment="1">
      <alignment horizontal="left" wrapText="1"/>
    </xf>
    <xf numFmtId="0" fontId="3" fillId="0" borderId="0" xfId="6" applyFont="1" applyAlignment="1">
      <alignment horizontal="center"/>
    </xf>
    <xf numFmtId="0" fontId="2" fillId="0" borderId="0" xfId="6" applyFont="1" applyBorder="1" applyAlignment="1">
      <alignment horizontal="center" vertical="top"/>
    </xf>
    <xf numFmtId="0" fontId="2" fillId="0" borderId="0" xfId="6" applyFont="1" applyFill="1" applyBorder="1" applyAlignment="1">
      <alignment horizontal="center" vertical="top"/>
    </xf>
    <xf numFmtId="0" fontId="2" fillId="0" borderId="0" xfId="6" applyFont="1" applyBorder="1" applyAlignment="1">
      <alignment horizontal="left" vertical="top" wrapText="1"/>
    </xf>
    <xf numFmtId="0" fontId="2" fillId="0" borderId="0" xfId="6" applyFont="1" applyBorder="1" applyAlignment="1">
      <alignment horizontal="center" vertical="top" wrapText="1"/>
    </xf>
    <xf numFmtId="0" fontId="2" fillId="0" borderId="0" xfId="6" applyFont="1" applyBorder="1"/>
    <xf numFmtId="167" fontId="2" fillId="0" borderId="0" xfId="6" applyNumberFormat="1" applyFont="1" applyBorder="1" applyAlignment="1">
      <alignment horizontal="right" vertical="top"/>
    </xf>
    <xf numFmtId="0" fontId="2" fillId="0" borderId="0" xfId="6" applyFont="1" applyFill="1" applyBorder="1" applyAlignment="1">
      <alignment vertical="top"/>
    </xf>
    <xf numFmtId="0" fontId="2" fillId="0" borderId="0" xfId="9" applyFont="1" applyFill="1" applyBorder="1" applyAlignment="1">
      <alignment horizontal="center" vertical="top"/>
    </xf>
    <xf numFmtId="168" fontId="2" fillId="0" borderId="0" xfId="7" applyNumberFormat="1" applyFont="1" applyFill="1" applyBorder="1" applyAlignment="1">
      <alignment vertical="top"/>
    </xf>
    <xf numFmtId="0" fontId="2" fillId="0" borderId="0" xfId="6" applyFont="1" applyBorder="1" applyAlignment="1">
      <alignment horizontal="right" vertical="top"/>
    </xf>
    <xf numFmtId="3" fontId="2" fillId="0" borderId="0" xfId="6" applyNumberFormat="1" applyFont="1" applyBorder="1"/>
    <xf numFmtId="168" fontId="2" fillId="21" borderId="0" xfId="7" applyNumberFormat="1" applyFont="1" applyFill="1" applyBorder="1" applyAlignment="1">
      <alignment vertical="top"/>
    </xf>
    <xf numFmtId="3" fontId="2" fillId="0" borderId="0" xfId="9" applyNumberFormat="1" applyFont="1" applyFill="1" applyBorder="1" applyAlignment="1">
      <alignment horizontal="right" vertical="top"/>
    </xf>
    <xf numFmtId="3" fontId="2" fillId="0" borderId="0" xfId="8" applyNumberFormat="1" applyFont="1" applyFill="1" applyBorder="1" applyAlignment="1">
      <alignment horizontal="right" vertical="top"/>
    </xf>
    <xf numFmtId="3" fontId="2" fillId="0" borderId="0" xfId="8" applyNumberFormat="1" applyFont="1" applyBorder="1" applyAlignment="1">
      <alignment horizontal="right" vertical="top"/>
    </xf>
    <xf numFmtId="0" fontId="2" fillId="0" borderId="0" xfId="6" applyFont="1" applyFill="1" applyBorder="1"/>
    <xf numFmtId="0" fontId="2" fillId="0" borderId="18" xfId="10" applyFont="1" applyBorder="1" applyAlignment="1">
      <alignment vertical="top"/>
    </xf>
    <xf numFmtId="3" fontId="2" fillId="0" borderId="0" xfId="6" applyNumberFormat="1" applyFont="1" applyFill="1" applyBorder="1" applyAlignment="1">
      <alignment vertical="top"/>
    </xf>
    <xf numFmtId="0" fontId="2" fillId="0" borderId="4" xfId="10" applyFont="1" applyBorder="1" applyAlignment="1">
      <alignment vertical="top"/>
    </xf>
    <xf numFmtId="0" fontId="2" fillId="0" borderId="0" xfId="6" applyFont="1" applyFill="1" applyBorder="1" applyAlignment="1">
      <alignment horizontal="left" vertical="top"/>
    </xf>
    <xf numFmtId="0" fontId="2" fillId="0" borderId="0" xfId="6" applyFont="1" applyAlignment="1">
      <alignment horizontal="right" vertical="top"/>
    </xf>
    <xf numFmtId="0" fontId="2" fillId="0" borderId="0" xfId="10" applyFont="1" applyBorder="1" applyAlignment="1">
      <alignment vertical="top"/>
    </xf>
    <xf numFmtId="0" fontId="2" fillId="0" borderId="0" xfId="6" applyFont="1" applyAlignment="1">
      <alignment horizontal="center" vertical="top"/>
    </xf>
    <xf numFmtId="0" fontId="5" fillId="0" borderId="0" xfId="6" applyFont="1" applyFill="1"/>
    <xf numFmtId="0" fontId="2" fillId="0" borderId="0" xfId="6" applyFont="1" applyAlignment="1">
      <alignment horizontal="left" vertical="top" wrapText="1"/>
    </xf>
    <xf numFmtId="167" fontId="2" fillId="0" borderId="0" xfId="6" applyNumberFormat="1" applyFont="1" applyAlignment="1">
      <alignment horizontal="right" vertical="top"/>
    </xf>
    <xf numFmtId="0" fontId="2" fillId="0" borderId="0" xfId="8" applyFont="1" applyFill="1" applyAlignment="1">
      <alignment horizontal="left" vertical="top" wrapText="1"/>
    </xf>
    <xf numFmtId="0" fontId="2" fillId="0" borderId="0" xfId="6" applyFont="1" applyFill="1" applyAlignment="1">
      <alignment horizontal="center" vertical="top"/>
    </xf>
    <xf numFmtId="0" fontId="2" fillId="0" borderId="0" xfId="8" applyFont="1" applyFill="1"/>
    <xf numFmtId="3" fontId="2" fillId="0" borderId="0" xfId="6" applyNumberFormat="1" applyFont="1"/>
    <xf numFmtId="0" fontId="2" fillId="0" borderId="0" xfId="6" applyFont="1" applyFill="1"/>
    <xf numFmtId="0" fontId="10" fillId="0" borderId="0" xfId="6" applyFill="1" applyAlignment="1">
      <alignment horizontal="center" vertical="top"/>
    </xf>
    <xf numFmtId="0" fontId="5" fillId="0" borderId="0" xfId="6" applyFont="1" applyFill="1" applyAlignment="1">
      <alignment vertical="top"/>
    </xf>
    <xf numFmtId="0" fontId="2" fillId="0" borderId="0" xfId="6" applyFont="1" applyFill="1" applyAlignment="1">
      <alignment horizontal="left" vertical="top"/>
    </xf>
    <xf numFmtId="0" fontId="5" fillId="0" borderId="0" xfId="6" applyFont="1"/>
    <xf numFmtId="0" fontId="10" fillId="0" borderId="0" xfId="6" applyFill="1"/>
    <xf numFmtId="0" fontId="21" fillId="0" borderId="0" xfId="6" applyFont="1" applyFill="1" applyAlignment="1">
      <alignment vertical="top"/>
    </xf>
    <xf numFmtId="0" fontId="10" fillId="0" borderId="0" xfId="6" applyFill="1" applyAlignment="1">
      <alignment horizontal="left" vertical="top"/>
    </xf>
    <xf numFmtId="0" fontId="22" fillId="0" borderId="0" xfId="11" applyFont="1" applyFill="1" applyBorder="1" applyAlignment="1">
      <alignment vertical="top"/>
    </xf>
    <xf numFmtId="0" fontId="23" fillId="0" borderId="0" xfId="11" applyFont="1" applyFill="1" applyBorder="1" applyAlignment="1">
      <alignment vertical="top"/>
    </xf>
    <xf numFmtId="0" fontId="2" fillId="0" borderId="0" xfId="8" applyFont="1" applyFill="1" applyAlignment="1">
      <alignment horizontal="left" vertical="top"/>
    </xf>
    <xf numFmtId="0" fontId="2" fillId="0" borderId="0" xfId="6" applyFont="1" applyFill="1" applyAlignment="1">
      <alignment vertical="top"/>
    </xf>
    <xf numFmtId="3" fontId="2" fillId="0" borderId="0" xfId="6" applyNumberFormat="1" applyFont="1" applyFill="1" applyAlignment="1">
      <alignment vertical="top"/>
    </xf>
    <xf numFmtId="0" fontId="22" fillId="0" borderId="19" xfId="12" applyFont="1" applyFill="1" applyBorder="1" applyAlignment="1">
      <alignment vertical="top"/>
    </xf>
    <xf numFmtId="0" fontId="22" fillId="0" borderId="1" xfId="12" applyFont="1" applyFill="1" applyBorder="1" applyAlignment="1">
      <alignment vertical="top"/>
    </xf>
    <xf numFmtId="0" fontId="2" fillId="0" borderId="0" xfId="6" applyFont="1" applyFill="1" applyAlignment="1">
      <alignment vertical="top" wrapText="1"/>
    </xf>
    <xf numFmtId="0" fontId="10" fillId="0" borderId="0" xfId="6" applyAlignment="1">
      <alignment wrapText="1"/>
    </xf>
    <xf numFmtId="0" fontId="10" fillId="0" borderId="0" xfId="6" applyBorder="1" applyAlignment="1">
      <alignment horizontal="center" vertical="center"/>
    </xf>
    <xf numFmtId="0" fontId="3" fillId="6" borderId="1" xfId="6" applyFont="1" applyFill="1" applyBorder="1" applyAlignment="1">
      <alignment horizontal="center"/>
    </xf>
    <xf numFmtId="0" fontId="3" fillId="3" borderId="1" xfId="6" applyFont="1" applyFill="1" applyBorder="1" applyAlignment="1">
      <alignment horizontal="center"/>
    </xf>
    <xf numFmtId="0" fontId="2" fillId="21" borderId="0" xfId="6" applyFont="1" applyFill="1" applyBorder="1" applyAlignment="1">
      <alignment vertical="top"/>
    </xf>
    <xf numFmtId="0" fontId="2" fillId="0" borderId="0" xfId="6" applyNumberFormat="1" applyFont="1" applyFill="1" applyAlignment="1">
      <alignment vertical="top"/>
    </xf>
    <xf numFmtId="166" fontId="2" fillId="0" borderId="0" xfId="6" applyNumberFormat="1" applyFont="1" applyFill="1" applyAlignment="1">
      <alignment vertical="top"/>
    </xf>
    <xf numFmtId="0" fontId="19" fillId="0" borderId="0" xfId="6" applyNumberFormat="1" applyFont="1" applyFill="1" applyAlignment="1">
      <alignment vertical="top"/>
    </xf>
    <xf numFmtId="0" fontId="19" fillId="0" borderId="0" xfId="6" applyFont="1" applyFill="1" applyAlignment="1">
      <alignment vertical="top"/>
    </xf>
    <xf numFmtId="168" fontId="2" fillId="0" borderId="0" xfId="6" applyNumberFormat="1" applyFont="1" applyFill="1" applyAlignment="1">
      <alignment vertical="top"/>
    </xf>
    <xf numFmtId="0" fontId="2" fillId="0" borderId="0" xfId="6" applyNumberFormat="1" applyFont="1"/>
    <xf numFmtId="0" fontId="3" fillId="0" borderId="0" xfId="6" applyNumberFormat="1" applyFont="1" applyFill="1" applyAlignment="1">
      <alignment vertical="top"/>
    </xf>
    <xf numFmtId="0" fontId="3" fillId="0" borderId="0" xfId="6" applyFont="1" applyFill="1" applyAlignment="1">
      <alignment vertical="top"/>
    </xf>
    <xf numFmtId="0" fontId="24" fillId="0" borderId="0" xfId="6" applyNumberFormat="1" applyFont="1" applyFill="1" applyAlignment="1">
      <alignment vertical="top"/>
    </xf>
    <xf numFmtId="0" fontId="24" fillId="0" borderId="0" xfId="6" applyFont="1" applyFill="1" applyAlignment="1">
      <alignment vertical="top"/>
    </xf>
    <xf numFmtId="0" fontId="2" fillId="0" borderId="0" xfId="6" applyNumberFormat="1" applyFont="1" applyFill="1" applyBorder="1" applyAlignment="1">
      <alignment vertical="top"/>
    </xf>
    <xf numFmtId="0" fontId="19" fillId="0" borderId="0" xfId="6" applyNumberFormat="1" applyFont="1"/>
    <xf numFmtId="0" fontId="19" fillId="0" borderId="0" xfId="6" applyFont="1"/>
    <xf numFmtId="10" fontId="2" fillId="0" borderId="0" xfId="6" applyNumberFormat="1" applyFont="1" applyFill="1" applyAlignment="1">
      <alignment vertical="top"/>
    </xf>
    <xf numFmtId="0" fontId="2" fillId="0" borderId="0" xfId="6" applyNumberFormat="1" applyFont="1" applyFill="1"/>
    <xf numFmtId="0" fontId="2" fillId="0" borderId="11" xfId="6" applyFont="1" applyFill="1" applyBorder="1"/>
    <xf numFmtId="0" fontId="2" fillId="0" borderId="11" xfId="6" applyFont="1" applyBorder="1"/>
    <xf numFmtId="0" fontId="0" fillId="0" borderId="0" xfId="0"/>
    <xf numFmtId="0" fontId="6" fillId="0" borderId="1" xfId="0" applyFont="1" applyFill="1" applyBorder="1" applyAlignment="1">
      <alignment horizontal="center" vertical="center"/>
    </xf>
    <xf numFmtId="0" fontId="0" fillId="0" borderId="0" xfId="0" applyBorder="1"/>
    <xf numFmtId="0" fontId="5" fillId="0" borderId="1" xfId="0" applyFont="1" applyFill="1" applyBorder="1" applyAlignment="1">
      <alignment horizontal="center" vertical="center"/>
    </xf>
    <xf numFmtId="0" fontId="6" fillId="0" borderId="3" xfId="0" applyFont="1" applyFill="1" applyBorder="1" applyAlignment="1">
      <alignment horizontal="left" vertical="center" wrapText="1"/>
    </xf>
    <xf numFmtId="0" fontId="0" fillId="0" borderId="39" xfId="0" applyBorder="1"/>
    <xf numFmtId="0" fontId="6" fillId="0" borderId="19" xfId="0" applyFont="1" applyFill="1" applyBorder="1" applyAlignment="1">
      <alignment horizontal="center" vertical="center"/>
    </xf>
    <xf numFmtId="0" fontId="8" fillId="0" borderId="19" xfId="0" applyFont="1" applyFill="1" applyBorder="1" applyAlignment="1">
      <alignment horizontal="center" vertical="center"/>
    </xf>
    <xf numFmtId="0" fontId="5" fillId="0" borderId="19" xfId="0" applyFont="1" applyFill="1" applyBorder="1" applyAlignment="1">
      <alignment horizontal="center" vertical="center"/>
    </xf>
    <xf numFmtId="0" fontId="6" fillId="0" borderId="31" xfId="0" applyFont="1" applyFill="1" applyBorder="1" applyAlignment="1">
      <alignment horizontal="left" vertical="center" wrapText="1"/>
    </xf>
    <xf numFmtId="0" fontId="8" fillId="0" borderId="1" xfId="0" applyFont="1" applyFill="1" applyBorder="1" applyAlignment="1">
      <alignment horizontal="center" vertical="center"/>
    </xf>
    <xf numFmtId="0" fontId="4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3" fontId="5" fillId="0" borderId="1" xfId="0" applyNumberFormat="1" applyFont="1" applyFill="1" applyBorder="1" applyAlignment="1">
      <alignment horizontal="center" vertical="center" wrapText="1"/>
    </xf>
    <xf numFmtId="0" fontId="6" fillId="0" borderId="33" xfId="0" applyFont="1" applyFill="1" applyBorder="1" applyAlignment="1">
      <alignment horizontal="center" vertical="center"/>
    </xf>
    <xf numFmtId="0" fontId="45" fillId="0" borderId="33" xfId="0" applyFont="1" applyFill="1" applyBorder="1" applyAlignment="1">
      <alignment horizontal="center" vertical="center"/>
    </xf>
    <xf numFmtId="0" fontId="5" fillId="0" borderId="33" xfId="0" applyFont="1" applyFill="1" applyBorder="1" applyAlignment="1">
      <alignment horizontal="center" vertical="center"/>
    </xf>
    <xf numFmtId="0" fontId="6" fillId="0" borderId="34" xfId="0" applyFont="1" applyFill="1" applyBorder="1" applyAlignment="1">
      <alignment horizontal="left" vertical="center" wrapText="1"/>
    </xf>
    <xf numFmtId="0" fontId="45" fillId="0" borderId="19" xfId="0" applyFont="1" applyFill="1" applyBorder="1" applyAlignment="1">
      <alignment horizontal="center" vertical="center"/>
    </xf>
    <xf numFmtId="0" fontId="6" fillId="0" borderId="38" xfId="0" applyFont="1" applyFill="1" applyBorder="1" applyAlignment="1">
      <alignment horizontal="center" vertical="center"/>
    </xf>
    <xf numFmtId="0" fontId="8" fillId="0" borderId="33" xfId="0" applyFont="1" applyFill="1" applyBorder="1" applyAlignment="1">
      <alignment horizontal="center" vertical="center"/>
    </xf>
    <xf numFmtId="0" fontId="5" fillId="0" borderId="33" xfId="0" applyFont="1" applyFill="1" applyBorder="1" applyAlignment="1">
      <alignment horizontal="center" vertical="center" wrapText="1"/>
    </xf>
    <xf numFmtId="0" fontId="6" fillId="0" borderId="39" xfId="0" applyFont="1" applyFill="1" applyBorder="1" applyAlignment="1">
      <alignment horizontal="center" vertical="center"/>
    </xf>
    <xf numFmtId="0" fontId="8" fillId="0" borderId="0" xfId="0" applyFont="1" applyFill="1" applyBorder="1" applyAlignment="1">
      <alignment horizontal="center" vertical="center"/>
    </xf>
    <xf numFmtId="0" fontId="6" fillId="0" borderId="34" xfId="0" applyFont="1" applyFill="1" applyBorder="1" applyAlignment="1">
      <alignment horizontal="center" vertical="center"/>
    </xf>
    <xf numFmtId="0" fontId="5" fillId="0" borderId="19" xfId="0" applyFont="1" applyFill="1" applyBorder="1" applyAlignment="1">
      <alignment horizontal="center" vertical="center" wrapText="1"/>
    </xf>
    <xf numFmtId="0" fontId="0" fillId="7" borderId="1" xfId="0" applyFont="1" applyFill="1" applyBorder="1" applyAlignment="1">
      <alignment horizontal="center" vertical="center"/>
    </xf>
    <xf numFmtId="0" fontId="6" fillId="7" borderId="1" xfId="0" applyFont="1" applyFill="1" applyBorder="1" applyAlignment="1">
      <alignment horizontal="center" vertical="center"/>
    </xf>
    <xf numFmtId="0" fontId="6" fillId="47" borderId="1" xfId="0" applyFont="1" applyFill="1" applyBorder="1" applyAlignment="1">
      <alignment horizontal="center" vertical="center"/>
    </xf>
    <xf numFmtId="0" fontId="6" fillId="49" borderId="1" xfId="0" applyFont="1" applyFill="1" applyBorder="1" applyAlignment="1">
      <alignment horizontal="center" vertical="center"/>
    </xf>
    <xf numFmtId="0" fontId="6" fillId="21" borderId="1" xfId="0" applyFont="1" applyFill="1" applyBorder="1" applyAlignment="1">
      <alignment horizontal="center" vertical="center"/>
    </xf>
    <xf numFmtId="0" fontId="6" fillId="48" borderId="1" xfId="0" applyFont="1" applyFill="1" applyBorder="1" applyAlignment="1">
      <alignment horizontal="center" vertical="center"/>
    </xf>
    <xf numFmtId="0" fontId="6" fillId="48" borderId="33" xfId="0" applyFont="1" applyFill="1" applyBorder="1" applyAlignment="1">
      <alignment horizontal="center" vertical="center"/>
    </xf>
    <xf numFmtId="0" fontId="6" fillId="48" borderId="19" xfId="0" applyFont="1" applyFill="1" applyBorder="1" applyAlignment="1">
      <alignment horizontal="center" vertical="center"/>
    </xf>
    <xf numFmtId="0" fontId="6" fillId="9" borderId="1" xfId="0" applyFont="1" applyFill="1" applyBorder="1" applyAlignment="1">
      <alignment horizontal="center" vertical="center"/>
    </xf>
    <xf numFmtId="0" fontId="6" fillId="9" borderId="19" xfId="0" applyFont="1" applyFill="1" applyBorder="1" applyAlignment="1">
      <alignment horizontal="center" vertical="center"/>
    </xf>
    <xf numFmtId="0" fontId="6" fillId="9" borderId="33" xfId="0" applyFont="1" applyFill="1" applyBorder="1" applyAlignment="1">
      <alignment horizontal="center" vertical="center"/>
    </xf>
    <xf numFmtId="0" fontId="6" fillId="47" borderId="19" xfId="0" applyFont="1" applyFill="1" applyBorder="1" applyAlignment="1">
      <alignment horizontal="center" vertical="center"/>
    </xf>
    <xf numFmtId="0" fontId="45" fillId="0" borderId="43" xfId="0" applyFont="1" applyFill="1" applyBorder="1" applyAlignment="1">
      <alignment horizontal="center" vertical="center"/>
    </xf>
    <xf numFmtId="0" fontId="6" fillId="0" borderId="43" xfId="0" applyFont="1" applyFill="1" applyBorder="1" applyAlignment="1">
      <alignment horizontal="center" vertical="center"/>
    </xf>
    <xf numFmtId="0" fontId="6" fillId="0" borderId="44" xfId="0" applyFont="1" applyFill="1" applyBorder="1" applyAlignment="1">
      <alignment horizontal="left" vertical="center" wrapText="1"/>
    </xf>
    <xf numFmtId="0" fontId="6" fillId="0" borderId="41" xfId="0" applyFont="1" applyFill="1" applyBorder="1" applyAlignment="1">
      <alignment horizontal="center" vertical="center"/>
    </xf>
    <xf numFmtId="0" fontId="5" fillId="0" borderId="41" xfId="0" applyFont="1" applyFill="1" applyBorder="1" applyAlignment="1">
      <alignment horizontal="center" vertical="center" wrapText="1"/>
    </xf>
    <xf numFmtId="0" fontId="6" fillId="49" borderId="19" xfId="0" applyFont="1" applyFill="1" applyBorder="1" applyAlignment="1">
      <alignment horizontal="center" vertical="center"/>
    </xf>
    <xf numFmtId="0" fontId="5" fillId="0" borderId="43" xfId="0" applyFont="1" applyFill="1" applyBorder="1" applyAlignment="1">
      <alignment horizontal="center" vertical="center"/>
    </xf>
    <xf numFmtId="0" fontId="6" fillId="0" borderId="42" xfId="0" applyFont="1" applyFill="1" applyBorder="1" applyAlignment="1">
      <alignment horizontal="left" vertical="center" wrapText="1"/>
    </xf>
    <xf numFmtId="0" fontId="6" fillId="49" borderId="33" xfId="0" applyFont="1" applyFill="1" applyBorder="1" applyAlignment="1">
      <alignment horizontal="center" vertical="center"/>
    </xf>
    <xf numFmtId="0" fontId="8" fillId="0" borderId="41" xfId="0" applyFont="1" applyFill="1" applyBorder="1" applyAlignment="1">
      <alignment horizontal="center" vertical="center"/>
    </xf>
    <xf numFmtId="0" fontId="5" fillId="0" borderId="41" xfId="0" applyFont="1" applyFill="1" applyBorder="1" applyAlignment="1">
      <alignment horizontal="center" vertical="center"/>
    </xf>
    <xf numFmtId="0" fontId="6" fillId="0" borderId="45" xfId="0" applyFont="1" applyFill="1" applyBorder="1" applyAlignment="1">
      <alignment horizontal="center" vertical="center"/>
    </xf>
    <xf numFmtId="0" fontId="6" fillId="45" borderId="43" xfId="0" applyFont="1" applyFill="1" applyBorder="1" applyAlignment="1">
      <alignment horizontal="center" vertical="center"/>
    </xf>
    <xf numFmtId="0" fontId="6" fillId="45" borderId="1" xfId="0" applyFont="1" applyFill="1" applyBorder="1" applyAlignment="1">
      <alignment horizontal="center" vertical="center"/>
    </xf>
    <xf numFmtId="0" fontId="6" fillId="45" borderId="19" xfId="0" applyFont="1" applyFill="1" applyBorder="1" applyAlignment="1">
      <alignment horizontal="center" vertical="center"/>
    </xf>
    <xf numFmtId="0" fontId="6" fillId="50" borderId="45" xfId="0" applyFont="1" applyFill="1" applyBorder="1" applyAlignment="1">
      <alignment horizontal="center" vertical="center"/>
    </xf>
    <xf numFmtId="0" fontId="6" fillId="50" borderId="1" xfId="0" applyFont="1" applyFill="1" applyBorder="1" applyAlignment="1">
      <alignment horizontal="center" vertical="center"/>
    </xf>
    <xf numFmtId="0" fontId="6" fillId="50" borderId="19"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43" xfId="0" applyFont="1" applyFill="1" applyBorder="1" applyAlignment="1">
      <alignment horizontal="center" vertical="center"/>
    </xf>
    <xf numFmtId="0" fontId="5" fillId="0" borderId="3" xfId="0" applyFont="1" applyFill="1" applyBorder="1" applyAlignment="1">
      <alignment horizontal="center" vertical="center"/>
    </xf>
    <xf numFmtId="0" fontId="6" fillId="46" borderId="1" xfId="0" applyFont="1" applyFill="1" applyBorder="1" applyAlignment="1">
      <alignment horizontal="center" vertical="center"/>
    </xf>
    <xf numFmtId="0" fontId="58" fillId="52" borderId="46" xfId="0" applyFont="1" applyFill="1" applyBorder="1" applyAlignment="1">
      <alignment horizontal="left" vertical="center" wrapText="1"/>
    </xf>
    <xf numFmtId="0" fontId="6" fillId="51" borderId="19" xfId="0" applyFont="1" applyFill="1" applyBorder="1" applyAlignment="1">
      <alignment horizontal="center" vertical="center"/>
    </xf>
    <xf numFmtId="0" fontId="56" fillId="2" borderId="33" xfId="1" applyNumberFormat="1" applyFont="1" applyFill="1" applyBorder="1" applyAlignment="1">
      <alignment horizontal="center" vertical="center"/>
    </xf>
    <xf numFmtId="0" fontId="56" fillId="2" borderId="34" xfId="1" applyNumberFormat="1" applyFont="1" applyFill="1" applyBorder="1" applyAlignment="1">
      <alignment horizontal="center" vertical="center"/>
    </xf>
    <xf numFmtId="0" fontId="3" fillId="2" borderId="37" xfId="1" applyNumberFormat="1" applyFont="1" applyFill="1" applyBorder="1" applyAlignment="1">
      <alignment horizontal="center" vertical="center"/>
    </xf>
    <xf numFmtId="0" fontId="3" fillId="2" borderId="35" xfId="1" applyNumberFormat="1" applyFont="1" applyFill="1" applyBorder="1" applyAlignment="1">
      <alignment horizontal="center" vertical="center"/>
    </xf>
    <xf numFmtId="0" fontId="57" fillId="52" borderId="46" xfId="0" applyFont="1" applyFill="1" applyBorder="1" applyAlignment="1">
      <alignment horizontal="center" vertical="center" wrapText="1"/>
    </xf>
    <xf numFmtId="0" fontId="59" fillId="52" borderId="46" xfId="0" applyFont="1" applyFill="1" applyBorder="1" applyAlignment="1">
      <alignment horizontal="center" vertical="center" wrapText="1"/>
    </xf>
    <xf numFmtId="0" fontId="0" fillId="0" borderId="0" xfId="0" applyAlignment="1">
      <alignment wrapText="1"/>
    </xf>
    <xf numFmtId="0" fontId="6" fillId="46" borderId="19" xfId="0" applyFont="1" applyFill="1" applyBorder="1" applyAlignment="1">
      <alignment horizontal="center" vertical="center"/>
    </xf>
    <xf numFmtId="0" fontId="6" fillId="51"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50" borderId="31" xfId="0" applyFont="1" applyFill="1" applyBorder="1" applyAlignment="1">
      <alignment horizontal="left" vertical="center" wrapText="1"/>
    </xf>
    <xf numFmtId="0" fontId="5" fillId="0" borderId="39" xfId="0" applyFont="1" applyFill="1" applyBorder="1" applyAlignment="1">
      <alignment horizontal="center" vertical="center"/>
    </xf>
    <xf numFmtId="0" fontId="5" fillId="0" borderId="39" xfId="0" applyFont="1" applyFill="1" applyBorder="1" applyAlignment="1">
      <alignment horizontal="center" vertical="center" wrapText="1"/>
    </xf>
    <xf numFmtId="0" fontId="60" fillId="0" borderId="1" xfId="0" applyFont="1" applyFill="1" applyBorder="1" applyAlignment="1">
      <alignment horizontal="center" vertical="center"/>
    </xf>
    <xf numFmtId="0" fontId="60" fillId="0" borderId="19" xfId="0" applyFont="1" applyFill="1" applyBorder="1" applyAlignment="1">
      <alignment horizontal="center" vertical="center"/>
    </xf>
    <xf numFmtId="0" fontId="6" fillId="0" borderId="49" xfId="0" applyFont="1" applyFill="1" applyBorder="1" applyAlignment="1">
      <alignment horizontal="center" vertical="center"/>
    </xf>
    <xf numFmtId="0" fontId="2" fillId="2" borderId="37" xfId="1" applyNumberFormat="1" applyFont="1" applyFill="1" applyBorder="1" applyAlignment="1">
      <alignment horizontal="center" vertical="center"/>
    </xf>
    <xf numFmtId="0" fontId="0" fillId="0" borderId="1" xfId="0" applyFont="1" applyFill="1" applyBorder="1" applyAlignment="1">
      <alignment horizontal="center" vertical="center"/>
    </xf>
    <xf numFmtId="0" fontId="6" fillId="0" borderId="40" xfId="0" applyFont="1" applyFill="1" applyBorder="1" applyAlignment="1">
      <alignment horizontal="center" vertical="center"/>
    </xf>
    <xf numFmtId="0" fontId="6" fillId="0" borderId="2" xfId="0" applyFont="1" applyFill="1" applyBorder="1" applyAlignment="1">
      <alignment horizontal="center" vertical="center"/>
    </xf>
    <xf numFmtId="0" fontId="61" fillId="52" borderId="46" xfId="0" applyFont="1" applyFill="1" applyBorder="1" applyAlignment="1">
      <alignment horizontal="center" vertical="center" wrapText="1"/>
    </xf>
    <xf numFmtId="0" fontId="0" fillId="0" borderId="0" xfId="0" applyFont="1"/>
    <xf numFmtId="0" fontId="6" fillId="0" borderId="47" xfId="0" applyFont="1" applyFill="1" applyBorder="1" applyAlignment="1">
      <alignment horizontal="center" vertical="center"/>
    </xf>
    <xf numFmtId="0" fontId="55" fillId="0" borderId="0" xfId="0" applyFont="1" applyBorder="1" applyAlignment="1"/>
    <xf numFmtId="0" fontId="0" fillId="0" borderId="0" xfId="0" applyFont="1" applyBorder="1"/>
    <xf numFmtId="0" fontId="0" fillId="0" borderId="4" xfId="0" applyBorder="1"/>
    <xf numFmtId="0" fontId="6" fillId="0" borderId="48" xfId="0" applyFont="1" applyFill="1" applyBorder="1" applyAlignment="1">
      <alignment horizontal="center" vertical="center"/>
    </xf>
    <xf numFmtId="0" fontId="8" fillId="0" borderId="48" xfId="0" applyFont="1" applyFill="1" applyBorder="1" applyAlignment="1">
      <alignment horizontal="center" vertical="center"/>
    </xf>
    <xf numFmtId="0" fontId="6" fillId="0" borderId="32" xfId="0" applyFont="1" applyFill="1" applyBorder="1" applyAlignment="1">
      <alignment horizontal="left" vertical="center" wrapText="1"/>
    </xf>
    <xf numFmtId="0" fontId="6" fillId="0" borderId="41" xfId="0" applyFont="1" applyFill="1" applyBorder="1" applyAlignment="1">
      <alignment horizontal="left" vertical="center" wrapText="1"/>
    </xf>
    <xf numFmtId="0" fontId="6" fillId="53" borderId="1" xfId="0" applyFont="1" applyFill="1" applyBorder="1" applyAlignment="1">
      <alignment horizontal="center" vertical="center"/>
    </xf>
    <xf numFmtId="0" fontId="6" fillId="50" borderId="43" xfId="0" applyFont="1" applyFill="1" applyBorder="1" applyAlignment="1">
      <alignment horizontal="left" vertical="center" wrapText="1"/>
    </xf>
    <xf numFmtId="0" fontId="6" fillId="9" borderId="38" xfId="0" applyFont="1" applyFill="1" applyBorder="1" applyAlignment="1">
      <alignment horizontal="center" vertical="center"/>
    </xf>
    <xf numFmtId="0" fontId="6" fillId="50" borderId="41" xfId="0" applyFont="1" applyFill="1" applyBorder="1" applyAlignment="1">
      <alignment horizontal="center" vertical="center"/>
    </xf>
    <xf numFmtId="0" fontId="8" fillId="0" borderId="49" xfId="0" applyFont="1" applyFill="1" applyBorder="1" applyAlignment="1">
      <alignment horizontal="center" vertical="center"/>
    </xf>
    <xf numFmtId="0" fontId="6" fillId="0" borderId="42" xfId="0" applyFont="1" applyFill="1" applyBorder="1" applyAlignment="1">
      <alignment horizontal="center" vertical="center" wrapText="1"/>
    </xf>
    <xf numFmtId="0" fontId="3" fillId="7" borderId="3" xfId="6" applyFont="1" applyFill="1" applyBorder="1" applyAlignment="1">
      <alignment horizontal="center" wrapText="1"/>
    </xf>
    <xf numFmtId="0" fontId="3" fillId="7" borderId="2" xfId="6" applyFont="1" applyFill="1" applyBorder="1" applyAlignment="1">
      <alignment horizontal="center" wrapText="1"/>
    </xf>
    <xf numFmtId="0" fontId="11" fillId="15" borderId="6" xfId="6" applyFont="1" applyFill="1" applyBorder="1" applyAlignment="1">
      <alignment horizontal="center" vertical="center" wrapText="1"/>
    </xf>
    <xf numFmtId="0" fontId="10" fillId="0" borderId="15" xfId="6" applyBorder="1" applyAlignment="1">
      <alignment horizontal="center" vertical="center"/>
    </xf>
    <xf numFmtId="0" fontId="10" fillId="0" borderId="7" xfId="6" applyBorder="1" applyAlignment="1">
      <alignment horizontal="center" vertical="center"/>
    </xf>
    <xf numFmtId="0" fontId="11" fillId="15" borderId="5" xfId="6" applyFont="1" applyFill="1" applyBorder="1" applyAlignment="1">
      <alignment horizontal="center" vertical="center" wrapText="1"/>
    </xf>
    <xf numFmtId="0" fontId="10" fillId="0" borderId="0" xfId="6" applyBorder="1" applyAlignment="1">
      <alignment horizontal="center" vertical="center"/>
    </xf>
    <xf numFmtId="0" fontId="10" fillId="0" borderId="10" xfId="6" applyBorder="1" applyAlignment="1">
      <alignment horizontal="center" vertical="center"/>
    </xf>
    <xf numFmtId="0" fontId="10" fillId="0" borderId="5" xfId="6" applyBorder="1" applyAlignment="1">
      <alignment horizontal="center" vertical="center"/>
    </xf>
    <xf numFmtId="0" fontId="10" fillId="0" borderId="0" xfId="6" applyAlignment="1">
      <alignment horizontal="center" vertical="center"/>
    </xf>
    <xf numFmtId="0" fontId="10" fillId="0" borderId="8" xfId="6" applyBorder="1" applyAlignment="1">
      <alignment horizontal="center" vertical="center"/>
    </xf>
    <xf numFmtId="0" fontId="10" fillId="0" borderId="11" xfId="6" applyBorder="1" applyAlignment="1">
      <alignment horizontal="center" vertical="center"/>
    </xf>
    <xf numFmtId="0" fontId="10" fillId="0" borderId="9" xfId="6" applyBorder="1" applyAlignment="1">
      <alignment horizontal="center" vertical="center"/>
    </xf>
    <xf numFmtId="0" fontId="3" fillId="7" borderId="3" xfId="6" applyFont="1" applyFill="1" applyBorder="1" applyAlignment="1">
      <alignment horizontal="center"/>
    </xf>
    <xf numFmtId="0" fontId="3" fillId="7" borderId="2" xfId="6" applyFont="1" applyFill="1" applyBorder="1" applyAlignment="1">
      <alignment horizontal="center"/>
    </xf>
    <xf numFmtId="0" fontId="56" fillId="2" borderId="4" xfId="1" applyNumberFormat="1" applyFont="1" applyFill="1" applyBorder="1" applyAlignment="1">
      <alignment horizontal="center" vertical="center" wrapText="1"/>
    </xf>
    <xf numFmtId="0" fontId="56" fillId="2" borderId="36" xfId="1" applyNumberFormat="1" applyFont="1" applyFill="1" applyBorder="1" applyAlignment="1">
      <alignment horizontal="center" vertical="center" wrapText="1"/>
    </xf>
    <xf numFmtId="0" fontId="56" fillId="2" borderId="1" xfId="1" applyNumberFormat="1" applyFont="1" applyFill="1" applyBorder="1" applyAlignment="1">
      <alignment horizontal="center" vertical="center" wrapText="1"/>
    </xf>
    <xf numFmtId="0" fontId="45" fillId="0" borderId="0"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38" xfId="0" applyFont="1" applyFill="1" applyBorder="1" applyAlignment="1">
      <alignment horizontal="center" vertical="center"/>
    </xf>
    <xf numFmtId="0" fontId="6" fillId="50" borderId="38" xfId="0" applyFont="1" applyFill="1" applyBorder="1" applyAlignment="1">
      <alignment horizontal="center" vertical="center"/>
    </xf>
    <xf numFmtId="0" fontId="6" fillId="21" borderId="33" xfId="0" applyFont="1" applyFill="1" applyBorder="1" applyAlignment="1">
      <alignment horizontal="center" vertical="center"/>
    </xf>
    <xf numFmtId="0" fontId="6" fillId="50" borderId="1" xfId="0" applyFont="1" applyFill="1" applyBorder="1" applyAlignment="1">
      <alignment horizontal="left" vertical="center" wrapText="1"/>
    </xf>
  </cellXfs>
  <cellStyles count="22345">
    <cellStyle name="20% - Accent1 2" xfId="17"/>
    <cellStyle name="20% - Accent1 2 2" xfId="312"/>
    <cellStyle name="20% - Accent1 3" xfId="313"/>
    <cellStyle name="20% - Accent1 4" xfId="314"/>
    <cellStyle name="20% - Accent1 5" xfId="315"/>
    <cellStyle name="20% - Accent2 2" xfId="18"/>
    <cellStyle name="20% - Accent2 2 2" xfId="316"/>
    <cellStyle name="20% - Accent2 3" xfId="317"/>
    <cellStyle name="20% - Accent2 4" xfId="318"/>
    <cellStyle name="20% - Accent2 5" xfId="319"/>
    <cellStyle name="20% - Accent3 2" xfId="19"/>
    <cellStyle name="20% - Accent3 2 2" xfId="320"/>
    <cellStyle name="20% - Accent3 3" xfId="321"/>
    <cellStyle name="20% - Accent3 4" xfId="322"/>
    <cellStyle name="20% - Accent3 5" xfId="323"/>
    <cellStyle name="20% - Accent4 2" xfId="20"/>
    <cellStyle name="20% - Accent4 2 2" xfId="324"/>
    <cellStyle name="20% - Accent4 3" xfId="325"/>
    <cellStyle name="20% - Accent4 4" xfId="326"/>
    <cellStyle name="20% - Accent4 5" xfId="327"/>
    <cellStyle name="20% - Accent5 2" xfId="21"/>
    <cellStyle name="20% - Accent5 2 2" xfId="328"/>
    <cellStyle name="20% - Accent5 3" xfId="329"/>
    <cellStyle name="20% - Accent5 4" xfId="330"/>
    <cellStyle name="20% - Accent6 2" xfId="22"/>
    <cellStyle name="20% - Accent6 2 2" xfId="331"/>
    <cellStyle name="20% - Accent6 3" xfId="332"/>
    <cellStyle name="20% - Accent6 4" xfId="333"/>
    <cellStyle name="20% - Accent6 5" xfId="334"/>
    <cellStyle name="40% - Accent1 2" xfId="23"/>
    <cellStyle name="40% - Accent1 2 2" xfId="335"/>
    <cellStyle name="40% - Accent1 3" xfId="336"/>
    <cellStyle name="40% - Accent1 4" xfId="337"/>
    <cellStyle name="40% - Accent1 5" xfId="338"/>
    <cellStyle name="40% - Accent2 2" xfId="24"/>
    <cellStyle name="40% - Accent2 2 2" xfId="339"/>
    <cellStyle name="40% - Accent2 3" xfId="340"/>
    <cellStyle name="40% - Accent2 4" xfId="341"/>
    <cellStyle name="40% - Accent3 2" xfId="25"/>
    <cellStyle name="40% - Accent3 2 2" xfId="342"/>
    <cellStyle name="40% - Accent3 3" xfId="343"/>
    <cellStyle name="40% - Accent3 4" xfId="344"/>
    <cellStyle name="40% - Accent3 5" xfId="345"/>
    <cellStyle name="40% - Accent4 2" xfId="26"/>
    <cellStyle name="40% - Accent4 2 2" xfId="346"/>
    <cellStyle name="40% - Accent4 3" xfId="347"/>
    <cellStyle name="40% - Accent4 4" xfId="348"/>
    <cellStyle name="40% - Accent4 5" xfId="349"/>
    <cellStyle name="40% - Accent5 2" xfId="27"/>
    <cellStyle name="40% - Accent5 2 2" xfId="350"/>
    <cellStyle name="40% - Accent5 3" xfId="351"/>
    <cellStyle name="40% - Accent5 4" xfId="352"/>
    <cellStyle name="40% - Accent5 5" xfId="353"/>
    <cellStyle name="40% - Accent6 2" xfId="28"/>
    <cellStyle name="40% - Accent6 2 2" xfId="354"/>
    <cellStyle name="40% - Accent6 3" xfId="355"/>
    <cellStyle name="40% - Accent6 4" xfId="356"/>
    <cellStyle name="40% - Accent6 5" xfId="357"/>
    <cellStyle name="60% - Accent1 2" xfId="29"/>
    <cellStyle name="60% - Accent1 3" xfId="358"/>
    <cellStyle name="60% - Accent1 4" xfId="359"/>
    <cellStyle name="60% - Accent1 5" xfId="360"/>
    <cellStyle name="60% - Accent2 2" xfId="30"/>
    <cellStyle name="60% - Accent2 3" xfId="361"/>
    <cellStyle name="60% - Accent2 4" xfId="362"/>
    <cellStyle name="60% - Accent2 5" xfId="363"/>
    <cellStyle name="60% - Accent3 2" xfId="31"/>
    <cellStyle name="60% - Accent3 3" xfId="364"/>
    <cellStyle name="60% - Accent3 4" xfId="365"/>
    <cellStyle name="60% - Accent3 5" xfId="366"/>
    <cellStyle name="60% - Accent4 2" xfId="32"/>
    <cellStyle name="60% - Accent4 3" xfId="367"/>
    <cellStyle name="60% - Accent4 4" xfId="368"/>
    <cellStyle name="60% - Accent4 5" xfId="369"/>
    <cellStyle name="60% - Accent5 2" xfId="33"/>
    <cellStyle name="60% - Accent5 3" xfId="370"/>
    <cellStyle name="60% - Accent5 4" xfId="371"/>
    <cellStyle name="60% - Accent5 5" xfId="372"/>
    <cellStyle name="60% - Accent6 2" xfId="34"/>
    <cellStyle name="60% - Accent6 3" xfId="373"/>
    <cellStyle name="60% - Accent6 4" xfId="374"/>
    <cellStyle name="60% - Accent6 5" xfId="375"/>
    <cellStyle name="Accent1 2" xfId="35"/>
    <cellStyle name="Accent1 3" xfId="376"/>
    <cellStyle name="Accent1 4" xfId="377"/>
    <cellStyle name="Accent1 5" xfId="378"/>
    <cellStyle name="Accent2 2" xfId="36"/>
    <cellStyle name="Accent2 3" xfId="379"/>
    <cellStyle name="Accent2 4" xfId="380"/>
    <cellStyle name="Accent2 5" xfId="381"/>
    <cellStyle name="Accent3 2" xfId="37"/>
    <cellStyle name="Accent3 3" xfId="382"/>
    <cellStyle name="Accent3 4" xfId="383"/>
    <cellStyle name="Accent3 5" xfId="384"/>
    <cellStyle name="Accent4 2" xfId="38"/>
    <cellStyle name="Accent4 3" xfId="385"/>
    <cellStyle name="Accent4 4" xfId="386"/>
    <cellStyle name="Accent4 5" xfId="387"/>
    <cellStyle name="Accent5 2" xfId="39"/>
    <cellStyle name="Accent5 3" xfId="388"/>
    <cellStyle name="Accent5 4" xfId="389"/>
    <cellStyle name="Accent6 2" xfId="40"/>
    <cellStyle name="Accent6 3" xfId="390"/>
    <cellStyle name="Accent6 4" xfId="391"/>
    <cellStyle name="Accent6 5" xfId="392"/>
    <cellStyle name="Bad 2" xfId="41"/>
    <cellStyle name="Bad 3" xfId="393"/>
    <cellStyle name="Bad 4" xfId="394"/>
    <cellStyle name="Bad 5" xfId="395"/>
    <cellStyle name="Calculation 2" xfId="42"/>
    <cellStyle name="Calculation 2 2" xfId="396"/>
    <cellStyle name="Calculation 2 2 10" xfId="397"/>
    <cellStyle name="Calculation 2 2 10 2" xfId="398"/>
    <cellStyle name="Calculation 2 2 10 2 2" xfId="399"/>
    <cellStyle name="Calculation 2 2 10 2 2 2" xfId="400"/>
    <cellStyle name="Calculation 2 2 10 2 3" xfId="401"/>
    <cellStyle name="Calculation 2 2 10 2 3 2" xfId="402"/>
    <cellStyle name="Calculation 2 2 10 2 4" xfId="403"/>
    <cellStyle name="Calculation 2 2 10 3" xfId="404"/>
    <cellStyle name="Calculation 2 2 10 3 2" xfId="405"/>
    <cellStyle name="Calculation 2 2 10 3 2 2" xfId="406"/>
    <cellStyle name="Calculation 2 2 10 3 3" xfId="407"/>
    <cellStyle name="Calculation 2 2 10 3 3 2" xfId="408"/>
    <cellStyle name="Calculation 2 2 10 3 4" xfId="409"/>
    <cellStyle name="Calculation 2 2 10 4" xfId="410"/>
    <cellStyle name="Calculation 2 2 10 4 2" xfId="411"/>
    <cellStyle name="Calculation 2 2 10 4 2 2" xfId="412"/>
    <cellStyle name="Calculation 2 2 10 4 3" xfId="413"/>
    <cellStyle name="Calculation 2 2 10 5" xfId="414"/>
    <cellStyle name="Calculation 2 2 10 5 2" xfId="415"/>
    <cellStyle name="Calculation 2 2 10 6" xfId="416"/>
    <cellStyle name="Calculation 2 2 10 6 2" xfId="417"/>
    <cellStyle name="Calculation 2 2 10 7" xfId="418"/>
    <cellStyle name="Calculation 2 2 10 7 2" xfId="419"/>
    <cellStyle name="Calculation 2 2 10 8" xfId="420"/>
    <cellStyle name="Calculation 2 2 11" xfId="421"/>
    <cellStyle name="Calculation 2 2 11 2" xfId="422"/>
    <cellStyle name="Calculation 2 2 11 2 2" xfId="423"/>
    <cellStyle name="Calculation 2 2 11 2 2 2" xfId="424"/>
    <cellStyle name="Calculation 2 2 11 2 3" xfId="425"/>
    <cellStyle name="Calculation 2 2 11 2 3 2" xfId="426"/>
    <cellStyle name="Calculation 2 2 11 2 4" xfId="427"/>
    <cellStyle name="Calculation 2 2 11 3" xfId="428"/>
    <cellStyle name="Calculation 2 2 11 3 2" xfId="429"/>
    <cellStyle name="Calculation 2 2 11 3 2 2" xfId="430"/>
    <cellStyle name="Calculation 2 2 11 3 3" xfId="431"/>
    <cellStyle name="Calculation 2 2 11 3 3 2" xfId="432"/>
    <cellStyle name="Calculation 2 2 11 3 4" xfId="433"/>
    <cellStyle name="Calculation 2 2 11 4" xfId="434"/>
    <cellStyle name="Calculation 2 2 11 4 2" xfId="435"/>
    <cellStyle name="Calculation 2 2 11 5" xfId="436"/>
    <cellStyle name="Calculation 2 2 11 5 2" xfId="437"/>
    <cellStyle name="Calculation 2 2 11 6" xfId="438"/>
    <cellStyle name="Calculation 2 2 11 6 2" xfId="439"/>
    <cellStyle name="Calculation 2 2 11 7" xfId="440"/>
    <cellStyle name="Calculation 2 2 11 7 2" xfId="441"/>
    <cellStyle name="Calculation 2 2 11 8" xfId="442"/>
    <cellStyle name="Calculation 2 2 12" xfId="443"/>
    <cellStyle name="Calculation 2 2 12 2" xfId="444"/>
    <cellStyle name="Calculation 2 2 12 2 2" xfId="445"/>
    <cellStyle name="Calculation 2 2 12 3" xfId="446"/>
    <cellStyle name="Calculation 2 2 13" xfId="447"/>
    <cellStyle name="Calculation 2 2 13 2" xfId="448"/>
    <cellStyle name="Calculation 2 2 2" xfId="449"/>
    <cellStyle name="Calculation 2 2 2 2" xfId="450"/>
    <cellStyle name="Calculation 2 2 2 2 2" xfId="451"/>
    <cellStyle name="Calculation 2 2 2 2 2 2" xfId="452"/>
    <cellStyle name="Calculation 2 2 2 2 2 2 2" xfId="453"/>
    <cellStyle name="Calculation 2 2 2 2 2 2 2 2" xfId="454"/>
    <cellStyle name="Calculation 2 2 2 2 2 2 3" xfId="455"/>
    <cellStyle name="Calculation 2 2 2 2 2 2 3 2" xfId="456"/>
    <cellStyle name="Calculation 2 2 2 2 2 2 4" xfId="457"/>
    <cellStyle name="Calculation 2 2 2 2 2 3" xfId="458"/>
    <cellStyle name="Calculation 2 2 2 2 2 3 2" xfId="459"/>
    <cellStyle name="Calculation 2 2 2 2 2 3 2 2" xfId="460"/>
    <cellStyle name="Calculation 2 2 2 2 2 3 3" xfId="461"/>
    <cellStyle name="Calculation 2 2 2 2 2 3 3 2" xfId="462"/>
    <cellStyle name="Calculation 2 2 2 2 2 3 4" xfId="463"/>
    <cellStyle name="Calculation 2 2 2 2 2 4" xfId="464"/>
    <cellStyle name="Calculation 2 2 2 2 2 4 2" xfId="465"/>
    <cellStyle name="Calculation 2 2 2 2 2 4 2 2" xfId="466"/>
    <cellStyle name="Calculation 2 2 2 2 2 4 3" xfId="467"/>
    <cellStyle name="Calculation 2 2 2 2 2 5" xfId="468"/>
    <cellStyle name="Calculation 2 2 2 2 2 5 2" xfId="469"/>
    <cellStyle name="Calculation 2 2 2 2 2 6" xfId="470"/>
    <cellStyle name="Calculation 2 2 2 2 2 6 2" xfId="471"/>
    <cellStyle name="Calculation 2 2 2 2 2 7" xfId="472"/>
    <cellStyle name="Calculation 2 2 2 2 2 7 2" xfId="473"/>
    <cellStyle name="Calculation 2 2 2 2 2 8" xfId="474"/>
    <cellStyle name="Calculation 2 2 2 2 3" xfId="475"/>
    <cellStyle name="Calculation 2 2 2 2 3 2" xfId="476"/>
    <cellStyle name="Calculation 2 2 2 2 3 2 2" xfId="477"/>
    <cellStyle name="Calculation 2 2 2 2 3 2 2 2" xfId="478"/>
    <cellStyle name="Calculation 2 2 2 2 3 2 3" xfId="479"/>
    <cellStyle name="Calculation 2 2 2 2 3 2 3 2" xfId="480"/>
    <cellStyle name="Calculation 2 2 2 2 3 2 4" xfId="481"/>
    <cellStyle name="Calculation 2 2 2 2 3 3" xfId="482"/>
    <cellStyle name="Calculation 2 2 2 2 3 3 2" xfId="483"/>
    <cellStyle name="Calculation 2 2 2 2 3 3 2 2" xfId="484"/>
    <cellStyle name="Calculation 2 2 2 2 3 3 3" xfId="485"/>
    <cellStyle name="Calculation 2 2 2 2 3 3 3 2" xfId="486"/>
    <cellStyle name="Calculation 2 2 2 2 3 3 4" xfId="487"/>
    <cellStyle name="Calculation 2 2 2 2 3 4" xfId="488"/>
    <cellStyle name="Calculation 2 2 2 2 3 4 2" xfId="489"/>
    <cellStyle name="Calculation 2 2 2 2 3 5" xfId="490"/>
    <cellStyle name="Calculation 2 2 2 2 3 5 2" xfId="491"/>
    <cellStyle name="Calculation 2 2 2 2 3 6" xfId="492"/>
    <cellStyle name="Calculation 2 2 2 2 3 6 2" xfId="493"/>
    <cellStyle name="Calculation 2 2 2 2 3 7" xfId="494"/>
    <cellStyle name="Calculation 2 2 2 2 3 7 2" xfId="495"/>
    <cellStyle name="Calculation 2 2 2 2 3 8" xfId="496"/>
    <cellStyle name="Calculation 2 2 2 2 4" xfId="497"/>
    <cellStyle name="Calculation 2 2 2 2 4 2" xfId="498"/>
    <cellStyle name="Calculation 2 2 2 2 4 2 2" xfId="499"/>
    <cellStyle name="Calculation 2 2 2 2 4 3" xfId="500"/>
    <cellStyle name="Calculation 2 2 2 2 5" xfId="501"/>
    <cellStyle name="Calculation 2 2 2 2 5 2" xfId="502"/>
    <cellStyle name="Calculation 2 2 2 2 6" xfId="503"/>
    <cellStyle name="Calculation 2 2 2 2 6 2" xfId="504"/>
    <cellStyle name="Calculation 2 2 2 3" xfId="505"/>
    <cellStyle name="Calculation 2 2 2 3 2" xfId="506"/>
    <cellStyle name="Calculation 2 2 2 3 2 2" xfId="507"/>
    <cellStyle name="Calculation 2 2 2 3 2 2 2" xfId="508"/>
    <cellStyle name="Calculation 2 2 2 3 2 2 2 2" xfId="509"/>
    <cellStyle name="Calculation 2 2 2 3 2 2 3" xfId="510"/>
    <cellStyle name="Calculation 2 2 2 3 2 2 3 2" xfId="511"/>
    <cellStyle name="Calculation 2 2 2 3 2 2 4" xfId="512"/>
    <cellStyle name="Calculation 2 2 2 3 2 3" xfId="513"/>
    <cellStyle name="Calculation 2 2 2 3 2 3 2" xfId="514"/>
    <cellStyle name="Calculation 2 2 2 3 2 3 2 2" xfId="515"/>
    <cellStyle name="Calculation 2 2 2 3 2 3 3" xfId="516"/>
    <cellStyle name="Calculation 2 2 2 3 2 3 3 2" xfId="517"/>
    <cellStyle name="Calculation 2 2 2 3 2 3 4" xfId="518"/>
    <cellStyle name="Calculation 2 2 2 3 2 4" xfId="519"/>
    <cellStyle name="Calculation 2 2 2 3 2 4 2" xfId="520"/>
    <cellStyle name="Calculation 2 2 2 3 2 4 2 2" xfId="521"/>
    <cellStyle name="Calculation 2 2 2 3 2 4 3" xfId="522"/>
    <cellStyle name="Calculation 2 2 2 3 2 5" xfId="523"/>
    <cellStyle name="Calculation 2 2 2 3 2 5 2" xfId="524"/>
    <cellStyle name="Calculation 2 2 2 3 2 6" xfId="525"/>
    <cellStyle name="Calculation 2 2 2 3 2 6 2" xfId="526"/>
    <cellStyle name="Calculation 2 2 2 3 2 7" xfId="527"/>
    <cellStyle name="Calculation 2 2 2 3 2 7 2" xfId="528"/>
    <cellStyle name="Calculation 2 2 2 3 2 8" xfId="529"/>
    <cellStyle name="Calculation 2 2 2 3 3" xfId="530"/>
    <cellStyle name="Calculation 2 2 2 3 3 2" xfId="531"/>
    <cellStyle name="Calculation 2 2 2 3 3 2 2" xfId="532"/>
    <cellStyle name="Calculation 2 2 2 3 3 2 2 2" xfId="533"/>
    <cellStyle name="Calculation 2 2 2 3 3 2 3" xfId="534"/>
    <cellStyle name="Calculation 2 2 2 3 3 2 3 2" xfId="535"/>
    <cellStyle name="Calculation 2 2 2 3 3 2 4" xfId="536"/>
    <cellStyle name="Calculation 2 2 2 3 3 3" xfId="537"/>
    <cellStyle name="Calculation 2 2 2 3 3 3 2" xfId="538"/>
    <cellStyle name="Calculation 2 2 2 3 3 3 2 2" xfId="539"/>
    <cellStyle name="Calculation 2 2 2 3 3 3 3" xfId="540"/>
    <cellStyle name="Calculation 2 2 2 3 3 3 3 2" xfId="541"/>
    <cellStyle name="Calculation 2 2 2 3 3 3 4" xfId="542"/>
    <cellStyle name="Calculation 2 2 2 3 3 4" xfId="543"/>
    <cellStyle name="Calculation 2 2 2 3 3 4 2" xfId="544"/>
    <cellStyle name="Calculation 2 2 2 3 3 5" xfId="545"/>
    <cellStyle name="Calculation 2 2 2 3 3 5 2" xfId="546"/>
    <cellStyle name="Calculation 2 2 2 3 3 6" xfId="547"/>
    <cellStyle name="Calculation 2 2 2 3 3 6 2" xfId="548"/>
    <cellStyle name="Calculation 2 2 2 3 3 7" xfId="549"/>
    <cellStyle name="Calculation 2 2 2 3 3 7 2" xfId="550"/>
    <cellStyle name="Calculation 2 2 2 3 3 8" xfId="551"/>
    <cellStyle name="Calculation 2 2 2 3 4" xfId="552"/>
    <cellStyle name="Calculation 2 2 2 3 4 2" xfId="553"/>
    <cellStyle name="Calculation 2 2 2 3 4 2 2" xfId="554"/>
    <cellStyle name="Calculation 2 2 2 3 4 3" xfId="555"/>
    <cellStyle name="Calculation 2 2 2 3 5" xfId="556"/>
    <cellStyle name="Calculation 2 2 2 3 5 2" xfId="557"/>
    <cellStyle name="Calculation 2 2 2 3 6" xfId="558"/>
    <cellStyle name="Calculation 2 2 2 3 6 2" xfId="559"/>
    <cellStyle name="Calculation 2 2 2 4" xfId="560"/>
    <cellStyle name="Calculation 2 2 2 4 2" xfId="561"/>
    <cellStyle name="Calculation 2 2 2 4 2 2" xfId="562"/>
    <cellStyle name="Calculation 2 2 2 4 2 2 2" xfId="563"/>
    <cellStyle name="Calculation 2 2 2 4 2 3" xfId="564"/>
    <cellStyle name="Calculation 2 2 2 4 2 3 2" xfId="565"/>
    <cellStyle name="Calculation 2 2 2 4 2 4" xfId="566"/>
    <cellStyle name="Calculation 2 2 2 4 3" xfId="567"/>
    <cellStyle name="Calculation 2 2 2 4 3 2" xfId="568"/>
    <cellStyle name="Calculation 2 2 2 4 3 2 2" xfId="569"/>
    <cellStyle name="Calculation 2 2 2 4 3 3" xfId="570"/>
    <cellStyle name="Calculation 2 2 2 4 3 3 2" xfId="571"/>
    <cellStyle name="Calculation 2 2 2 4 3 4" xfId="572"/>
    <cellStyle name="Calculation 2 2 2 4 4" xfId="573"/>
    <cellStyle name="Calculation 2 2 2 4 4 2" xfId="574"/>
    <cellStyle name="Calculation 2 2 2 4 4 2 2" xfId="575"/>
    <cellStyle name="Calculation 2 2 2 4 4 3" xfId="576"/>
    <cellStyle name="Calculation 2 2 2 4 5" xfId="577"/>
    <cellStyle name="Calculation 2 2 2 4 5 2" xfId="578"/>
    <cellStyle name="Calculation 2 2 2 4 6" xfId="579"/>
    <cellStyle name="Calculation 2 2 2 4 6 2" xfId="580"/>
    <cellStyle name="Calculation 2 2 2 4 7" xfId="581"/>
    <cellStyle name="Calculation 2 2 2 4 7 2" xfId="582"/>
    <cellStyle name="Calculation 2 2 2 4 8" xfId="583"/>
    <cellStyle name="Calculation 2 2 2 5" xfId="584"/>
    <cellStyle name="Calculation 2 2 2 5 2" xfId="585"/>
    <cellStyle name="Calculation 2 2 2 5 2 2" xfId="586"/>
    <cellStyle name="Calculation 2 2 2 5 2 2 2" xfId="587"/>
    <cellStyle name="Calculation 2 2 2 5 2 3" xfId="588"/>
    <cellStyle name="Calculation 2 2 2 5 2 3 2" xfId="589"/>
    <cellStyle name="Calculation 2 2 2 5 2 4" xfId="590"/>
    <cellStyle name="Calculation 2 2 2 5 3" xfId="591"/>
    <cellStyle name="Calculation 2 2 2 5 3 2" xfId="592"/>
    <cellStyle name="Calculation 2 2 2 5 3 2 2" xfId="593"/>
    <cellStyle name="Calculation 2 2 2 5 3 3" xfId="594"/>
    <cellStyle name="Calculation 2 2 2 5 3 3 2" xfId="595"/>
    <cellStyle name="Calculation 2 2 2 5 3 4" xfId="596"/>
    <cellStyle name="Calculation 2 2 2 5 4" xfId="597"/>
    <cellStyle name="Calculation 2 2 2 5 4 2" xfId="598"/>
    <cellStyle name="Calculation 2 2 2 5 4 2 2" xfId="599"/>
    <cellStyle name="Calculation 2 2 2 5 4 3" xfId="600"/>
    <cellStyle name="Calculation 2 2 2 5 5" xfId="601"/>
    <cellStyle name="Calculation 2 2 2 5 5 2" xfId="602"/>
    <cellStyle name="Calculation 2 2 2 5 6" xfId="603"/>
    <cellStyle name="Calculation 2 2 2 5 6 2" xfId="604"/>
    <cellStyle name="Calculation 2 2 2 5 7" xfId="605"/>
    <cellStyle name="Calculation 2 2 2 5 7 2" xfId="606"/>
    <cellStyle name="Calculation 2 2 2 5 8" xfId="607"/>
    <cellStyle name="Calculation 2 2 2 6" xfId="608"/>
    <cellStyle name="Calculation 2 2 2 6 2" xfId="609"/>
    <cellStyle name="Calculation 2 2 2 6 2 2" xfId="610"/>
    <cellStyle name="Calculation 2 2 2 6 2 2 2" xfId="611"/>
    <cellStyle name="Calculation 2 2 2 6 2 3" xfId="612"/>
    <cellStyle name="Calculation 2 2 2 6 2 3 2" xfId="613"/>
    <cellStyle name="Calculation 2 2 2 6 2 4" xfId="614"/>
    <cellStyle name="Calculation 2 2 2 6 3" xfId="615"/>
    <cellStyle name="Calculation 2 2 2 6 3 2" xfId="616"/>
    <cellStyle name="Calculation 2 2 2 6 3 2 2" xfId="617"/>
    <cellStyle name="Calculation 2 2 2 6 3 3" xfId="618"/>
    <cellStyle name="Calculation 2 2 2 6 3 3 2" xfId="619"/>
    <cellStyle name="Calculation 2 2 2 6 3 4" xfId="620"/>
    <cellStyle name="Calculation 2 2 2 6 4" xfId="621"/>
    <cellStyle name="Calculation 2 2 2 6 4 2" xfId="622"/>
    <cellStyle name="Calculation 2 2 2 6 5" xfId="623"/>
    <cellStyle name="Calculation 2 2 2 6 5 2" xfId="624"/>
    <cellStyle name="Calculation 2 2 2 6 6" xfId="625"/>
    <cellStyle name="Calculation 2 2 2 6 6 2" xfId="626"/>
    <cellStyle name="Calculation 2 2 2 6 7" xfId="627"/>
    <cellStyle name="Calculation 2 2 2 6 7 2" xfId="628"/>
    <cellStyle name="Calculation 2 2 2 6 8" xfId="629"/>
    <cellStyle name="Calculation 2 2 2 7" xfId="630"/>
    <cellStyle name="Calculation 2 2 2 7 2" xfId="631"/>
    <cellStyle name="Calculation 2 2 2 7 2 2" xfId="632"/>
    <cellStyle name="Calculation 2 2 2 7 3" xfId="633"/>
    <cellStyle name="Calculation 2 2 2 8" xfId="634"/>
    <cellStyle name="Calculation 2 2 2 8 2" xfId="635"/>
    <cellStyle name="Calculation 2 2 3" xfId="636"/>
    <cellStyle name="Calculation 2 2 3 2" xfId="637"/>
    <cellStyle name="Calculation 2 2 3 2 2" xfId="638"/>
    <cellStyle name="Calculation 2 2 3 2 2 2" xfId="639"/>
    <cellStyle name="Calculation 2 2 3 2 2 2 2" xfId="640"/>
    <cellStyle name="Calculation 2 2 3 2 2 2 2 2" xfId="641"/>
    <cellStyle name="Calculation 2 2 3 2 2 2 3" xfId="642"/>
    <cellStyle name="Calculation 2 2 3 2 2 2 3 2" xfId="643"/>
    <cellStyle name="Calculation 2 2 3 2 2 2 4" xfId="644"/>
    <cellStyle name="Calculation 2 2 3 2 2 3" xfId="645"/>
    <cellStyle name="Calculation 2 2 3 2 2 3 2" xfId="646"/>
    <cellStyle name="Calculation 2 2 3 2 2 3 2 2" xfId="647"/>
    <cellStyle name="Calculation 2 2 3 2 2 3 3" xfId="648"/>
    <cellStyle name="Calculation 2 2 3 2 2 3 3 2" xfId="649"/>
    <cellStyle name="Calculation 2 2 3 2 2 3 4" xfId="650"/>
    <cellStyle name="Calculation 2 2 3 2 2 4" xfId="651"/>
    <cellStyle name="Calculation 2 2 3 2 2 4 2" xfId="652"/>
    <cellStyle name="Calculation 2 2 3 2 2 4 2 2" xfId="653"/>
    <cellStyle name="Calculation 2 2 3 2 2 4 3" xfId="654"/>
    <cellStyle name="Calculation 2 2 3 2 2 5" xfId="655"/>
    <cellStyle name="Calculation 2 2 3 2 2 5 2" xfId="656"/>
    <cellStyle name="Calculation 2 2 3 2 2 6" xfId="657"/>
    <cellStyle name="Calculation 2 2 3 2 2 6 2" xfId="658"/>
    <cellStyle name="Calculation 2 2 3 2 2 7" xfId="659"/>
    <cellStyle name="Calculation 2 2 3 2 2 7 2" xfId="660"/>
    <cellStyle name="Calculation 2 2 3 2 2 8" xfId="661"/>
    <cellStyle name="Calculation 2 2 3 2 3" xfId="662"/>
    <cellStyle name="Calculation 2 2 3 2 3 2" xfId="663"/>
    <cellStyle name="Calculation 2 2 3 2 3 2 2" xfId="664"/>
    <cellStyle name="Calculation 2 2 3 2 3 2 2 2" xfId="665"/>
    <cellStyle name="Calculation 2 2 3 2 3 2 3" xfId="666"/>
    <cellStyle name="Calculation 2 2 3 2 3 2 3 2" xfId="667"/>
    <cellStyle name="Calculation 2 2 3 2 3 2 4" xfId="668"/>
    <cellStyle name="Calculation 2 2 3 2 3 3" xfId="669"/>
    <cellStyle name="Calculation 2 2 3 2 3 3 2" xfId="670"/>
    <cellStyle name="Calculation 2 2 3 2 3 3 2 2" xfId="671"/>
    <cellStyle name="Calculation 2 2 3 2 3 3 3" xfId="672"/>
    <cellStyle name="Calculation 2 2 3 2 3 3 3 2" xfId="673"/>
    <cellStyle name="Calculation 2 2 3 2 3 3 4" xfId="674"/>
    <cellStyle name="Calculation 2 2 3 2 3 4" xfId="675"/>
    <cellStyle name="Calculation 2 2 3 2 3 4 2" xfId="676"/>
    <cellStyle name="Calculation 2 2 3 2 3 5" xfId="677"/>
    <cellStyle name="Calculation 2 2 3 2 3 5 2" xfId="678"/>
    <cellStyle name="Calculation 2 2 3 2 3 6" xfId="679"/>
    <cellStyle name="Calculation 2 2 3 2 3 6 2" xfId="680"/>
    <cellStyle name="Calculation 2 2 3 2 3 7" xfId="681"/>
    <cellStyle name="Calculation 2 2 3 2 3 7 2" xfId="682"/>
    <cellStyle name="Calculation 2 2 3 2 3 8" xfId="683"/>
    <cellStyle name="Calculation 2 2 3 2 4" xfId="684"/>
    <cellStyle name="Calculation 2 2 3 2 4 2" xfId="685"/>
    <cellStyle name="Calculation 2 2 3 2 4 2 2" xfId="686"/>
    <cellStyle name="Calculation 2 2 3 2 4 3" xfId="687"/>
    <cellStyle name="Calculation 2 2 3 2 5" xfId="688"/>
    <cellStyle name="Calculation 2 2 3 2 5 2" xfId="689"/>
    <cellStyle name="Calculation 2 2 3 2 6" xfId="690"/>
    <cellStyle name="Calculation 2 2 3 2 6 2" xfId="691"/>
    <cellStyle name="Calculation 2 2 3 3" xfId="692"/>
    <cellStyle name="Calculation 2 2 3 3 2" xfId="693"/>
    <cellStyle name="Calculation 2 2 3 3 2 2" xfId="694"/>
    <cellStyle name="Calculation 2 2 3 3 2 2 2" xfId="695"/>
    <cellStyle name="Calculation 2 2 3 3 2 2 2 2" xfId="696"/>
    <cellStyle name="Calculation 2 2 3 3 2 2 3" xfId="697"/>
    <cellStyle name="Calculation 2 2 3 3 2 2 3 2" xfId="698"/>
    <cellStyle name="Calculation 2 2 3 3 2 2 4" xfId="699"/>
    <cellStyle name="Calculation 2 2 3 3 2 3" xfId="700"/>
    <cellStyle name="Calculation 2 2 3 3 2 3 2" xfId="701"/>
    <cellStyle name="Calculation 2 2 3 3 2 3 2 2" xfId="702"/>
    <cellStyle name="Calculation 2 2 3 3 2 3 3" xfId="703"/>
    <cellStyle name="Calculation 2 2 3 3 2 3 3 2" xfId="704"/>
    <cellStyle name="Calculation 2 2 3 3 2 3 4" xfId="705"/>
    <cellStyle name="Calculation 2 2 3 3 2 4" xfId="706"/>
    <cellStyle name="Calculation 2 2 3 3 2 4 2" xfId="707"/>
    <cellStyle name="Calculation 2 2 3 3 2 4 2 2" xfId="708"/>
    <cellStyle name="Calculation 2 2 3 3 2 4 3" xfId="709"/>
    <cellStyle name="Calculation 2 2 3 3 2 5" xfId="710"/>
    <cellStyle name="Calculation 2 2 3 3 2 5 2" xfId="711"/>
    <cellStyle name="Calculation 2 2 3 3 2 6" xfId="712"/>
    <cellStyle name="Calculation 2 2 3 3 2 6 2" xfId="713"/>
    <cellStyle name="Calculation 2 2 3 3 2 7" xfId="714"/>
    <cellStyle name="Calculation 2 2 3 3 2 7 2" xfId="715"/>
    <cellStyle name="Calculation 2 2 3 3 2 8" xfId="716"/>
    <cellStyle name="Calculation 2 2 3 3 3" xfId="717"/>
    <cellStyle name="Calculation 2 2 3 3 3 2" xfId="718"/>
    <cellStyle name="Calculation 2 2 3 3 3 2 2" xfId="719"/>
    <cellStyle name="Calculation 2 2 3 3 3 2 2 2" xfId="720"/>
    <cellStyle name="Calculation 2 2 3 3 3 2 3" xfId="721"/>
    <cellStyle name="Calculation 2 2 3 3 3 2 3 2" xfId="722"/>
    <cellStyle name="Calculation 2 2 3 3 3 2 4" xfId="723"/>
    <cellStyle name="Calculation 2 2 3 3 3 3" xfId="724"/>
    <cellStyle name="Calculation 2 2 3 3 3 3 2" xfId="725"/>
    <cellStyle name="Calculation 2 2 3 3 3 3 2 2" xfId="726"/>
    <cellStyle name="Calculation 2 2 3 3 3 3 3" xfId="727"/>
    <cellStyle name="Calculation 2 2 3 3 3 3 3 2" xfId="728"/>
    <cellStyle name="Calculation 2 2 3 3 3 3 4" xfId="729"/>
    <cellStyle name="Calculation 2 2 3 3 3 4" xfId="730"/>
    <cellStyle name="Calculation 2 2 3 3 3 4 2" xfId="731"/>
    <cellStyle name="Calculation 2 2 3 3 3 5" xfId="732"/>
    <cellStyle name="Calculation 2 2 3 3 3 5 2" xfId="733"/>
    <cellStyle name="Calculation 2 2 3 3 3 6" xfId="734"/>
    <cellStyle name="Calculation 2 2 3 3 3 6 2" xfId="735"/>
    <cellStyle name="Calculation 2 2 3 3 3 7" xfId="736"/>
    <cellStyle name="Calculation 2 2 3 3 3 7 2" xfId="737"/>
    <cellStyle name="Calculation 2 2 3 3 3 8" xfId="738"/>
    <cellStyle name="Calculation 2 2 3 3 4" xfId="739"/>
    <cellStyle name="Calculation 2 2 3 3 4 2" xfId="740"/>
    <cellStyle name="Calculation 2 2 3 3 4 2 2" xfId="741"/>
    <cellStyle name="Calculation 2 2 3 3 4 3" xfId="742"/>
    <cellStyle name="Calculation 2 2 3 3 5" xfId="743"/>
    <cellStyle name="Calculation 2 2 3 3 5 2" xfId="744"/>
    <cellStyle name="Calculation 2 2 3 3 6" xfId="745"/>
    <cellStyle name="Calculation 2 2 3 3 6 2" xfId="746"/>
    <cellStyle name="Calculation 2 2 3 4" xfId="747"/>
    <cellStyle name="Calculation 2 2 3 4 2" xfId="748"/>
    <cellStyle name="Calculation 2 2 3 4 2 2" xfId="749"/>
    <cellStyle name="Calculation 2 2 3 4 2 2 2" xfId="750"/>
    <cellStyle name="Calculation 2 2 3 4 2 3" xfId="751"/>
    <cellStyle name="Calculation 2 2 3 4 2 3 2" xfId="752"/>
    <cellStyle name="Calculation 2 2 3 4 2 4" xfId="753"/>
    <cellStyle name="Calculation 2 2 3 4 3" xfId="754"/>
    <cellStyle name="Calculation 2 2 3 4 3 2" xfId="755"/>
    <cellStyle name="Calculation 2 2 3 4 3 2 2" xfId="756"/>
    <cellStyle name="Calculation 2 2 3 4 3 3" xfId="757"/>
    <cellStyle name="Calculation 2 2 3 4 3 3 2" xfId="758"/>
    <cellStyle name="Calculation 2 2 3 4 3 4" xfId="759"/>
    <cellStyle name="Calculation 2 2 3 4 4" xfId="760"/>
    <cellStyle name="Calculation 2 2 3 4 4 2" xfId="761"/>
    <cellStyle name="Calculation 2 2 3 4 4 2 2" xfId="762"/>
    <cellStyle name="Calculation 2 2 3 4 4 3" xfId="763"/>
    <cellStyle name="Calculation 2 2 3 4 5" xfId="764"/>
    <cellStyle name="Calculation 2 2 3 4 5 2" xfId="765"/>
    <cellStyle name="Calculation 2 2 3 4 6" xfId="766"/>
    <cellStyle name="Calculation 2 2 3 4 6 2" xfId="767"/>
    <cellStyle name="Calculation 2 2 3 4 7" xfId="768"/>
    <cellStyle name="Calculation 2 2 3 4 7 2" xfId="769"/>
    <cellStyle name="Calculation 2 2 3 4 8" xfId="770"/>
    <cellStyle name="Calculation 2 2 3 5" xfId="771"/>
    <cellStyle name="Calculation 2 2 3 5 2" xfId="772"/>
    <cellStyle name="Calculation 2 2 3 5 2 2" xfId="773"/>
    <cellStyle name="Calculation 2 2 3 5 2 2 2" xfId="774"/>
    <cellStyle name="Calculation 2 2 3 5 2 3" xfId="775"/>
    <cellStyle name="Calculation 2 2 3 5 2 3 2" xfId="776"/>
    <cellStyle name="Calculation 2 2 3 5 2 4" xfId="777"/>
    <cellStyle name="Calculation 2 2 3 5 3" xfId="778"/>
    <cellStyle name="Calculation 2 2 3 5 3 2" xfId="779"/>
    <cellStyle name="Calculation 2 2 3 5 3 2 2" xfId="780"/>
    <cellStyle name="Calculation 2 2 3 5 3 3" xfId="781"/>
    <cellStyle name="Calculation 2 2 3 5 3 3 2" xfId="782"/>
    <cellStyle name="Calculation 2 2 3 5 3 4" xfId="783"/>
    <cellStyle name="Calculation 2 2 3 5 4" xfId="784"/>
    <cellStyle name="Calculation 2 2 3 5 4 2" xfId="785"/>
    <cellStyle name="Calculation 2 2 3 5 4 2 2" xfId="786"/>
    <cellStyle name="Calculation 2 2 3 5 4 3" xfId="787"/>
    <cellStyle name="Calculation 2 2 3 5 5" xfId="788"/>
    <cellStyle name="Calculation 2 2 3 5 5 2" xfId="789"/>
    <cellStyle name="Calculation 2 2 3 5 6" xfId="790"/>
    <cellStyle name="Calculation 2 2 3 5 6 2" xfId="791"/>
    <cellStyle name="Calculation 2 2 3 5 7" xfId="792"/>
    <cellStyle name="Calculation 2 2 3 5 7 2" xfId="793"/>
    <cellStyle name="Calculation 2 2 3 5 8" xfId="794"/>
    <cellStyle name="Calculation 2 2 3 6" xfId="795"/>
    <cellStyle name="Calculation 2 2 3 6 2" xfId="796"/>
    <cellStyle name="Calculation 2 2 3 6 2 2" xfId="797"/>
    <cellStyle name="Calculation 2 2 3 6 2 2 2" xfId="798"/>
    <cellStyle name="Calculation 2 2 3 6 2 3" xfId="799"/>
    <cellStyle name="Calculation 2 2 3 6 2 3 2" xfId="800"/>
    <cellStyle name="Calculation 2 2 3 6 2 4" xfId="801"/>
    <cellStyle name="Calculation 2 2 3 6 3" xfId="802"/>
    <cellStyle name="Calculation 2 2 3 6 3 2" xfId="803"/>
    <cellStyle name="Calculation 2 2 3 6 3 2 2" xfId="804"/>
    <cellStyle name="Calculation 2 2 3 6 3 3" xfId="805"/>
    <cellStyle name="Calculation 2 2 3 6 3 3 2" xfId="806"/>
    <cellStyle name="Calculation 2 2 3 6 3 4" xfId="807"/>
    <cellStyle name="Calculation 2 2 3 6 4" xfId="808"/>
    <cellStyle name="Calculation 2 2 3 6 4 2" xfId="809"/>
    <cellStyle name="Calculation 2 2 3 6 5" xfId="810"/>
    <cellStyle name="Calculation 2 2 3 6 5 2" xfId="811"/>
    <cellStyle name="Calculation 2 2 3 6 6" xfId="812"/>
    <cellStyle name="Calculation 2 2 3 6 6 2" xfId="813"/>
    <cellStyle name="Calculation 2 2 3 6 7" xfId="814"/>
    <cellStyle name="Calculation 2 2 3 6 7 2" xfId="815"/>
    <cellStyle name="Calculation 2 2 3 6 8" xfId="816"/>
    <cellStyle name="Calculation 2 2 3 7" xfId="817"/>
    <cellStyle name="Calculation 2 2 3 7 2" xfId="818"/>
    <cellStyle name="Calculation 2 2 3 7 2 2" xfId="819"/>
    <cellStyle name="Calculation 2 2 3 7 3" xfId="820"/>
    <cellStyle name="Calculation 2 2 3 8" xfId="821"/>
    <cellStyle name="Calculation 2 2 3 8 2" xfId="822"/>
    <cellStyle name="Calculation 2 2 4" xfId="823"/>
    <cellStyle name="Calculation 2 2 4 2" xfId="824"/>
    <cellStyle name="Calculation 2 2 4 2 2" xfId="825"/>
    <cellStyle name="Calculation 2 2 4 2 2 2" xfId="826"/>
    <cellStyle name="Calculation 2 2 4 2 2 2 2" xfId="827"/>
    <cellStyle name="Calculation 2 2 4 2 2 2 2 2" xfId="828"/>
    <cellStyle name="Calculation 2 2 4 2 2 2 3" xfId="829"/>
    <cellStyle name="Calculation 2 2 4 2 2 2 3 2" xfId="830"/>
    <cellStyle name="Calculation 2 2 4 2 2 2 4" xfId="831"/>
    <cellStyle name="Calculation 2 2 4 2 2 3" xfId="832"/>
    <cellStyle name="Calculation 2 2 4 2 2 3 2" xfId="833"/>
    <cellStyle name="Calculation 2 2 4 2 2 3 2 2" xfId="834"/>
    <cellStyle name="Calculation 2 2 4 2 2 3 3" xfId="835"/>
    <cellStyle name="Calculation 2 2 4 2 2 3 3 2" xfId="836"/>
    <cellStyle name="Calculation 2 2 4 2 2 3 4" xfId="837"/>
    <cellStyle name="Calculation 2 2 4 2 2 4" xfId="838"/>
    <cellStyle name="Calculation 2 2 4 2 2 4 2" xfId="839"/>
    <cellStyle name="Calculation 2 2 4 2 2 4 2 2" xfId="840"/>
    <cellStyle name="Calculation 2 2 4 2 2 4 3" xfId="841"/>
    <cellStyle name="Calculation 2 2 4 2 2 5" xfId="842"/>
    <cellStyle name="Calculation 2 2 4 2 2 5 2" xfId="843"/>
    <cellStyle name="Calculation 2 2 4 2 2 6" xfId="844"/>
    <cellStyle name="Calculation 2 2 4 2 2 6 2" xfId="845"/>
    <cellStyle name="Calculation 2 2 4 2 2 7" xfId="846"/>
    <cellStyle name="Calculation 2 2 4 2 2 7 2" xfId="847"/>
    <cellStyle name="Calculation 2 2 4 2 2 8" xfId="848"/>
    <cellStyle name="Calculation 2 2 4 2 3" xfId="849"/>
    <cellStyle name="Calculation 2 2 4 2 3 2" xfId="850"/>
    <cellStyle name="Calculation 2 2 4 2 3 2 2" xfId="851"/>
    <cellStyle name="Calculation 2 2 4 2 3 2 2 2" xfId="852"/>
    <cellStyle name="Calculation 2 2 4 2 3 2 3" xfId="853"/>
    <cellStyle name="Calculation 2 2 4 2 3 2 3 2" xfId="854"/>
    <cellStyle name="Calculation 2 2 4 2 3 2 4" xfId="855"/>
    <cellStyle name="Calculation 2 2 4 2 3 3" xfId="856"/>
    <cellStyle name="Calculation 2 2 4 2 3 3 2" xfId="857"/>
    <cellStyle name="Calculation 2 2 4 2 3 3 2 2" xfId="858"/>
    <cellStyle name="Calculation 2 2 4 2 3 3 3" xfId="859"/>
    <cellStyle name="Calculation 2 2 4 2 3 3 3 2" xfId="860"/>
    <cellStyle name="Calculation 2 2 4 2 3 3 4" xfId="861"/>
    <cellStyle name="Calculation 2 2 4 2 3 4" xfId="862"/>
    <cellStyle name="Calculation 2 2 4 2 3 4 2" xfId="863"/>
    <cellStyle name="Calculation 2 2 4 2 3 5" xfId="864"/>
    <cellStyle name="Calculation 2 2 4 2 3 5 2" xfId="865"/>
    <cellStyle name="Calculation 2 2 4 2 3 6" xfId="866"/>
    <cellStyle name="Calculation 2 2 4 2 3 6 2" xfId="867"/>
    <cellStyle name="Calculation 2 2 4 2 3 7" xfId="868"/>
    <cellStyle name="Calculation 2 2 4 2 3 7 2" xfId="869"/>
    <cellStyle name="Calculation 2 2 4 2 3 8" xfId="870"/>
    <cellStyle name="Calculation 2 2 4 2 4" xfId="871"/>
    <cellStyle name="Calculation 2 2 4 2 4 2" xfId="872"/>
    <cellStyle name="Calculation 2 2 4 2 4 2 2" xfId="873"/>
    <cellStyle name="Calculation 2 2 4 2 4 3" xfId="874"/>
    <cellStyle name="Calculation 2 2 4 2 5" xfId="875"/>
    <cellStyle name="Calculation 2 2 4 2 5 2" xfId="876"/>
    <cellStyle name="Calculation 2 2 4 2 6" xfId="877"/>
    <cellStyle name="Calculation 2 2 4 2 6 2" xfId="878"/>
    <cellStyle name="Calculation 2 2 4 3" xfId="879"/>
    <cellStyle name="Calculation 2 2 4 3 2" xfId="880"/>
    <cellStyle name="Calculation 2 2 4 3 2 2" xfId="881"/>
    <cellStyle name="Calculation 2 2 4 3 2 2 2" xfId="882"/>
    <cellStyle name="Calculation 2 2 4 3 2 2 2 2" xfId="883"/>
    <cellStyle name="Calculation 2 2 4 3 2 2 3" xfId="884"/>
    <cellStyle name="Calculation 2 2 4 3 2 2 3 2" xfId="885"/>
    <cellStyle name="Calculation 2 2 4 3 2 2 4" xfId="886"/>
    <cellStyle name="Calculation 2 2 4 3 2 3" xfId="887"/>
    <cellStyle name="Calculation 2 2 4 3 2 3 2" xfId="888"/>
    <cellStyle name="Calculation 2 2 4 3 2 3 2 2" xfId="889"/>
    <cellStyle name="Calculation 2 2 4 3 2 3 3" xfId="890"/>
    <cellStyle name="Calculation 2 2 4 3 2 3 3 2" xfId="891"/>
    <cellStyle name="Calculation 2 2 4 3 2 3 4" xfId="892"/>
    <cellStyle name="Calculation 2 2 4 3 2 4" xfId="893"/>
    <cellStyle name="Calculation 2 2 4 3 2 4 2" xfId="894"/>
    <cellStyle name="Calculation 2 2 4 3 2 4 2 2" xfId="895"/>
    <cellStyle name="Calculation 2 2 4 3 2 4 3" xfId="896"/>
    <cellStyle name="Calculation 2 2 4 3 2 5" xfId="897"/>
    <cellStyle name="Calculation 2 2 4 3 2 5 2" xfId="898"/>
    <cellStyle name="Calculation 2 2 4 3 2 6" xfId="899"/>
    <cellStyle name="Calculation 2 2 4 3 2 6 2" xfId="900"/>
    <cellStyle name="Calculation 2 2 4 3 2 7" xfId="901"/>
    <cellStyle name="Calculation 2 2 4 3 2 7 2" xfId="902"/>
    <cellStyle name="Calculation 2 2 4 3 2 8" xfId="903"/>
    <cellStyle name="Calculation 2 2 4 3 3" xfId="904"/>
    <cellStyle name="Calculation 2 2 4 3 3 2" xfId="905"/>
    <cellStyle name="Calculation 2 2 4 3 3 2 2" xfId="906"/>
    <cellStyle name="Calculation 2 2 4 3 3 2 2 2" xfId="907"/>
    <cellStyle name="Calculation 2 2 4 3 3 2 3" xfId="908"/>
    <cellStyle name="Calculation 2 2 4 3 3 2 3 2" xfId="909"/>
    <cellStyle name="Calculation 2 2 4 3 3 2 4" xfId="910"/>
    <cellStyle name="Calculation 2 2 4 3 3 3" xfId="911"/>
    <cellStyle name="Calculation 2 2 4 3 3 3 2" xfId="912"/>
    <cellStyle name="Calculation 2 2 4 3 3 3 2 2" xfId="913"/>
    <cellStyle name="Calculation 2 2 4 3 3 3 3" xfId="914"/>
    <cellStyle name="Calculation 2 2 4 3 3 3 3 2" xfId="915"/>
    <cellStyle name="Calculation 2 2 4 3 3 3 4" xfId="916"/>
    <cellStyle name="Calculation 2 2 4 3 3 4" xfId="917"/>
    <cellStyle name="Calculation 2 2 4 3 3 4 2" xfId="918"/>
    <cellStyle name="Calculation 2 2 4 3 3 5" xfId="919"/>
    <cellStyle name="Calculation 2 2 4 3 3 5 2" xfId="920"/>
    <cellStyle name="Calculation 2 2 4 3 3 6" xfId="921"/>
    <cellStyle name="Calculation 2 2 4 3 3 6 2" xfId="922"/>
    <cellStyle name="Calculation 2 2 4 3 3 7" xfId="923"/>
    <cellStyle name="Calculation 2 2 4 3 3 7 2" xfId="924"/>
    <cellStyle name="Calculation 2 2 4 3 3 8" xfId="925"/>
    <cellStyle name="Calculation 2 2 4 3 4" xfId="926"/>
    <cellStyle name="Calculation 2 2 4 3 4 2" xfId="927"/>
    <cellStyle name="Calculation 2 2 4 3 4 2 2" xfId="928"/>
    <cellStyle name="Calculation 2 2 4 3 4 3" xfId="929"/>
    <cellStyle name="Calculation 2 2 4 3 5" xfId="930"/>
    <cellStyle name="Calculation 2 2 4 3 5 2" xfId="931"/>
    <cellStyle name="Calculation 2 2 4 3 6" xfId="932"/>
    <cellStyle name="Calculation 2 2 4 3 6 2" xfId="933"/>
    <cellStyle name="Calculation 2 2 4 4" xfId="934"/>
    <cellStyle name="Calculation 2 2 4 4 2" xfId="935"/>
    <cellStyle name="Calculation 2 2 4 4 2 2" xfId="936"/>
    <cellStyle name="Calculation 2 2 4 4 2 2 2" xfId="937"/>
    <cellStyle name="Calculation 2 2 4 4 2 3" xfId="938"/>
    <cellStyle name="Calculation 2 2 4 4 2 3 2" xfId="939"/>
    <cellStyle name="Calculation 2 2 4 4 2 4" xfId="940"/>
    <cellStyle name="Calculation 2 2 4 4 3" xfId="941"/>
    <cellStyle name="Calculation 2 2 4 4 3 2" xfId="942"/>
    <cellStyle name="Calculation 2 2 4 4 3 2 2" xfId="943"/>
    <cellStyle name="Calculation 2 2 4 4 3 3" xfId="944"/>
    <cellStyle name="Calculation 2 2 4 4 3 3 2" xfId="945"/>
    <cellStyle name="Calculation 2 2 4 4 3 4" xfId="946"/>
    <cellStyle name="Calculation 2 2 4 4 4" xfId="947"/>
    <cellStyle name="Calculation 2 2 4 4 4 2" xfId="948"/>
    <cellStyle name="Calculation 2 2 4 4 4 2 2" xfId="949"/>
    <cellStyle name="Calculation 2 2 4 4 4 3" xfId="950"/>
    <cellStyle name="Calculation 2 2 4 4 5" xfId="951"/>
    <cellStyle name="Calculation 2 2 4 4 5 2" xfId="952"/>
    <cellStyle name="Calculation 2 2 4 4 6" xfId="953"/>
    <cellStyle name="Calculation 2 2 4 4 6 2" xfId="954"/>
    <cellStyle name="Calculation 2 2 4 4 7" xfId="955"/>
    <cellStyle name="Calculation 2 2 4 4 7 2" xfId="956"/>
    <cellStyle name="Calculation 2 2 4 4 8" xfId="957"/>
    <cellStyle name="Calculation 2 2 4 5" xfId="958"/>
    <cellStyle name="Calculation 2 2 4 5 2" xfId="959"/>
    <cellStyle name="Calculation 2 2 4 5 2 2" xfId="960"/>
    <cellStyle name="Calculation 2 2 4 5 2 2 2" xfId="961"/>
    <cellStyle name="Calculation 2 2 4 5 2 3" xfId="962"/>
    <cellStyle name="Calculation 2 2 4 5 2 3 2" xfId="963"/>
    <cellStyle name="Calculation 2 2 4 5 2 4" xfId="964"/>
    <cellStyle name="Calculation 2 2 4 5 3" xfId="965"/>
    <cellStyle name="Calculation 2 2 4 5 3 2" xfId="966"/>
    <cellStyle name="Calculation 2 2 4 5 3 2 2" xfId="967"/>
    <cellStyle name="Calculation 2 2 4 5 3 3" xfId="968"/>
    <cellStyle name="Calculation 2 2 4 5 3 3 2" xfId="969"/>
    <cellStyle name="Calculation 2 2 4 5 3 4" xfId="970"/>
    <cellStyle name="Calculation 2 2 4 5 4" xfId="971"/>
    <cellStyle name="Calculation 2 2 4 5 4 2" xfId="972"/>
    <cellStyle name="Calculation 2 2 4 5 4 2 2" xfId="973"/>
    <cellStyle name="Calculation 2 2 4 5 4 3" xfId="974"/>
    <cellStyle name="Calculation 2 2 4 5 5" xfId="975"/>
    <cellStyle name="Calculation 2 2 4 5 5 2" xfId="976"/>
    <cellStyle name="Calculation 2 2 4 5 6" xfId="977"/>
    <cellStyle name="Calculation 2 2 4 5 6 2" xfId="978"/>
    <cellStyle name="Calculation 2 2 4 5 7" xfId="979"/>
    <cellStyle name="Calculation 2 2 4 5 7 2" xfId="980"/>
    <cellStyle name="Calculation 2 2 4 5 8" xfId="981"/>
    <cellStyle name="Calculation 2 2 4 6" xfId="982"/>
    <cellStyle name="Calculation 2 2 4 6 2" xfId="983"/>
    <cellStyle name="Calculation 2 2 4 6 2 2" xfId="984"/>
    <cellStyle name="Calculation 2 2 4 6 2 2 2" xfId="985"/>
    <cellStyle name="Calculation 2 2 4 6 2 3" xfId="986"/>
    <cellStyle name="Calculation 2 2 4 6 2 3 2" xfId="987"/>
    <cellStyle name="Calculation 2 2 4 6 2 4" xfId="988"/>
    <cellStyle name="Calculation 2 2 4 6 3" xfId="989"/>
    <cellStyle name="Calculation 2 2 4 6 3 2" xfId="990"/>
    <cellStyle name="Calculation 2 2 4 6 3 2 2" xfId="991"/>
    <cellStyle name="Calculation 2 2 4 6 3 3" xfId="992"/>
    <cellStyle name="Calculation 2 2 4 6 3 3 2" xfId="993"/>
    <cellStyle name="Calculation 2 2 4 6 3 4" xfId="994"/>
    <cellStyle name="Calculation 2 2 4 6 4" xfId="995"/>
    <cellStyle name="Calculation 2 2 4 6 4 2" xfId="996"/>
    <cellStyle name="Calculation 2 2 4 6 5" xfId="997"/>
    <cellStyle name="Calculation 2 2 4 6 5 2" xfId="998"/>
    <cellStyle name="Calculation 2 2 4 6 6" xfId="999"/>
    <cellStyle name="Calculation 2 2 4 6 6 2" xfId="1000"/>
    <cellStyle name="Calculation 2 2 4 6 7" xfId="1001"/>
    <cellStyle name="Calculation 2 2 4 6 7 2" xfId="1002"/>
    <cellStyle name="Calculation 2 2 4 6 8" xfId="1003"/>
    <cellStyle name="Calculation 2 2 4 7" xfId="1004"/>
    <cellStyle name="Calculation 2 2 4 7 2" xfId="1005"/>
    <cellStyle name="Calculation 2 2 4 7 2 2" xfId="1006"/>
    <cellStyle name="Calculation 2 2 4 7 3" xfId="1007"/>
    <cellStyle name="Calculation 2 2 4 8" xfId="1008"/>
    <cellStyle name="Calculation 2 2 4 8 2" xfId="1009"/>
    <cellStyle name="Calculation 2 2 5" xfId="1010"/>
    <cellStyle name="Calculation 2 2 5 2" xfId="1011"/>
    <cellStyle name="Calculation 2 2 5 2 2" xfId="1012"/>
    <cellStyle name="Calculation 2 2 5 2 2 2" xfId="1013"/>
    <cellStyle name="Calculation 2 2 5 2 2 2 2" xfId="1014"/>
    <cellStyle name="Calculation 2 2 5 2 2 2 2 2" xfId="1015"/>
    <cellStyle name="Calculation 2 2 5 2 2 2 3" xfId="1016"/>
    <cellStyle name="Calculation 2 2 5 2 2 2 3 2" xfId="1017"/>
    <cellStyle name="Calculation 2 2 5 2 2 2 4" xfId="1018"/>
    <cellStyle name="Calculation 2 2 5 2 2 3" xfId="1019"/>
    <cellStyle name="Calculation 2 2 5 2 2 3 2" xfId="1020"/>
    <cellStyle name="Calculation 2 2 5 2 2 3 2 2" xfId="1021"/>
    <cellStyle name="Calculation 2 2 5 2 2 3 3" xfId="1022"/>
    <cellStyle name="Calculation 2 2 5 2 2 3 3 2" xfId="1023"/>
    <cellStyle name="Calculation 2 2 5 2 2 3 4" xfId="1024"/>
    <cellStyle name="Calculation 2 2 5 2 2 4" xfId="1025"/>
    <cellStyle name="Calculation 2 2 5 2 2 4 2" xfId="1026"/>
    <cellStyle name="Calculation 2 2 5 2 2 4 2 2" xfId="1027"/>
    <cellStyle name="Calculation 2 2 5 2 2 4 3" xfId="1028"/>
    <cellStyle name="Calculation 2 2 5 2 2 5" xfId="1029"/>
    <cellStyle name="Calculation 2 2 5 2 2 5 2" xfId="1030"/>
    <cellStyle name="Calculation 2 2 5 2 2 6" xfId="1031"/>
    <cellStyle name="Calculation 2 2 5 2 2 6 2" xfId="1032"/>
    <cellStyle name="Calculation 2 2 5 2 2 7" xfId="1033"/>
    <cellStyle name="Calculation 2 2 5 2 2 7 2" xfId="1034"/>
    <cellStyle name="Calculation 2 2 5 2 2 8" xfId="1035"/>
    <cellStyle name="Calculation 2 2 5 2 3" xfId="1036"/>
    <cellStyle name="Calculation 2 2 5 2 3 2" xfId="1037"/>
    <cellStyle name="Calculation 2 2 5 2 3 2 2" xfId="1038"/>
    <cellStyle name="Calculation 2 2 5 2 3 2 2 2" xfId="1039"/>
    <cellStyle name="Calculation 2 2 5 2 3 2 3" xfId="1040"/>
    <cellStyle name="Calculation 2 2 5 2 3 2 3 2" xfId="1041"/>
    <cellStyle name="Calculation 2 2 5 2 3 2 4" xfId="1042"/>
    <cellStyle name="Calculation 2 2 5 2 3 3" xfId="1043"/>
    <cellStyle name="Calculation 2 2 5 2 3 3 2" xfId="1044"/>
    <cellStyle name="Calculation 2 2 5 2 3 3 2 2" xfId="1045"/>
    <cellStyle name="Calculation 2 2 5 2 3 3 3" xfId="1046"/>
    <cellStyle name="Calculation 2 2 5 2 3 3 3 2" xfId="1047"/>
    <cellStyle name="Calculation 2 2 5 2 3 3 4" xfId="1048"/>
    <cellStyle name="Calculation 2 2 5 2 3 4" xfId="1049"/>
    <cellStyle name="Calculation 2 2 5 2 3 4 2" xfId="1050"/>
    <cellStyle name="Calculation 2 2 5 2 3 5" xfId="1051"/>
    <cellStyle name="Calculation 2 2 5 2 3 5 2" xfId="1052"/>
    <cellStyle name="Calculation 2 2 5 2 3 6" xfId="1053"/>
    <cellStyle name="Calculation 2 2 5 2 3 6 2" xfId="1054"/>
    <cellStyle name="Calculation 2 2 5 2 3 7" xfId="1055"/>
    <cellStyle name="Calculation 2 2 5 2 3 7 2" xfId="1056"/>
    <cellStyle name="Calculation 2 2 5 2 3 8" xfId="1057"/>
    <cellStyle name="Calculation 2 2 5 2 4" xfId="1058"/>
    <cellStyle name="Calculation 2 2 5 2 4 2" xfId="1059"/>
    <cellStyle name="Calculation 2 2 5 2 4 2 2" xfId="1060"/>
    <cellStyle name="Calculation 2 2 5 2 4 3" xfId="1061"/>
    <cellStyle name="Calculation 2 2 5 2 5" xfId="1062"/>
    <cellStyle name="Calculation 2 2 5 2 5 2" xfId="1063"/>
    <cellStyle name="Calculation 2 2 5 2 6" xfId="1064"/>
    <cellStyle name="Calculation 2 2 5 2 6 2" xfId="1065"/>
    <cellStyle name="Calculation 2 2 5 3" xfId="1066"/>
    <cellStyle name="Calculation 2 2 5 3 2" xfId="1067"/>
    <cellStyle name="Calculation 2 2 5 3 2 2" xfId="1068"/>
    <cellStyle name="Calculation 2 2 5 3 2 2 2" xfId="1069"/>
    <cellStyle name="Calculation 2 2 5 3 2 2 2 2" xfId="1070"/>
    <cellStyle name="Calculation 2 2 5 3 2 2 3" xfId="1071"/>
    <cellStyle name="Calculation 2 2 5 3 2 2 3 2" xfId="1072"/>
    <cellStyle name="Calculation 2 2 5 3 2 2 4" xfId="1073"/>
    <cellStyle name="Calculation 2 2 5 3 2 3" xfId="1074"/>
    <cellStyle name="Calculation 2 2 5 3 2 3 2" xfId="1075"/>
    <cellStyle name="Calculation 2 2 5 3 2 3 2 2" xfId="1076"/>
    <cellStyle name="Calculation 2 2 5 3 2 3 3" xfId="1077"/>
    <cellStyle name="Calculation 2 2 5 3 2 3 3 2" xfId="1078"/>
    <cellStyle name="Calculation 2 2 5 3 2 3 4" xfId="1079"/>
    <cellStyle name="Calculation 2 2 5 3 2 4" xfId="1080"/>
    <cellStyle name="Calculation 2 2 5 3 2 4 2" xfId="1081"/>
    <cellStyle name="Calculation 2 2 5 3 2 4 2 2" xfId="1082"/>
    <cellStyle name="Calculation 2 2 5 3 2 4 3" xfId="1083"/>
    <cellStyle name="Calculation 2 2 5 3 2 5" xfId="1084"/>
    <cellStyle name="Calculation 2 2 5 3 2 5 2" xfId="1085"/>
    <cellStyle name="Calculation 2 2 5 3 2 6" xfId="1086"/>
    <cellStyle name="Calculation 2 2 5 3 2 6 2" xfId="1087"/>
    <cellStyle name="Calculation 2 2 5 3 2 7" xfId="1088"/>
    <cellStyle name="Calculation 2 2 5 3 2 7 2" xfId="1089"/>
    <cellStyle name="Calculation 2 2 5 3 2 8" xfId="1090"/>
    <cellStyle name="Calculation 2 2 5 3 3" xfId="1091"/>
    <cellStyle name="Calculation 2 2 5 3 3 2" xfId="1092"/>
    <cellStyle name="Calculation 2 2 5 3 3 2 2" xfId="1093"/>
    <cellStyle name="Calculation 2 2 5 3 3 2 2 2" xfId="1094"/>
    <cellStyle name="Calculation 2 2 5 3 3 2 3" xfId="1095"/>
    <cellStyle name="Calculation 2 2 5 3 3 2 3 2" xfId="1096"/>
    <cellStyle name="Calculation 2 2 5 3 3 2 4" xfId="1097"/>
    <cellStyle name="Calculation 2 2 5 3 3 3" xfId="1098"/>
    <cellStyle name="Calculation 2 2 5 3 3 3 2" xfId="1099"/>
    <cellStyle name="Calculation 2 2 5 3 3 3 2 2" xfId="1100"/>
    <cellStyle name="Calculation 2 2 5 3 3 3 3" xfId="1101"/>
    <cellStyle name="Calculation 2 2 5 3 3 3 3 2" xfId="1102"/>
    <cellStyle name="Calculation 2 2 5 3 3 3 4" xfId="1103"/>
    <cellStyle name="Calculation 2 2 5 3 3 4" xfId="1104"/>
    <cellStyle name="Calculation 2 2 5 3 3 4 2" xfId="1105"/>
    <cellStyle name="Calculation 2 2 5 3 3 5" xfId="1106"/>
    <cellStyle name="Calculation 2 2 5 3 3 5 2" xfId="1107"/>
    <cellStyle name="Calculation 2 2 5 3 3 6" xfId="1108"/>
    <cellStyle name="Calculation 2 2 5 3 3 6 2" xfId="1109"/>
    <cellStyle name="Calculation 2 2 5 3 3 7" xfId="1110"/>
    <cellStyle name="Calculation 2 2 5 3 3 7 2" xfId="1111"/>
    <cellStyle name="Calculation 2 2 5 3 3 8" xfId="1112"/>
    <cellStyle name="Calculation 2 2 5 3 4" xfId="1113"/>
    <cellStyle name="Calculation 2 2 5 3 4 2" xfId="1114"/>
    <cellStyle name="Calculation 2 2 5 3 4 2 2" xfId="1115"/>
    <cellStyle name="Calculation 2 2 5 3 4 3" xfId="1116"/>
    <cellStyle name="Calculation 2 2 5 3 5" xfId="1117"/>
    <cellStyle name="Calculation 2 2 5 3 5 2" xfId="1118"/>
    <cellStyle name="Calculation 2 2 5 3 6" xfId="1119"/>
    <cellStyle name="Calculation 2 2 5 3 6 2" xfId="1120"/>
    <cellStyle name="Calculation 2 2 5 4" xfId="1121"/>
    <cellStyle name="Calculation 2 2 5 4 2" xfId="1122"/>
    <cellStyle name="Calculation 2 2 5 4 2 2" xfId="1123"/>
    <cellStyle name="Calculation 2 2 5 4 2 2 2" xfId="1124"/>
    <cellStyle name="Calculation 2 2 5 4 2 3" xfId="1125"/>
    <cellStyle name="Calculation 2 2 5 4 2 3 2" xfId="1126"/>
    <cellStyle name="Calculation 2 2 5 4 2 4" xfId="1127"/>
    <cellStyle name="Calculation 2 2 5 4 3" xfId="1128"/>
    <cellStyle name="Calculation 2 2 5 4 3 2" xfId="1129"/>
    <cellStyle name="Calculation 2 2 5 4 3 2 2" xfId="1130"/>
    <cellStyle name="Calculation 2 2 5 4 3 3" xfId="1131"/>
    <cellStyle name="Calculation 2 2 5 4 3 3 2" xfId="1132"/>
    <cellStyle name="Calculation 2 2 5 4 3 4" xfId="1133"/>
    <cellStyle name="Calculation 2 2 5 4 4" xfId="1134"/>
    <cellStyle name="Calculation 2 2 5 4 4 2" xfId="1135"/>
    <cellStyle name="Calculation 2 2 5 4 4 2 2" xfId="1136"/>
    <cellStyle name="Calculation 2 2 5 4 4 3" xfId="1137"/>
    <cellStyle name="Calculation 2 2 5 4 5" xfId="1138"/>
    <cellStyle name="Calculation 2 2 5 4 5 2" xfId="1139"/>
    <cellStyle name="Calculation 2 2 5 4 6" xfId="1140"/>
    <cellStyle name="Calculation 2 2 5 4 6 2" xfId="1141"/>
    <cellStyle name="Calculation 2 2 5 4 7" xfId="1142"/>
    <cellStyle name="Calculation 2 2 5 4 7 2" xfId="1143"/>
    <cellStyle name="Calculation 2 2 5 4 8" xfId="1144"/>
    <cellStyle name="Calculation 2 2 5 5" xfId="1145"/>
    <cellStyle name="Calculation 2 2 5 5 2" xfId="1146"/>
    <cellStyle name="Calculation 2 2 5 5 2 2" xfId="1147"/>
    <cellStyle name="Calculation 2 2 5 5 2 2 2" xfId="1148"/>
    <cellStyle name="Calculation 2 2 5 5 2 3" xfId="1149"/>
    <cellStyle name="Calculation 2 2 5 5 2 3 2" xfId="1150"/>
    <cellStyle name="Calculation 2 2 5 5 2 4" xfId="1151"/>
    <cellStyle name="Calculation 2 2 5 5 3" xfId="1152"/>
    <cellStyle name="Calculation 2 2 5 5 3 2" xfId="1153"/>
    <cellStyle name="Calculation 2 2 5 5 3 2 2" xfId="1154"/>
    <cellStyle name="Calculation 2 2 5 5 3 3" xfId="1155"/>
    <cellStyle name="Calculation 2 2 5 5 3 3 2" xfId="1156"/>
    <cellStyle name="Calculation 2 2 5 5 3 4" xfId="1157"/>
    <cellStyle name="Calculation 2 2 5 5 4" xfId="1158"/>
    <cellStyle name="Calculation 2 2 5 5 4 2" xfId="1159"/>
    <cellStyle name="Calculation 2 2 5 5 4 2 2" xfId="1160"/>
    <cellStyle name="Calculation 2 2 5 5 4 3" xfId="1161"/>
    <cellStyle name="Calculation 2 2 5 5 5" xfId="1162"/>
    <cellStyle name="Calculation 2 2 5 5 5 2" xfId="1163"/>
    <cellStyle name="Calculation 2 2 5 5 6" xfId="1164"/>
    <cellStyle name="Calculation 2 2 5 5 6 2" xfId="1165"/>
    <cellStyle name="Calculation 2 2 5 5 7" xfId="1166"/>
    <cellStyle name="Calculation 2 2 5 5 7 2" xfId="1167"/>
    <cellStyle name="Calculation 2 2 5 5 8" xfId="1168"/>
    <cellStyle name="Calculation 2 2 5 6" xfId="1169"/>
    <cellStyle name="Calculation 2 2 5 6 2" xfId="1170"/>
    <cellStyle name="Calculation 2 2 5 6 2 2" xfId="1171"/>
    <cellStyle name="Calculation 2 2 5 6 2 2 2" xfId="1172"/>
    <cellStyle name="Calculation 2 2 5 6 2 3" xfId="1173"/>
    <cellStyle name="Calculation 2 2 5 6 2 3 2" xfId="1174"/>
    <cellStyle name="Calculation 2 2 5 6 2 4" xfId="1175"/>
    <cellStyle name="Calculation 2 2 5 6 3" xfId="1176"/>
    <cellStyle name="Calculation 2 2 5 6 3 2" xfId="1177"/>
    <cellStyle name="Calculation 2 2 5 6 3 2 2" xfId="1178"/>
    <cellStyle name="Calculation 2 2 5 6 3 3" xfId="1179"/>
    <cellStyle name="Calculation 2 2 5 6 3 3 2" xfId="1180"/>
    <cellStyle name="Calculation 2 2 5 6 3 4" xfId="1181"/>
    <cellStyle name="Calculation 2 2 5 6 4" xfId="1182"/>
    <cellStyle name="Calculation 2 2 5 6 4 2" xfId="1183"/>
    <cellStyle name="Calculation 2 2 5 6 5" xfId="1184"/>
    <cellStyle name="Calculation 2 2 5 6 5 2" xfId="1185"/>
    <cellStyle name="Calculation 2 2 5 6 6" xfId="1186"/>
    <cellStyle name="Calculation 2 2 5 6 6 2" xfId="1187"/>
    <cellStyle name="Calculation 2 2 5 6 7" xfId="1188"/>
    <cellStyle name="Calculation 2 2 5 6 7 2" xfId="1189"/>
    <cellStyle name="Calculation 2 2 5 6 8" xfId="1190"/>
    <cellStyle name="Calculation 2 2 5 7" xfId="1191"/>
    <cellStyle name="Calculation 2 2 5 7 2" xfId="1192"/>
    <cellStyle name="Calculation 2 2 5 7 2 2" xfId="1193"/>
    <cellStyle name="Calculation 2 2 5 7 3" xfId="1194"/>
    <cellStyle name="Calculation 2 2 5 8" xfId="1195"/>
    <cellStyle name="Calculation 2 2 5 8 2" xfId="1196"/>
    <cellStyle name="Calculation 2 2 6" xfId="1197"/>
    <cellStyle name="Calculation 2 2 6 2" xfId="1198"/>
    <cellStyle name="Calculation 2 2 6 2 2" xfId="1199"/>
    <cellStyle name="Calculation 2 2 6 2 2 2" xfId="1200"/>
    <cellStyle name="Calculation 2 2 6 2 2 2 2" xfId="1201"/>
    <cellStyle name="Calculation 2 2 6 2 2 2 2 2" xfId="1202"/>
    <cellStyle name="Calculation 2 2 6 2 2 2 3" xfId="1203"/>
    <cellStyle name="Calculation 2 2 6 2 2 2 3 2" xfId="1204"/>
    <cellStyle name="Calculation 2 2 6 2 2 2 4" xfId="1205"/>
    <cellStyle name="Calculation 2 2 6 2 2 3" xfId="1206"/>
    <cellStyle name="Calculation 2 2 6 2 2 3 2" xfId="1207"/>
    <cellStyle name="Calculation 2 2 6 2 2 3 2 2" xfId="1208"/>
    <cellStyle name="Calculation 2 2 6 2 2 3 3" xfId="1209"/>
    <cellStyle name="Calculation 2 2 6 2 2 3 3 2" xfId="1210"/>
    <cellStyle name="Calculation 2 2 6 2 2 3 4" xfId="1211"/>
    <cellStyle name="Calculation 2 2 6 2 2 4" xfId="1212"/>
    <cellStyle name="Calculation 2 2 6 2 2 4 2" xfId="1213"/>
    <cellStyle name="Calculation 2 2 6 2 2 4 2 2" xfId="1214"/>
    <cellStyle name="Calculation 2 2 6 2 2 4 3" xfId="1215"/>
    <cellStyle name="Calculation 2 2 6 2 2 5" xfId="1216"/>
    <cellStyle name="Calculation 2 2 6 2 2 5 2" xfId="1217"/>
    <cellStyle name="Calculation 2 2 6 2 2 6" xfId="1218"/>
    <cellStyle name="Calculation 2 2 6 2 2 6 2" xfId="1219"/>
    <cellStyle name="Calculation 2 2 6 2 2 7" xfId="1220"/>
    <cellStyle name="Calculation 2 2 6 2 2 7 2" xfId="1221"/>
    <cellStyle name="Calculation 2 2 6 2 2 8" xfId="1222"/>
    <cellStyle name="Calculation 2 2 6 2 3" xfId="1223"/>
    <cellStyle name="Calculation 2 2 6 2 3 2" xfId="1224"/>
    <cellStyle name="Calculation 2 2 6 2 3 2 2" xfId="1225"/>
    <cellStyle name="Calculation 2 2 6 2 3 2 2 2" xfId="1226"/>
    <cellStyle name="Calculation 2 2 6 2 3 2 3" xfId="1227"/>
    <cellStyle name="Calculation 2 2 6 2 3 2 3 2" xfId="1228"/>
    <cellStyle name="Calculation 2 2 6 2 3 2 4" xfId="1229"/>
    <cellStyle name="Calculation 2 2 6 2 3 3" xfId="1230"/>
    <cellStyle name="Calculation 2 2 6 2 3 3 2" xfId="1231"/>
    <cellStyle name="Calculation 2 2 6 2 3 3 2 2" xfId="1232"/>
    <cellStyle name="Calculation 2 2 6 2 3 3 3" xfId="1233"/>
    <cellStyle name="Calculation 2 2 6 2 3 3 3 2" xfId="1234"/>
    <cellStyle name="Calculation 2 2 6 2 3 3 4" xfId="1235"/>
    <cellStyle name="Calculation 2 2 6 2 3 4" xfId="1236"/>
    <cellStyle name="Calculation 2 2 6 2 3 4 2" xfId="1237"/>
    <cellStyle name="Calculation 2 2 6 2 3 5" xfId="1238"/>
    <cellStyle name="Calculation 2 2 6 2 3 5 2" xfId="1239"/>
    <cellStyle name="Calculation 2 2 6 2 3 6" xfId="1240"/>
    <cellStyle name="Calculation 2 2 6 2 3 6 2" xfId="1241"/>
    <cellStyle name="Calculation 2 2 6 2 3 7" xfId="1242"/>
    <cellStyle name="Calculation 2 2 6 2 3 7 2" xfId="1243"/>
    <cellStyle name="Calculation 2 2 6 2 3 8" xfId="1244"/>
    <cellStyle name="Calculation 2 2 6 2 4" xfId="1245"/>
    <cellStyle name="Calculation 2 2 6 2 4 2" xfId="1246"/>
    <cellStyle name="Calculation 2 2 6 2 4 2 2" xfId="1247"/>
    <cellStyle name="Calculation 2 2 6 2 4 3" xfId="1248"/>
    <cellStyle name="Calculation 2 2 6 2 5" xfId="1249"/>
    <cellStyle name="Calculation 2 2 6 2 5 2" xfId="1250"/>
    <cellStyle name="Calculation 2 2 6 2 6" xfId="1251"/>
    <cellStyle name="Calculation 2 2 6 2 6 2" xfId="1252"/>
    <cellStyle name="Calculation 2 2 6 3" xfId="1253"/>
    <cellStyle name="Calculation 2 2 6 3 2" xfId="1254"/>
    <cellStyle name="Calculation 2 2 6 3 2 2" xfId="1255"/>
    <cellStyle name="Calculation 2 2 6 3 2 2 2" xfId="1256"/>
    <cellStyle name="Calculation 2 2 6 3 2 2 2 2" xfId="1257"/>
    <cellStyle name="Calculation 2 2 6 3 2 2 3" xfId="1258"/>
    <cellStyle name="Calculation 2 2 6 3 2 2 3 2" xfId="1259"/>
    <cellStyle name="Calculation 2 2 6 3 2 2 4" xfId="1260"/>
    <cellStyle name="Calculation 2 2 6 3 2 3" xfId="1261"/>
    <cellStyle name="Calculation 2 2 6 3 2 3 2" xfId="1262"/>
    <cellStyle name="Calculation 2 2 6 3 2 3 2 2" xfId="1263"/>
    <cellStyle name="Calculation 2 2 6 3 2 3 3" xfId="1264"/>
    <cellStyle name="Calculation 2 2 6 3 2 3 3 2" xfId="1265"/>
    <cellStyle name="Calculation 2 2 6 3 2 3 4" xfId="1266"/>
    <cellStyle name="Calculation 2 2 6 3 2 4" xfId="1267"/>
    <cellStyle name="Calculation 2 2 6 3 2 4 2" xfId="1268"/>
    <cellStyle name="Calculation 2 2 6 3 2 4 2 2" xfId="1269"/>
    <cellStyle name="Calculation 2 2 6 3 2 4 3" xfId="1270"/>
    <cellStyle name="Calculation 2 2 6 3 2 5" xfId="1271"/>
    <cellStyle name="Calculation 2 2 6 3 2 5 2" xfId="1272"/>
    <cellStyle name="Calculation 2 2 6 3 2 6" xfId="1273"/>
    <cellStyle name="Calculation 2 2 6 3 2 6 2" xfId="1274"/>
    <cellStyle name="Calculation 2 2 6 3 2 7" xfId="1275"/>
    <cellStyle name="Calculation 2 2 6 3 2 7 2" xfId="1276"/>
    <cellStyle name="Calculation 2 2 6 3 2 8" xfId="1277"/>
    <cellStyle name="Calculation 2 2 6 3 3" xfId="1278"/>
    <cellStyle name="Calculation 2 2 6 3 3 2" xfId="1279"/>
    <cellStyle name="Calculation 2 2 6 3 3 2 2" xfId="1280"/>
    <cellStyle name="Calculation 2 2 6 3 3 2 2 2" xfId="1281"/>
    <cellStyle name="Calculation 2 2 6 3 3 2 3" xfId="1282"/>
    <cellStyle name="Calculation 2 2 6 3 3 2 3 2" xfId="1283"/>
    <cellStyle name="Calculation 2 2 6 3 3 2 4" xfId="1284"/>
    <cellStyle name="Calculation 2 2 6 3 3 3" xfId="1285"/>
    <cellStyle name="Calculation 2 2 6 3 3 3 2" xfId="1286"/>
    <cellStyle name="Calculation 2 2 6 3 3 3 2 2" xfId="1287"/>
    <cellStyle name="Calculation 2 2 6 3 3 3 3" xfId="1288"/>
    <cellStyle name="Calculation 2 2 6 3 3 3 3 2" xfId="1289"/>
    <cellStyle name="Calculation 2 2 6 3 3 3 4" xfId="1290"/>
    <cellStyle name="Calculation 2 2 6 3 3 4" xfId="1291"/>
    <cellStyle name="Calculation 2 2 6 3 3 4 2" xfId="1292"/>
    <cellStyle name="Calculation 2 2 6 3 3 5" xfId="1293"/>
    <cellStyle name="Calculation 2 2 6 3 3 5 2" xfId="1294"/>
    <cellStyle name="Calculation 2 2 6 3 3 6" xfId="1295"/>
    <cellStyle name="Calculation 2 2 6 3 3 6 2" xfId="1296"/>
    <cellStyle name="Calculation 2 2 6 3 3 7" xfId="1297"/>
    <cellStyle name="Calculation 2 2 6 3 3 7 2" xfId="1298"/>
    <cellStyle name="Calculation 2 2 6 3 3 8" xfId="1299"/>
    <cellStyle name="Calculation 2 2 6 3 4" xfId="1300"/>
    <cellStyle name="Calculation 2 2 6 3 4 2" xfId="1301"/>
    <cellStyle name="Calculation 2 2 6 3 4 2 2" xfId="1302"/>
    <cellStyle name="Calculation 2 2 6 3 4 3" xfId="1303"/>
    <cellStyle name="Calculation 2 2 6 3 5" xfId="1304"/>
    <cellStyle name="Calculation 2 2 6 3 5 2" xfId="1305"/>
    <cellStyle name="Calculation 2 2 6 3 6" xfId="1306"/>
    <cellStyle name="Calculation 2 2 6 3 6 2" xfId="1307"/>
    <cellStyle name="Calculation 2 2 6 4" xfId="1308"/>
    <cellStyle name="Calculation 2 2 6 4 2" xfId="1309"/>
    <cellStyle name="Calculation 2 2 6 4 2 2" xfId="1310"/>
    <cellStyle name="Calculation 2 2 6 4 2 2 2" xfId="1311"/>
    <cellStyle name="Calculation 2 2 6 4 2 3" xfId="1312"/>
    <cellStyle name="Calculation 2 2 6 4 2 3 2" xfId="1313"/>
    <cellStyle name="Calculation 2 2 6 4 2 4" xfId="1314"/>
    <cellStyle name="Calculation 2 2 6 4 3" xfId="1315"/>
    <cellStyle name="Calculation 2 2 6 4 3 2" xfId="1316"/>
    <cellStyle name="Calculation 2 2 6 4 3 2 2" xfId="1317"/>
    <cellStyle name="Calculation 2 2 6 4 3 3" xfId="1318"/>
    <cellStyle name="Calculation 2 2 6 4 3 3 2" xfId="1319"/>
    <cellStyle name="Calculation 2 2 6 4 3 4" xfId="1320"/>
    <cellStyle name="Calculation 2 2 6 4 4" xfId="1321"/>
    <cellStyle name="Calculation 2 2 6 4 4 2" xfId="1322"/>
    <cellStyle name="Calculation 2 2 6 4 4 2 2" xfId="1323"/>
    <cellStyle name="Calculation 2 2 6 4 4 3" xfId="1324"/>
    <cellStyle name="Calculation 2 2 6 4 5" xfId="1325"/>
    <cellStyle name="Calculation 2 2 6 4 5 2" xfId="1326"/>
    <cellStyle name="Calculation 2 2 6 4 6" xfId="1327"/>
    <cellStyle name="Calculation 2 2 6 4 6 2" xfId="1328"/>
    <cellStyle name="Calculation 2 2 6 4 7" xfId="1329"/>
    <cellStyle name="Calculation 2 2 6 4 7 2" xfId="1330"/>
    <cellStyle name="Calculation 2 2 6 4 8" xfId="1331"/>
    <cellStyle name="Calculation 2 2 6 5" xfId="1332"/>
    <cellStyle name="Calculation 2 2 6 5 2" xfId="1333"/>
    <cellStyle name="Calculation 2 2 6 5 2 2" xfId="1334"/>
    <cellStyle name="Calculation 2 2 6 5 2 2 2" xfId="1335"/>
    <cellStyle name="Calculation 2 2 6 5 2 3" xfId="1336"/>
    <cellStyle name="Calculation 2 2 6 5 2 3 2" xfId="1337"/>
    <cellStyle name="Calculation 2 2 6 5 2 4" xfId="1338"/>
    <cellStyle name="Calculation 2 2 6 5 3" xfId="1339"/>
    <cellStyle name="Calculation 2 2 6 5 3 2" xfId="1340"/>
    <cellStyle name="Calculation 2 2 6 5 3 2 2" xfId="1341"/>
    <cellStyle name="Calculation 2 2 6 5 3 3" xfId="1342"/>
    <cellStyle name="Calculation 2 2 6 5 3 3 2" xfId="1343"/>
    <cellStyle name="Calculation 2 2 6 5 3 4" xfId="1344"/>
    <cellStyle name="Calculation 2 2 6 5 4" xfId="1345"/>
    <cellStyle name="Calculation 2 2 6 5 4 2" xfId="1346"/>
    <cellStyle name="Calculation 2 2 6 5 4 2 2" xfId="1347"/>
    <cellStyle name="Calculation 2 2 6 5 4 3" xfId="1348"/>
    <cellStyle name="Calculation 2 2 6 5 5" xfId="1349"/>
    <cellStyle name="Calculation 2 2 6 5 5 2" xfId="1350"/>
    <cellStyle name="Calculation 2 2 6 5 6" xfId="1351"/>
    <cellStyle name="Calculation 2 2 6 5 6 2" xfId="1352"/>
    <cellStyle name="Calculation 2 2 6 5 7" xfId="1353"/>
    <cellStyle name="Calculation 2 2 6 5 7 2" xfId="1354"/>
    <cellStyle name="Calculation 2 2 6 5 8" xfId="1355"/>
    <cellStyle name="Calculation 2 2 6 6" xfId="1356"/>
    <cellStyle name="Calculation 2 2 6 6 2" xfId="1357"/>
    <cellStyle name="Calculation 2 2 6 6 2 2" xfId="1358"/>
    <cellStyle name="Calculation 2 2 6 6 2 2 2" xfId="1359"/>
    <cellStyle name="Calculation 2 2 6 6 2 3" xfId="1360"/>
    <cellStyle name="Calculation 2 2 6 6 2 3 2" xfId="1361"/>
    <cellStyle name="Calculation 2 2 6 6 2 4" xfId="1362"/>
    <cellStyle name="Calculation 2 2 6 6 3" xfId="1363"/>
    <cellStyle name="Calculation 2 2 6 6 3 2" xfId="1364"/>
    <cellStyle name="Calculation 2 2 6 6 3 2 2" xfId="1365"/>
    <cellStyle name="Calculation 2 2 6 6 3 3" xfId="1366"/>
    <cellStyle name="Calculation 2 2 6 6 3 3 2" xfId="1367"/>
    <cellStyle name="Calculation 2 2 6 6 3 4" xfId="1368"/>
    <cellStyle name="Calculation 2 2 6 6 4" xfId="1369"/>
    <cellStyle name="Calculation 2 2 6 6 4 2" xfId="1370"/>
    <cellStyle name="Calculation 2 2 6 6 5" xfId="1371"/>
    <cellStyle name="Calculation 2 2 6 6 5 2" xfId="1372"/>
    <cellStyle name="Calculation 2 2 6 6 6" xfId="1373"/>
    <cellStyle name="Calculation 2 2 6 6 6 2" xfId="1374"/>
    <cellStyle name="Calculation 2 2 6 6 7" xfId="1375"/>
    <cellStyle name="Calculation 2 2 6 6 7 2" xfId="1376"/>
    <cellStyle name="Calculation 2 2 6 6 8" xfId="1377"/>
    <cellStyle name="Calculation 2 2 6 7" xfId="1378"/>
    <cellStyle name="Calculation 2 2 6 7 2" xfId="1379"/>
    <cellStyle name="Calculation 2 2 6 7 2 2" xfId="1380"/>
    <cellStyle name="Calculation 2 2 6 7 3" xfId="1381"/>
    <cellStyle name="Calculation 2 2 6 8" xfId="1382"/>
    <cellStyle name="Calculation 2 2 6 8 2" xfId="1383"/>
    <cellStyle name="Calculation 2 2 7" xfId="1384"/>
    <cellStyle name="Calculation 2 2 7 2" xfId="1385"/>
    <cellStyle name="Calculation 2 2 7 2 2" xfId="1386"/>
    <cellStyle name="Calculation 2 2 7 2 2 2" xfId="1387"/>
    <cellStyle name="Calculation 2 2 7 2 2 2 2" xfId="1388"/>
    <cellStyle name="Calculation 2 2 7 2 2 2 2 2" xfId="1389"/>
    <cellStyle name="Calculation 2 2 7 2 2 2 3" xfId="1390"/>
    <cellStyle name="Calculation 2 2 7 2 2 2 3 2" xfId="1391"/>
    <cellStyle name="Calculation 2 2 7 2 2 2 4" xfId="1392"/>
    <cellStyle name="Calculation 2 2 7 2 2 3" xfId="1393"/>
    <cellStyle name="Calculation 2 2 7 2 2 3 2" xfId="1394"/>
    <cellStyle name="Calculation 2 2 7 2 2 3 2 2" xfId="1395"/>
    <cellStyle name="Calculation 2 2 7 2 2 3 3" xfId="1396"/>
    <cellStyle name="Calculation 2 2 7 2 2 3 3 2" xfId="1397"/>
    <cellStyle name="Calculation 2 2 7 2 2 3 4" xfId="1398"/>
    <cellStyle name="Calculation 2 2 7 2 2 4" xfId="1399"/>
    <cellStyle name="Calculation 2 2 7 2 2 4 2" xfId="1400"/>
    <cellStyle name="Calculation 2 2 7 2 2 4 2 2" xfId="1401"/>
    <cellStyle name="Calculation 2 2 7 2 2 4 3" xfId="1402"/>
    <cellStyle name="Calculation 2 2 7 2 2 5" xfId="1403"/>
    <cellStyle name="Calculation 2 2 7 2 2 5 2" xfId="1404"/>
    <cellStyle name="Calculation 2 2 7 2 2 6" xfId="1405"/>
    <cellStyle name="Calculation 2 2 7 2 2 6 2" xfId="1406"/>
    <cellStyle name="Calculation 2 2 7 2 2 7" xfId="1407"/>
    <cellStyle name="Calculation 2 2 7 2 2 7 2" xfId="1408"/>
    <cellStyle name="Calculation 2 2 7 2 2 8" xfId="1409"/>
    <cellStyle name="Calculation 2 2 7 2 3" xfId="1410"/>
    <cellStyle name="Calculation 2 2 7 2 3 2" xfId="1411"/>
    <cellStyle name="Calculation 2 2 7 2 3 2 2" xfId="1412"/>
    <cellStyle name="Calculation 2 2 7 2 3 2 2 2" xfId="1413"/>
    <cellStyle name="Calculation 2 2 7 2 3 2 3" xfId="1414"/>
    <cellStyle name="Calculation 2 2 7 2 3 2 3 2" xfId="1415"/>
    <cellStyle name="Calculation 2 2 7 2 3 2 4" xfId="1416"/>
    <cellStyle name="Calculation 2 2 7 2 3 3" xfId="1417"/>
    <cellStyle name="Calculation 2 2 7 2 3 3 2" xfId="1418"/>
    <cellStyle name="Calculation 2 2 7 2 3 3 2 2" xfId="1419"/>
    <cellStyle name="Calculation 2 2 7 2 3 3 3" xfId="1420"/>
    <cellStyle name="Calculation 2 2 7 2 3 3 3 2" xfId="1421"/>
    <cellStyle name="Calculation 2 2 7 2 3 3 4" xfId="1422"/>
    <cellStyle name="Calculation 2 2 7 2 3 4" xfId="1423"/>
    <cellStyle name="Calculation 2 2 7 2 3 4 2" xfId="1424"/>
    <cellStyle name="Calculation 2 2 7 2 3 5" xfId="1425"/>
    <cellStyle name="Calculation 2 2 7 2 3 5 2" xfId="1426"/>
    <cellStyle name="Calculation 2 2 7 2 3 6" xfId="1427"/>
    <cellStyle name="Calculation 2 2 7 2 3 6 2" xfId="1428"/>
    <cellStyle name="Calculation 2 2 7 2 3 7" xfId="1429"/>
    <cellStyle name="Calculation 2 2 7 2 3 7 2" xfId="1430"/>
    <cellStyle name="Calculation 2 2 7 2 3 8" xfId="1431"/>
    <cellStyle name="Calculation 2 2 7 2 4" xfId="1432"/>
    <cellStyle name="Calculation 2 2 7 2 4 2" xfId="1433"/>
    <cellStyle name="Calculation 2 2 7 2 4 2 2" xfId="1434"/>
    <cellStyle name="Calculation 2 2 7 2 4 3" xfId="1435"/>
    <cellStyle name="Calculation 2 2 7 2 5" xfId="1436"/>
    <cellStyle name="Calculation 2 2 7 2 5 2" xfId="1437"/>
    <cellStyle name="Calculation 2 2 7 2 6" xfId="1438"/>
    <cellStyle name="Calculation 2 2 7 2 6 2" xfId="1439"/>
    <cellStyle name="Calculation 2 2 7 3" xfId="1440"/>
    <cellStyle name="Calculation 2 2 7 3 2" xfId="1441"/>
    <cellStyle name="Calculation 2 2 7 3 2 2" xfId="1442"/>
    <cellStyle name="Calculation 2 2 7 3 2 2 2" xfId="1443"/>
    <cellStyle name="Calculation 2 2 7 3 2 2 2 2" xfId="1444"/>
    <cellStyle name="Calculation 2 2 7 3 2 2 3" xfId="1445"/>
    <cellStyle name="Calculation 2 2 7 3 2 2 3 2" xfId="1446"/>
    <cellStyle name="Calculation 2 2 7 3 2 2 4" xfId="1447"/>
    <cellStyle name="Calculation 2 2 7 3 2 3" xfId="1448"/>
    <cellStyle name="Calculation 2 2 7 3 2 3 2" xfId="1449"/>
    <cellStyle name="Calculation 2 2 7 3 2 3 2 2" xfId="1450"/>
    <cellStyle name="Calculation 2 2 7 3 2 3 3" xfId="1451"/>
    <cellStyle name="Calculation 2 2 7 3 2 3 3 2" xfId="1452"/>
    <cellStyle name="Calculation 2 2 7 3 2 3 4" xfId="1453"/>
    <cellStyle name="Calculation 2 2 7 3 2 4" xfId="1454"/>
    <cellStyle name="Calculation 2 2 7 3 2 4 2" xfId="1455"/>
    <cellStyle name="Calculation 2 2 7 3 2 4 2 2" xfId="1456"/>
    <cellStyle name="Calculation 2 2 7 3 2 4 3" xfId="1457"/>
    <cellStyle name="Calculation 2 2 7 3 2 5" xfId="1458"/>
    <cellStyle name="Calculation 2 2 7 3 2 5 2" xfId="1459"/>
    <cellStyle name="Calculation 2 2 7 3 2 6" xfId="1460"/>
    <cellStyle name="Calculation 2 2 7 3 2 6 2" xfId="1461"/>
    <cellStyle name="Calculation 2 2 7 3 2 7" xfId="1462"/>
    <cellStyle name="Calculation 2 2 7 3 2 7 2" xfId="1463"/>
    <cellStyle name="Calculation 2 2 7 3 2 8" xfId="1464"/>
    <cellStyle name="Calculation 2 2 7 3 3" xfId="1465"/>
    <cellStyle name="Calculation 2 2 7 3 3 2" xfId="1466"/>
    <cellStyle name="Calculation 2 2 7 3 3 2 2" xfId="1467"/>
    <cellStyle name="Calculation 2 2 7 3 3 2 2 2" xfId="1468"/>
    <cellStyle name="Calculation 2 2 7 3 3 2 3" xfId="1469"/>
    <cellStyle name="Calculation 2 2 7 3 3 2 3 2" xfId="1470"/>
    <cellStyle name="Calculation 2 2 7 3 3 2 4" xfId="1471"/>
    <cellStyle name="Calculation 2 2 7 3 3 3" xfId="1472"/>
    <cellStyle name="Calculation 2 2 7 3 3 3 2" xfId="1473"/>
    <cellStyle name="Calculation 2 2 7 3 3 3 2 2" xfId="1474"/>
    <cellStyle name="Calculation 2 2 7 3 3 3 3" xfId="1475"/>
    <cellStyle name="Calculation 2 2 7 3 3 3 3 2" xfId="1476"/>
    <cellStyle name="Calculation 2 2 7 3 3 3 4" xfId="1477"/>
    <cellStyle name="Calculation 2 2 7 3 3 4" xfId="1478"/>
    <cellStyle name="Calculation 2 2 7 3 3 4 2" xfId="1479"/>
    <cellStyle name="Calculation 2 2 7 3 3 5" xfId="1480"/>
    <cellStyle name="Calculation 2 2 7 3 3 5 2" xfId="1481"/>
    <cellStyle name="Calculation 2 2 7 3 3 6" xfId="1482"/>
    <cellStyle name="Calculation 2 2 7 3 3 6 2" xfId="1483"/>
    <cellStyle name="Calculation 2 2 7 3 3 7" xfId="1484"/>
    <cellStyle name="Calculation 2 2 7 3 3 7 2" xfId="1485"/>
    <cellStyle name="Calculation 2 2 7 3 3 8" xfId="1486"/>
    <cellStyle name="Calculation 2 2 7 3 4" xfId="1487"/>
    <cellStyle name="Calculation 2 2 7 3 4 2" xfId="1488"/>
    <cellStyle name="Calculation 2 2 7 3 4 2 2" xfId="1489"/>
    <cellStyle name="Calculation 2 2 7 3 4 3" xfId="1490"/>
    <cellStyle name="Calculation 2 2 7 3 5" xfId="1491"/>
    <cellStyle name="Calculation 2 2 7 3 5 2" xfId="1492"/>
    <cellStyle name="Calculation 2 2 7 3 6" xfId="1493"/>
    <cellStyle name="Calculation 2 2 7 3 6 2" xfId="1494"/>
    <cellStyle name="Calculation 2 2 7 4" xfId="1495"/>
    <cellStyle name="Calculation 2 2 7 4 2" xfId="1496"/>
    <cellStyle name="Calculation 2 2 7 4 2 2" xfId="1497"/>
    <cellStyle name="Calculation 2 2 7 4 2 2 2" xfId="1498"/>
    <cellStyle name="Calculation 2 2 7 4 2 3" xfId="1499"/>
    <cellStyle name="Calculation 2 2 7 4 2 3 2" xfId="1500"/>
    <cellStyle name="Calculation 2 2 7 4 2 4" xfId="1501"/>
    <cellStyle name="Calculation 2 2 7 4 3" xfId="1502"/>
    <cellStyle name="Calculation 2 2 7 4 3 2" xfId="1503"/>
    <cellStyle name="Calculation 2 2 7 4 3 2 2" xfId="1504"/>
    <cellStyle name="Calculation 2 2 7 4 3 3" xfId="1505"/>
    <cellStyle name="Calculation 2 2 7 4 3 3 2" xfId="1506"/>
    <cellStyle name="Calculation 2 2 7 4 3 4" xfId="1507"/>
    <cellStyle name="Calculation 2 2 7 4 4" xfId="1508"/>
    <cellStyle name="Calculation 2 2 7 4 4 2" xfId="1509"/>
    <cellStyle name="Calculation 2 2 7 4 4 2 2" xfId="1510"/>
    <cellStyle name="Calculation 2 2 7 4 4 3" xfId="1511"/>
    <cellStyle name="Calculation 2 2 7 4 5" xfId="1512"/>
    <cellStyle name="Calculation 2 2 7 4 5 2" xfId="1513"/>
    <cellStyle name="Calculation 2 2 7 4 6" xfId="1514"/>
    <cellStyle name="Calculation 2 2 7 4 6 2" xfId="1515"/>
    <cellStyle name="Calculation 2 2 7 4 7" xfId="1516"/>
    <cellStyle name="Calculation 2 2 7 4 7 2" xfId="1517"/>
    <cellStyle name="Calculation 2 2 7 4 8" xfId="1518"/>
    <cellStyle name="Calculation 2 2 7 5" xfId="1519"/>
    <cellStyle name="Calculation 2 2 7 5 2" xfId="1520"/>
    <cellStyle name="Calculation 2 2 7 5 2 2" xfId="1521"/>
    <cellStyle name="Calculation 2 2 7 5 2 2 2" xfId="1522"/>
    <cellStyle name="Calculation 2 2 7 5 2 3" xfId="1523"/>
    <cellStyle name="Calculation 2 2 7 5 2 3 2" xfId="1524"/>
    <cellStyle name="Calculation 2 2 7 5 2 4" xfId="1525"/>
    <cellStyle name="Calculation 2 2 7 5 3" xfId="1526"/>
    <cellStyle name="Calculation 2 2 7 5 3 2" xfId="1527"/>
    <cellStyle name="Calculation 2 2 7 5 3 2 2" xfId="1528"/>
    <cellStyle name="Calculation 2 2 7 5 3 3" xfId="1529"/>
    <cellStyle name="Calculation 2 2 7 5 3 3 2" xfId="1530"/>
    <cellStyle name="Calculation 2 2 7 5 3 4" xfId="1531"/>
    <cellStyle name="Calculation 2 2 7 5 4" xfId="1532"/>
    <cellStyle name="Calculation 2 2 7 5 4 2" xfId="1533"/>
    <cellStyle name="Calculation 2 2 7 5 5" xfId="1534"/>
    <cellStyle name="Calculation 2 2 7 5 5 2" xfId="1535"/>
    <cellStyle name="Calculation 2 2 7 5 6" xfId="1536"/>
    <cellStyle name="Calculation 2 2 7 5 6 2" xfId="1537"/>
    <cellStyle name="Calculation 2 2 7 5 7" xfId="1538"/>
    <cellStyle name="Calculation 2 2 7 5 7 2" xfId="1539"/>
    <cellStyle name="Calculation 2 2 7 5 8" xfId="1540"/>
    <cellStyle name="Calculation 2 2 7 6" xfId="1541"/>
    <cellStyle name="Calculation 2 2 7 6 2" xfId="1542"/>
    <cellStyle name="Calculation 2 2 7 6 2 2" xfId="1543"/>
    <cellStyle name="Calculation 2 2 7 6 3" xfId="1544"/>
    <cellStyle name="Calculation 2 2 7 7" xfId="1545"/>
    <cellStyle name="Calculation 2 2 7 7 2" xfId="1546"/>
    <cellStyle name="Calculation 2 2 8" xfId="1547"/>
    <cellStyle name="Calculation 2 2 8 2" xfId="1548"/>
    <cellStyle name="Calculation 2 2 8 2 2" xfId="1549"/>
    <cellStyle name="Calculation 2 2 8 2 2 2" xfId="1550"/>
    <cellStyle name="Calculation 2 2 8 2 2 2 2" xfId="1551"/>
    <cellStyle name="Calculation 2 2 8 2 2 3" xfId="1552"/>
    <cellStyle name="Calculation 2 2 8 2 2 3 2" xfId="1553"/>
    <cellStyle name="Calculation 2 2 8 2 2 4" xfId="1554"/>
    <cellStyle name="Calculation 2 2 8 2 3" xfId="1555"/>
    <cellStyle name="Calculation 2 2 8 2 3 2" xfId="1556"/>
    <cellStyle name="Calculation 2 2 8 2 3 2 2" xfId="1557"/>
    <cellStyle name="Calculation 2 2 8 2 3 3" xfId="1558"/>
    <cellStyle name="Calculation 2 2 8 2 3 3 2" xfId="1559"/>
    <cellStyle name="Calculation 2 2 8 2 3 4" xfId="1560"/>
    <cellStyle name="Calculation 2 2 8 2 4" xfId="1561"/>
    <cellStyle name="Calculation 2 2 8 2 4 2" xfId="1562"/>
    <cellStyle name="Calculation 2 2 8 2 4 2 2" xfId="1563"/>
    <cellStyle name="Calculation 2 2 8 2 4 3" xfId="1564"/>
    <cellStyle name="Calculation 2 2 8 2 5" xfId="1565"/>
    <cellStyle name="Calculation 2 2 8 2 5 2" xfId="1566"/>
    <cellStyle name="Calculation 2 2 8 2 6" xfId="1567"/>
    <cellStyle name="Calculation 2 2 8 2 6 2" xfId="1568"/>
    <cellStyle name="Calculation 2 2 8 2 7" xfId="1569"/>
    <cellStyle name="Calculation 2 2 8 2 7 2" xfId="1570"/>
    <cellStyle name="Calculation 2 2 8 2 8" xfId="1571"/>
    <cellStyle name="Calculation 2 2 8 3" xfId="1572"/>
    <cellStyle name="Calculation 2 2 8 3 2" xfId="1573"/>
    <cellStyle name="Calculation 2 2 8 3 2 2" xfId="1574"/>
    <cellStyle name="Calculation 2 2 8 3 2 2 2" xfId="1575"/>
    <cellStyle name="Calculation 2 2 8 3 2 3" xfId="1576"/>
    <cellStyle name="Calculation 2 2 8 3 2 3 2" xfId="1577"/>
    <cellStyle name="Calculation 2 2 8 3 2 4" xfId="1578"/>
    <cellStyle name="Calculation 2 2 8 3 3" xfId="1579"/>
    <cellStyle name="Calculation 2 2 8 3 3 2" xfId="1580"/>
    <cellStyle name="Calculation 2 2 8 3 3 2 2" xfId="1581"/>
    <cellStyle name="Calculation 2 2 8 3 3 3" xfId="1582"/>
    <cellStyle name="Calculation 2 2 8 3 3 3 2" xfId="1583"/>
    <cellStyle name="Calculation 2 2 8 3 3 4" xfId="1584"/>
    <cellStyle name="Calculation 2 2 8 3 4" xfId="1585"/>
    <cellStyle name="Calculation 2 2 8 3 4 2" xfId="1586"/>
    <cellStyle name="Calculation 2 2 8 3 5" xfId="1587"/>
    <cellStyle name="Calculation 2 2 8 3 5 2" xfId="1588"/>
    <cellStyle name="Calculation 2 2 8 3 6" xfId="1589"/>
    <cellStyle name="Calculation 2 2 8 3 6 2" xfId="1590"/>
    <cellStyle name="Calculation 2 2 8 3 7" xfId="1591"/>
    <cellStyle name="Calculation 2 2 8 3 7 2" xfId="1592"/>
    <cellStyle name="Calculation 2 2 8 3 8" xfId="1593"/>
    <cellStyle name="Calculation 2 2 8 4" xfId="1594"/>
    <cellStyle name="Calculation 2 2 8 4 2" xfId="1595"/>
    <cellStyle name="Calculation 2 2 8 4 2 2" xfId="1596"/>
    <cellStyle name="Calculation 2 2 8 4 3" xfId="1597"/>
    <cellStyle name="Calculation 2 2 8 5" xfId="1598"/>
    <cellStyle name="Calculation 2 2 8 5 2" xfId="1599"/>
    <cellStyle name="Calculation 2 2 8 6" xfId="1600"/>
    <cellStyle name="Calculation 2 2 8 6 2" xfId="1601"/>
    <cellStyle name="Calculation 2 2 9" xfId="1602"/>
    <cellStyle name="Calculation 2 2 9 2" xfId="1603"/>
    <cellStyle name="Calculation 2 2 9 2 2" xfId="1604"/>
    <cellStyle name="Calculation 2 2 9 2 2 2" xfId="1605"/>
    <cellStyle name="Calculation 2 2 9 2 2 2 2" xfId="1606"/>
    <cellStyle name="Calculation 2 2 9 2 2 3" xfId="1607"/>
    <cellStyle name="Calculation 2 2 9 2 2 3 2" xfId="1608"/>
    <cellStyle name="Calculation 2 2 9 2 2 4" xfId="1609"/>
    <cellStyle name="Calculation 2 2 9 2 3" xfId="1610"/>
    <cellStyle name="Calculation 2 2 9 2 3 2" xfId="1611"/>
    <cellStyle name="Calculation 2 2 9 2 3 2 2" xfId="1612"/>
    <cellStyle name="Calculation 2 2 9 2 3 3" xfId="1613"/>
    <cellStyle name="Calculation 2 2 9 2 3 3 2" xfId="1614"/>
    <cellStyle name="Calculation 2 2 9 2 3 4" xfId="1615"/>
    <cellStyle name="Calculation 2 2 9 2 4" xfId="1616"/>
    <cellStyle name="Calculation 2 2 9 2 4 2" xfId="1617"/>
    <cellStyle name="Calculation 2 2 9 2 4 2 2" xfId="1618"/>
    <cellStyle name="Calculation 2 2 9 2 4 3" xfId="1619"/>
    <cellStyle name="Calculation 2 2 9 2 5" xfId="1620"/>
    <cellStyle name="Calculation 2 2 9 2 5 2" xfId="1621"/>
    <cellStyle name="Calculation 2 2 9 2 6" xfId="1622"/>
    <cellStyle name="Calculation 2 2 9 2 6 2" xfId="1623"/>
    <cellStyle name="Calculation 2 2 9 2 7" xfId="1624"/>
    <cellStyle name="Calculation 2 2 9 2 7 2" xfId="1625"/>
    <cellStyle name="Calculation 2 2 9 2 8" xfId="1626"/>
    <cellStyle name="Calculation 2 2 9 3" xfId="1627"/>
    <cellStyle name="Calculation 2 2 9 3 2" xfId="1628"/>
    <cellStyle name="Calculation 2 2 9 3 2 2" xfId="1629"/>
    <cellStyle name="Calculation 2 2 9 3 2 2 2" xfId="1630"/>
    <cellStyle name="Calculation 2 2 9 3 2 3" xfId="1631"/>
    <cellStyle name="Calculation 2 2 9 3 2 3 2" xfId="1632"/>
    <cellStyle name="Calculation 2 2 9 3 2 4" xfId="1633"/>
    <cellStyle name="Calculation 2 2 9 3 3" xfId="1634"/>
    <cellStyle name="Calculation 2 2 9 3 3 2" xfId="1635"/>
    <cellStyle name="Calculation 2 2 9 3 3 2 2" xfId="1636"/>
    <cellStyle name="Calculation 2 2 9 3 3 3" xfId="1637"/>
    <cellStyle name="Calculation 2 2 9 3 3 3 2" xfId="1638"/>
    <cellStyle name="Calculation 2 2 9 3 3 4" xfId="1639"/>
    <cellStyle name="Calculation 2 2 9 3 4" xfId="1640"/>
    <cellStyle name="Calculation 2 2 9 3 4 2" xfId="1641"/>
    <cellStyle name="Calculation 2 2 9 3 5" xfId="1642"/>
    <cellStyle name="Calculation 2 2 9 3 5 2" xfId="1643"/>
    <cellStyle name="Calculation 2 2 9 3 6" xfId="1644"/>
    <cellStyle name="Calculation 2 2 9 3 6 2" xfId="1645"/>
    <cellStyle name="Calculation 2 2 9 3 7" xfId="1646"/>
    <cellStyle name="Calculation 2 2 9 3 7 2" xfId="1647"/>
    <cellStyle name="Calculation 2 2 9 3 8" xfId="1648"/>
    <cellStyle name="Calculation 2 2 9 4" xfId="1649"/>
    <cellStyle name="Calculation 2 2 9 4 2" xfId="1650"/>
    <cellStyle name="Calculation 2 2 9 4 2 2" xfId="1651"/>
    <cellStyle name="Calculation 2 2 9 4 3" xfId="1652"/>
    <cellStyle name="Calculation 2 2 9 5" xfId="1653"/>
    <cellStyle name="Calculation 2 2 9 5 2" xfId="1654"/>
    <cellStyle name="Calculation 2 2 9 6" xfId="1655"/>
    <cellStyle name="Calculation 2 2 9 6 2" xfId="1656"/>
    <cellStyle name="Calculation 2 3" xfId="1657"/>
    <cellStyle name="Calculation 2 3 2" xfId="1658"/>
    <cellStyle name="Calculation 2 3 2 2" xfId="1659"/>
    <cellStyle name="Calculation 2 3 2 2 2" xfId="1660"/>
    <cellStyle name="Calculation 2 3 2 2 2 2" xfId="1661"/>
    <cellStyle name="Calculation 2 3 2 2 3" xfId="1662"/>
    <cellStyle name="Calculation 2 3 2 2 3 2" xfId="1663"/>
    <cellStyle name="Calculation 2 3 2 2 4" xfId="1664"/>
    <cellStyle name="Calculation 2 3 2 3" xfId="1665"/>
    <cellStyle name="Calculation 2 3 2 3 2" xfId="1666"/>
    <cellStyle name="Calculation 2 3 2 3 2 2" xfId="1667"/>
    <cellStyle name="Calculation 2 3 2 3 3" xfId="1668"/>
    <cellStyle name="Calculation 2 3 2 3 3 2" xfId="1669"/>
    <cellStyle name="Calculation 2 3 2 3 4" xfId="1670"/>
    <cellStyle name="Calculation 2 3 2 4" xfId="1671"/>
    <cellStyle name="Calculation 2 3 2 4 2" xfId="1672"/>
    <cellStyle name="Calculation 2 3 2 4 2 2" xfId="1673"/>
    <cellStyle name="Calculation 2 3 2 4 3" xfId="1674"/>
    <cellStyle name="Calculation 2 3 2 5" xfId="1675"/>
    <cellStyle name="Calculation 2 3 2 5 2" xfId="1676"/>
    <cellStyle name="Calculation 2 3 2 6" xfId="1677"/>
    <cellStyle name="Calculation 2 3 2 6 2" xfId="1678"/>
    <cellStyle name="Calculation 2 3 2 7" xfId="1679"/>
    <cellStyle name="Calculation 2 3 2 7 2" xfId="1680"/>
    <cellStyle name="Calculation 2 3 2 8" xfId="1681"/>
    <cellStyle name="Calculation 2 3 3" xfId="1682"/>
    <cellStyle name="Calculation 2 3 3 2" xfId="1683"/>
    <cellStyle name="Calculation 2 3 3 2 2" xfId="1684"/>
    <cellStyle name="Calculation 2 3 3 2 2 2" xfId="1685"/>
    <cellStyle name="Calculation 2 3 3 2 3" xfId="1686"/>
    <cellStyle name="Calculation 2 3 3 2 3 2" xfId="1687"/>
    <cellStyle name="Calculation 2 3 3 2 4" xfId="1688"/>
    <cellStyle name="Calculation 2 3 3 3" xfId="1689"/>
    <cellStyle name="Calculation 2 3 3 3 2" xfId="1690"/>
    <cellStyle name="Calculation 2 3 3 3 2 2" xfId="1691"/>
    <cellStyle name="Calculation 2 3 3 3 3" xfId="1692"/>
    <cellStyle name="Calculation 2 3 3 3 3 2" xfId="1693"/>
    <cellStyle name="Calculation 2 3 3 3 4" xfId="1694"/>
    <cellStyle name="Calculation 2 3 3 4" xfId="1695"/>
    <cellStyle name="Calculation 2 3 3 4 2" xfId="1696"/>
    <cellStyle name="Calculation 2 3 3 5" xfId="1697"/>
    <cellStyle name="Calculation 2 3 3 5 2" xfId="1698"/>
    <cellStyle name="Calculation 2 3 3 6" xfId="1699"/>
    <cellStyle name="Calculation 2 3 3 6 2" xfId="1700"/>
    <cellStyle name="Calculation 2 3 3 7" xfId="1701"/>
    <cellStyle name="Calculation 2 3 3 7 2" xfId="1702"/>
    <cellStyle name="Calculation 2 3 3 8" xfId="1703"/>
    <cellStyle name="Calculation 2 3 4" xfId="1704"/>
    <cellStyle name="Calculation 2 3 4 2" xfId="1705"/>
    <cellStyle name="Calculation 2 3 4 2 2" xfId="1706"/>
    <cellStyle name="Calculation 2 3 4 3" xfId="1707"/>
    <cellStyle name="Calculation 2 3 5" xfId="1708"/>
    <cellStyle name="Calculation 2 3 5 2" xfId="1709"/>
    <cellStyle name="Calculation 2 3 6" xfId="1710"/>
    <cellStyle name="Calculation 2 3 6 2" xfId="1711"/>
    <cellStyle name="Calculation 2 4" xfId="1712"/>
    <cellStyle name="Calculation 2 4 2" xfId="1713"/>
    <cellStyle name="Calculation 2 4 2 2" xfId="1714"/>
    <cellStyle name="Calculation 2 4 2 2 2" xfId="1715"/>
    <cellStyle name="Calculation 2 4 2 2 2 2" xfId="1716"/>
    <cellStyle name="Calculation 2 4 2 2 3" xfId="1717"/>
    <cellStyle name="Calculation 2 4 2 2 3 2" xfId="1718"/>
    <cellStyle name="Calculation 2 4 2 2 4" xfId="1719"/>
    <cellStyle name="Calculation 2 4 2 3" xfId="1720"/>
    <cellStyle name="Calculation 2 4 2 3 2" xfId="1721"/>
    <cellStyle name="Calculation 2 4 2 3 2 2" xfId="1722"/>
    <cellStyle name="Calculation 2 4 2 3 3" xfId="1723"/>
    <cellStyle name="Calculation 2 4 2 3 3 2" xfId="1724"/>
    <cellStyle name="Calculation 2 4 2 3 4" xfId="1725"/>
    <cellStyle name="Calculation 2 4 2 4" xfId="1726"/>
    <cellStyle name="Calculation 2 4 2 4 2" xfId="1727"/>
    <cellStyle name="Calculation 2 4 2 4 2 2" xfId="1728"/>
    <cellStyle name="Calculation 2 4 2 4 3" xfId="1729"/>
    <cellStyle name="Calculation 2 4 2 5" xfId="1730"/>
    <cellStyle name="Calculation 2 4 2 5 2" xfId="1731"/>
    <cellStyle name="Calculation 2 4 2 6" xfId="1732"/>
    <cellStyle name="Calculation 2 4 2 6 2" xfId="1733"/>
    <cellStyle name="Calculation 2 4 2 7" xfId="1734"/>
    <cellStyle name="Calculation 2 4 2 7 2" xfId="1735"/>
    <cellStyle name="Calculation 2 4 2 8" xfId="1736"/>
    <cellStyle name="Calculation 2 4 3" xfId="1737"/>
    <cellStyle name="Calculation 2 4 3 2" xfId="1738"/>
    <cellStyle name="Calculation 2 4 3 2 2" xfId="1739"/>
    <cellStyle name="Calculation 2 4 3 2 2 2" xfId="1740"/>
    <cellStyle name="Calculation 2 4 3 2 3" xfId="1741"/>
    <cellStyle name="Calculation 2 4 3 2 3 2" xfId="1742"/>
    <cellStyle name="Calculation 2 4 3 2 4" xfId="1743"/>
    <cellStyle name="Calculation 2 4 3 3" xfId="1744"/>
    <cellStyle name="Calculation 2 4 3 3 2" xfId="1745"/>
    <cellStyle name="Calculation 2 4 3 3 2 2" xfId="1746"/>
    <cellStyle name="Calculation 2 4 3 3 3" xfId="1747"/>
    <cellStyle name="Calculation 2 4 3 3 3 2" xfId="1748"/>
    <cellStyle name="Calculation 2 4 3 3 4" xfId="1749"/>
    <cellStyle name="Calculation 2 4 3 4" xfId="1750"/>
    <cellStyle name="Calculation 2 4 3 4 2" xfId="1751"/>
    <cellStyle name="Calculation 2 4 3 5" xfId="1752"/>
    <cellStyle name="Calculation 2 4 3 5 2" xfId="1753"/>
    <cellStyle name="Calculation 2 4 3 6" xfId="1754"/>
    <cellStyle name="Calculation 2 4 3 6 2" xfId="1755"/>
    <cellStyle name="Calculation 2 4 3 7" xfId="1756"/>
    <cellStyle name="Calculation 2 4 3 7 2" xfId="1757"/>
    <cellStyle name="Calculation 2 4 3 8" xfId="1758"/>
    <cellStyle name="Calculation 2 4 4" xfId="1759"/>
    <cellStyle name="Calculation 2 4 4 2" xfId="1760"/>
    <cellStyle name="Calculation 2 4 4 2 2" xfId="1761"/>
    <cellStyle name="Calculation 2 4 4 3" xfId="1762"/>
    <cellStyle name="Calculation 2 4 5" xfId="1763"/>
    <cellStyle name="Calculation 2 4 5 2" xfId="1764"/>
    <cellStyle name="Calculation 2 4 6" xfId="1765"/>
    <cellStyle name="Calculation 2 4 6 2" xfId="1766"/>
    <cellStyle name="Calculation 2 5" xfId="1767"/>
    <cellStyle name="Calculation 2 5 2" xfId="1768"/>
    <cellStyle name="Calculation 2 5 2 2" xfId="1769"/>
    <cellStyle name="Calculation 2 5 2 2 2" xfId="1770"/>
    <cellStyle name="Calculation 2 5 2 3" xfId="1771"/>
    <cellStyle name="Calculation 2 5 2 3 2" xfId="1772"/>
    <cellStyle name="Calculation 2 5 2 4" xfId="1773"/>
    <cellStyle name="Calculation 2 5 3" xfId="1774"/>
    <cellStyle name="Calculation 2 5 3 2" xfId="1775"/>
    <cellStyle name="Calculation 2 5 3 2 2" xfId="1776"/>
    <cellStyle name="Calculation 2 5 3 3" xfId="1777"/>
    <cellStyle name="Calculation 2 5 3 3 2" xfId="1778"/>
    <cellStyle name="Calculation 2 5 3 4" xfId="1779"/>
    <cellStyle name="Calculation 2 5 4" xfId="1780"/>
    <cellStyle name="Calculation 2 5 4 2" xfId="1781"/>
    <cellStyle name="Calculation 2 5 4 2 2" xfId="1782"/>
    <cellStyle name="Calculation 2 5 4 3" xfId="1783"/>
    <cellStyle name="Calculation 2 5 5" xfId="1784"/>
    <cellStyle name="Calculation 2 5 5 2" xfId="1785"/>
    <cellStyle name="Calculation 2 5 6" xfId="1786"/>
    <cellStyle name="Calculation 2 5 6 2" xfId="1787"/>
    <cellStyle name="Calculation 2 5 7" xfId="1788"/>
    <cellStyle name="Calculation 2 5 7 2" xfId="1789"/>
    <cellStyle name="Calculation 2 5 8" xfId="1790"/>
    <cellStyle name="Calculation 2 6" xfId="1791"/>
    <cellStyle name="Calculation 2 6 2" xfId="1792"/>
    <cellStyle name="Calculation 2 6 2 2" xfId="1793"/>
    <cellStyle name="Calculation 2 6 2 2 2" xfId="1794"/>
    <cellStyle name="Calculation 2 6 2 3" xfId="1795"/>
    <cellStyle name="Calculation 2 6 2 3 2" xfId="1796"/>
    <cellStyle name="Calculation 2 6 2 4" xfId="1797"/>
    <cellStyle name="Calculation 2 6 3" xfId="1798"/>
    <cellStyle name="Calculation 2 6 3 2" xfId="1799"/>
    <cellStyle name="Calculation 2 6 3 2 2" xfId="1800"/>
    <cellStyle name="Calculation 2 6 3 3" xfId="1801"/>
    <cellStyle name="Calculation 2 6 3 3 2" xfId="1802"/>
    <cellStyle name="Calculation 2 6 3 4" xfId="1803"/>
    <cellStyle name="Calculation 2 6 4" xfId="1804"/>
    <cellStyle name="Calculation 2 6 4 2" xfId="1805"/>
    <cellStyle name="Calculation 2 6 5" xfId="1806"/>
    <cellStyle name="Calculation 2 6 5 2" xfId="1807"/>
    <cellStyle name="Calculation 2 6 6" xfId="1808"/>
    <cellStyle name="Calculation 2 6 6 2" xfId="1809"/>
    <cellStyle name="Calculation 2 6 7" xfId="1810"/>
    <cellStyle name="Calculation 2 6 7 2" xfId="1811"/>
    <cellStyle name="Calculation 2 6 8" xfId="1812"/>
    <cellStyle name="Calculation 2 7" xfId="1813"/>
    <cellStyle name="Calculation 2 7 2" xfId="1814"/>
    <cellStyle name="Calculation 2 7 2 2" xfId="1815"/>
    <cellStyle name="Calculation 2 7 3" xfId="1816"/>
    <cellStyle name="Calculation 2 8" xfId="1817"/>
    <cellStyle name="Calculation 2 8 2" xfId="1818"/>
    <cellStyle name="Calculation 3" xfId="1819"/>
    <cellStyle name="Calculation 3 2" xfId="1820"/>
    <cellStyle name="Calculation 4" xfId="1821"/>
    <cellStyle name="Calculation 4 2" xfId="1822"/>
    <cellStyle name="Calculation 5" xfId="1823"/>
    <cellStyle name="Check Cell 2" xfId="43"/>
    <cellStyle name="Check Cell 3" xfId="1824"/>
    <cellStyle name="Check Cell 4" xfId="1825"/>
    <cellStyle name="Comma 2" xfId="4"/>
    <cellStyle name="Comma 2 2" xfId="1826"/>
    <cellStyle name="Comma 2 2 2" xfId="1827"/>
    <cellStyle name="Comma 2 2 2 2" xfId="1828"/>
    <cellStyle name="Comma 2 2 3" xfId="1829"/>
    <cellStyle name="Comma 2 2 3 2" xfId="1830"/>
    <cellStyle name="Comma 2 2 4" xfId="1831"/>
    <cellStyle name="Comma 2 3" xfId="1832"/>
    <cellStyle name="Comma 2 4" xfId="1833"/>
    <cellStyle name="Comma 3" xfId="7"/>
    <cellStyle name="Comma 3 2" xfId="44"/>
    <cellStyle name="Comma 3 3" xfId="22344"/>
    <cellStyle name="Comma 4" xfId="1834"/>
    <cellStyle name="Comma 4 2" xfId="1835"/>
    <cellStyle name="Comma 4 2 2" xfId="1836"/>
    <cellStyle name="Comma 4 3" xfId="1837"/>
    <cellStyle name="Comma 5" xfId="1838"/>
    <cellStyle name="Comma 5 2" xfId="1839"/>
    <cellStyle name="Comma 5 2 2" xfId="1840"/>
    <cellStyle name="Comma 5 3" xfId="1841"/>
    <cellStyle name="Comma 6" xfId="1842"/>
    <cellStyle name="Comma 7" xfId="1843"/>
    <cellStyle name="Comma 7 2" xfId="1844"/>
    <cellStyle name="Currency" xfId="2" builtinId="4"/>
    <cellStyle name="Currency 2" xfId="13"/>
    <cellStyle name="Currency 2 2" xfId="45"/>
    <cellStyle name="Currency 3" xfId="46"/>
    <cellStyle name="Currency 4" xfId="47"/>
    <cellStyle name="Currency 5" xfId="48"/>
    <cellStyle name="Explanatory Text 2" xfId="49"/>
    <cellStyle name="Explanatory Text 3" xfId="1845"/>
    <cellStyle name="Explanatory Text 4" xfId="1846"/>
    <cellStyle name="Good 2" xfId="50"/>
    <cellStyle name="Good 3" xfId="1847"/>
    <cellStyle name="Good 4" xfId="1848"/>
    <cellStyle name="Good 5" xfId="1849"/>
    <cellStyle name="Heading 1 2" xfId="51"/>
    <cellStyle name="Heading 1 3" xfId="1850"/>
    <cellStyle name="Heading 1 4" xfId="1851"/>
    <cellStyle name="Heading 2 2" xfId="52"/>
    <cellStyle name="Heading 2 3" xfId="1852"/>
    <cellStyle name="Heading 2 4" xfId="1853"/>
    <cellStyle name="Heading 3 2" xfId="53"/>
    <cellStyle name="Heading 3 3" xfId="1854"/>
    <cellStyle name="Heading 3 4" xfId="1855"/>
    <cellStyle name="Heading 4 2" xfId="54"/>
    <cellStyle name="Heading 4 3" xfId="1856"/>
    <cellStyle name="Heading 4 4" xfId="1857"/>
    <cellStyle name="Hyperlink 2" xfId="55"/>
    <cellStyle name="Hyperlink 3" xfId="56"/>
    <cellStyle name="Input 2" xfId="57"/>
    <cellStyle name="Input 2 2" xfId="1858"/>
    <cellStyle name="Input 2 2 10" xfId="1859"/>
    <cellStyle name="Input 2 2 10 2" xfId="1860"/>
    <cellStyle name="Input 2 2 10 2 2" xfId="1861"/>
    <cellStyle name="Input 2 2 10 2 2 2" xfId="1862"/>
    <cellStyle name="Input 2 2 10 2 3" xfId="1863"/>
    <cellStyle name="Input 2 2 10 2 3 2" xfId="1864"/>
    <cellStyle name="Input 2 2 10 2 4" xfId="1865"/>
    <cellStyle name="Input 2 2 10 3" xfId="1866"/>
    <cellStyle name="Input 2 2 10 3 2" xfId="1867"/>
    <cellStyle name="Input 2 2 10 3 2 2" xfId="1868"/>
    <cellStyle name="Input 2 2 10 3 3" xfId="1869"/>
    <cellStyle name="Input 2 2 10 3 3 2" xfId="1870"/>
    <cellStyle name="Input 2 2 10 3 4" xfId="1871"/>
    <cellStyle name="Input 2 2 10 4" xfId="1872"/>
    <cellStyle name="Input 2 2 10 4 2" xfId="1873"/>
    <cellStyle name="Input 2 2 10 4 2 2" xfId="1874"/>
    <cellStyle name="Input 2 2 10 4 3" xfId="1875"/>
    <cellStyle name="Input 2 2 10 5" xfId="1876"/>
    <cellStyle name="Input 2 2 10 5 2" xfId="1877"/>
    <cellStyle name="Input 2 2 10 6" xfId="1878"/>
    <cellStyle name="Input 2 2 10 6 2" xfId="1879"/>
    <cellStyle name="Input 2 2 10 7" xfId="1880"/>
    <cellStyle name="Input 2 2 10 7 2" xfId="1881"/>
    <cellStyle name="Input 2 2 10 8" xfId="1882"/>
    <cellStyle name="Input 2 2 11" xfId="1883"/>
    <cellStyle name="Input 2 2 11 2" xfId="1884"/>
    <cellStyle name="Input 2 2 11 2 2" xfId="1885"/>
    <cellStyle name="Input 2 2 11 2 2 2" xfId="1886"/>
    <cellStyle name="Input 2 2 11 2 3" xfId="1887"/>
    <cellStyle name="Input 2 2 11 2 3 2" xfId="1888"/>
    <cellStyle name="Input 2 2 11 2 4" xfId="1889"/>
    <cellStyle name="Input 2 2 11 3" xfId="1890"/>
    <cellStyle name="Input 2 2 11 3 2" xfId="1891"/>
    <cellStyle name="Input 2 2 11 3 2 2" xfId="1892"/>
    <cellStyle name="Input 2 2 11 3 3" xfId="1893"/>
    <cellStyle name="Input 2 2 11 3 3 2" xfId="1894"/>
    <cellStyle name="Input 2 2 11 3 4" xfId="1895"/>
    <cellStyle name="Input 2 2 11 4" xfId="1896"/>
    <cellStyle name="Input 2 2 11 4 2" xfId="1897"/>
    <cellStyle name="Input 2 2 11 5" xfId="1898"/>
    <cellStyle name="Input 2 2 11 5 2" xfId="1899"/>
    <cellStyle name="Input 2 2 11 6" xfId="1900"/>
    <cellStyle name="Input 2 2 11 6 2" xfId="1901"/>
    <cellStyle name="Input 2 2 11 7" xfId="1902"/>
    <cellStyle name="Input 2 2 11 7 2" xfId="1903"/>
    <cellStyle name="Input 2 2 11 8" xfId="1904"/>
    <cellStyle name="Input 2 2 12" xfId="1905"/>
    <cellStyle name="Input 2 2 12 2" xfId="1906"/>
    <cellStyle name="Input 2 2 12 2 2" xfId="1907"/>
    <cellStyle name="Input 2 2 12 3" xfId="1908"/>
    <cellStyle name="Input 2 2 13" xfId="1909"/>
    <cellStyle name="Input 2 2 13 2" xfId="1910"/>
    <cellStyle name="Input 2 2 2" xfId="1911"/>
    <cellStyle name="Input 2 2 2 2" xfId="1912"/>
    <cellStyle name="Input 2 2 2 2 2" xfId="1913"/>
    <cellStyle name="Input 2 2 2 2 2 2" xfId="1914"/>
    <cellStyle name="Input 2 2 2 2 2 2 2" xfId="1915"/>
    <cellStyle name="Input 2 2 2 2 2 2 2 2" xfId="1916"/>
    <cellStyle name="Input 2 2 2 2 2 2 3" xfId="1917"/>
    <cellStyle name="Input 2 2 2 2 2 2 3 2" xfId="1918"/>
    <cellStyle name="Input 2 2 2 2 2 2 4" xfId="1919"/>
    <cellStyle name="Input 2 2 2 2 2 3" xfId="1920"/>
    <cellStyle name="Input 2 2 2 2 2 3 2" xfId="1921"/>
    <cellStyle name="Input 2 2 2 2 2 3 2 2" xfId="1922"/>
    <cellStyle name="Input 2 2 2 2 2 3 3" xfId="1923"/>
    <cellStyle name="Input 2 2 2 2 2 3 3 2" xfId="1924"/>
    <cellStyle name="Input 2 2 2 2 2 3 4" xfId="1925"/>
    <cellStyle name="Input 2 2 2 2 2 4" xfId="1926"/>
    <cellStyle name="Input 2 2 2 2 2 4 2" xfId="1927"/>
    <cellStyle name="Input 2 2 2 2 2 4 2 2" xfId="1928"/>
    <cellStyle name="Input 2 2 2 2 2 4 3" xfId="1929"/>
    <cellStyle name="Input 2 2 2 2 2 5" xfId="1930"/>
    <cellStyle name="Input 2 2 2 2 2 5 2" xfId="1931"/>
    <cellStyle name="Input 2 2 2 2 2 6" xfId="1932"/>
    <cellStyle name="Input 2 2 2 2 2 6 2" xfId="1933"/>
    <cellStyle name="Input 2 2 2 2 2 7" xfId="1934"/>
    <cellStyle name="Input 2 2 2 2 2 7 2" xfId="1935"/>
    <cellStyle name="Input 2 2 2 2 2 8" xfId="1936"/>
    <cellStyle name="Input 2 2 2 2 3" xfId="1937"/>
    <cellStyle name="Input 2 2 2 2 3 2" xfId="1938"/>
    <cellStyle name="Input 2 2 2 2 3 2 2" xfId="1939"/>
    <cellStyle name="Input 2 2 2 2 3 2 2 2" xfId="1940"/>
    <cellStyle name="Input 2 2 2 2 3 2 3" xfId="1941"/>
    <cellStyle name="Input 2 2 2 2 3 2 3 2" xfId="1942"/>
    <cellStyle name="Input 2 2 2 2 3 2 4" xfId="1943"/>
    <cellStyle name="Input 2 2 2 2 3 3" xfId="1944"/>
    <cellStyle name="Input 2 2 2 2 3 3 2" xfId="1945"/>
    <cellStyle name="Input 2 2 2 2 3 3 2 2" xfId="1946"/>
    <cellStyle name="Input 2 2 2 2 3 3 3" xfId="1947"/>
    <cellStyle name="Input 2 2 2 2 3 3 3 2" xfId="1948"/>
    <cellStyle name="Input 2 2 2 2 3 3 4" xfId="1949"/>
    <cellStyle name="Input 2 2 2 2 3 4" xfId="1950"/>
    <cellStyle name="Input 2 2 2 2 3 4 2" xfId="1951"/>
    <cellStyle name="Input 2 2 2 2 3 5" xfId="1952"/>
    <cellStyle name="Input 2 2 2 2 3 5 2" xfId="1953"/>
    <cellStyle name="Input 2 2 2 2 3 6" xfId="1954"/>
    <cellStyle name="Input 2 2 2 2 3 6 2" xfId="1955"/>
    <cellStyle name="Input 2 2 2 2 3 7" xfId="1956"/>
    <cellStyle name="Input 2 2 2 2 3 7 2" xfId="1957"/>
    <cellStyle name="Input 2 2 2 2 3 8" xfId="1958"/>
    <cellStyle name="Input 2 2 2 2 4" xfId="1959"/>
    <cellStyle name="Input 2 2 2 2 4 2" xfId="1960"/>
    <cellStyle name="Input 2 2 2 2 4 2 2" xfId="1961"/>
    <cellStyle name="Input 2 2 2 2 4 3" xfId="1962"/>
    <cellStyle name="Input 2 2 2 2 5" xfId="1963"/>
    <cellStyle name="Input 2 2 2 2 5 2" xfId="1964"/>
    <cellStyle name="Input 2 2 2 2 6" xfId="1965"/>
    <cellStyle name="Input 2 2 2 2 6 2" xfId="1966"/>
    <cellStyle name="Input 2 2 2 3" xfId="1967"/>
    <cellStyle name="Input 2 2 2 3 2" xfId="1968"/>
    <cellStyle name="Input 2 2 2 3 2 2" xfId="1969"/>
    <cellStyle name="Input 2 2 2 3 2 2 2" xfId="1970"/>
    <cellStyle name="Input 2 2 2 3 2 2 2 2" xfId="1971"/>
    <cellStyle name="Input 2 2 2 3 2 2 3" xfId="1972"/>
    <cellStyle name="Input 2 2 2 3 2 2 3 2" xfId="1973"/>
    <cellStyle name="Input 2 2 2 3 2 2 4" xfId="1974"/>
    <cellStyle name="Input 2 2 2 3 2 3" xfId="1975"/>
    <cellStyle name="Input 2 2 2 3 2 3 2" xfId="1976"/>
    <cellStyle name="Input 2 2 2 3 2 3 2 2" xfId="1977"/>
    <cellStyle name="Input 2 2 2 3 2 3 3" xfId="1978"/>
    <cellStyle name="Input 2 2 2 3 2 3 3 2" xfId="1979"/>
    <cellStyle name="Input 2 2 2 3 2 3 4" xfId="1980"/>
    <cellStyle name="Input 2 2 2 3 2 4" xfId="1981"/>
    <cellStyle name="Input 2 2 2 3 2 4 2" xfId="1982"/>
    <cellStyle name="Input 2 2 2 3 2 4 2 2" xfId="1983"/>
    <cellStyle name="Input 2 2 2 3 2 4 3" xfId="1984"/>
    <cellStyle name="Input 2 2 2 3 2 5" xfId="1985"/>
    <cellStyle name="Input 2 2 2 3 2 5 2" xfId="1986"/>
    <cellStyle name="Input 2 2 2 3 2 6" xfId="1987"/>
    <cellStyle name="Input 2 2 2 3 2 6 2" xfId="1988"/>
    <cellStyle name="Input 2 2 2 3 2 7" xfId="1989"/>
    <cellStyle name="Input 2 2 2 3 2 7 2" xfId="1990"/>
    <cellStyle name="Input 2 2 2 3 2 8" xfId="1991"/>
    <cellStyle name="Input 2 2 2 3 3" xfId="1992"/>
    <cellStyle name="Input 2 2 2 3 3 2" xfId="1993"/>
    <cellStyle name="Input 2 2 2 3 3 2 2" xfId="1994"/>
    <cellStyle name="Input 2 2 2 3 3 2 2 2" xfId="1995"/>
    <cellStyle name="Input 2 2 2 3 3 2 3" xfId="1996"/>
    <cellStyle name="Input 2 2 2 3 3 2 3 2" xfId="1997"/>
    <cellStyle name="Input 2 2 2 3 3 2 4" xfId="1998"/>
    <cellStyle name="Input 2 2 2 3 3 3" xfId="1999"/>
    <cellStyle name="Input 2 2 2 3 3 3 2" xfId="2000"/>
    <cellStyle name="Input 2 2 2 3 3 3 2 2" xfId="2001"/>
    <cellStyle name="Input 2 2 2 3 3 3 3" xfId="2002"/>
    <cellStyle name="Input 2 2 2 3 3 3 3 2" xfId="2003"/>
    <cellStyle name="Input 2 2 2 3 3 3 4" xfId="2004"/>
    <cellStyle name="Input 2 2 2 3 3 4" xfId="2005"/>
    <cellStyle name="Input 2 2 2 3 3 4 2" xfId="2006"/>
    <cellStyle name="Input 2 2 2 3 3 5" xfId="2007"/>
    <cellStyle name="Input 2 2 2 3 3 5 2" xfId="2008"/>
    <cellStyle name="Input 2 2 2 3 3 6" xfId="2009"/>
    <cellStyle name="Input 2 2 2 3 3 6 2" xfId="2010"/>
    <cellStyle name="Input 2 2 2 3 3 7" xfId="2011"/>
    <cellStyle name="Input 2 2 2 3 3 7 2" xfId="2012"/>
    <cellStyle name="Input 2 2 2 3 3 8" xfId="2013"/>
    <cellStyle name="Input 2 2 2 3 4" xfId="2014"/>
    <cellStyle name="Input 2 2 2 3 4 2" xfId="2015"/>
    <cellStyle name="Input 2 2 2 3 4 2 2" xfId="2016"/>
    <cellStyle name="Input 2 2 2 3 4 3" xfId="2017"/>
    <cellStyle name="Input 2 2 2 3 5" xfId="2018"/>
    <cellStyle name="Input 2 2 2 3 5 2" xfId="2019"/>
    <cellStyle name="Input 2 2 2 3 6" xfId="2020"/>
    <cellStyle name="Input 2 2 2 3 6 2" xfId="2021"/>
    <cellStyle name="Input 2 2 2 4" xfId="2022"/>
    <cellStyle name="Input 2 2 2 4 2" xfId="2023"/>
    <cellStyle name="Input 2 2 2 4 2 2" xfId="2024"/>
    <cellStyle name="Input 2 2 2 4 2 2 2" xfId="2025"/>
    <cellStyle name="Input 2 2 2 4 2 3" xfId="2026"/>
    <cellStyle name="Input 2 2 2 4 2 3 2" xfId="2027"/>
    <cellStyle name="Input 2 2 2 4 2 4" xfId="2028"/>
    <cellStyle name="Input 2 2 2 4 3" xfId="2029"/>
    <cellStyle name="Input 2 2 2 4 3 2" xfId="2030"/>
    <cellStyle name="Input 2 2 2 4 3 2 2" xfId="2031"/>
    <cellStyle name="Input 2 2 2 4 3 3" xfId="2032"/>
    <cellStyle name="Input 2 2 2 4 3 3 2" xfId="2033"/>
    <cellStyle name="Input 2 2 2 4 3 4" xfId="2034"/>
    <cellStyle name="Input 2 2 2 4 4" xfId="2035"/>
    <cellStyle name="Input 2 2 2 4 4 2" xfId="2036"/>
    <cellStyle name="Input 2 2 2 4 4 2 2" xfId="2037"/>
    <cellStyle name="Input 2 2 2 4 4 3" xfId="2038"/>
    <cellStyle name="Input 2 2 2 4 5" xfId="2039"/>
    <cellStyle name="Input 2 2 2 4 5 2" xfId="2040"/>
    <cellStyle name="Input 2 2 2 4 6" xfId="2041"/>
    <cellStyle name="Input 2 2 2 4 6 2" xfId="2042"/>
    <cellStyle name="Input 2 2 2 4 7" xfId="2043"/>
    <cellStyle name="Input 2 2 2 4 7 2" xfId="2044"/>
    <cellStyle name="Input 2 2 2 4 8" xfId="2045"/>
    <cellStyle name="Input 2 2 2 5" xfId="2046"/>
    <cellStyle name="Input 2 2 2 5 2" xfId="2047"/>
    <cellStyle name="Input 2 2 2 5 2 2" xfId="2048"/>
    <cellStyle name="Input 2 2 2 5 2 2 2" xfId="2049"/>
    <cellStyle name="Input 2 2 2 5 2 3" xfId="2050"/>
    <cellStyle name="Input 2 2 2 5 2 3 2" xfId="2051"/>
    <cellStyle name="Input 2 2 2 5 2 4" xfId="2052"/>
    <cellStyle name="Input 2 2 2 5 3" xfId="2053"/>
    <cellStyle name="Input 2 2 2 5 3 2" xfId="2054"/>
    <cellStyle name="Input 2 2 2 5 3 2 2" xfId="2055"/>
    <cellStyle name="Input 2 2 2 5 3 3" xfId="2056"/>
    <cellStyle name="Input 2 2 2 5 3 3 2" xfId="2057"/>
    <cellStyle name="Input 2 2 2 5 3 4" xfId="2058"/>
    <cellStyle name="Input 2 2 2 5 4" xfId="2059"/>
    <cellStyle name="Input 2 2 2 5 4 2" xfId="2060"/>
    <cellStyle name="Input 2 2 2 5 4 2 2" xfId="2061"/>
    <cellStyle name="Input 2 2 2 5 4 3" xfId="2062"/>
    <cellStyle name="Input 2 2 2 5 5" xfId="2063"/>
    <cellStyle name="Input 2 2 2 5 5 2" xfId="2064"/>
    <cellStyle name="Input 2 2 2 5 6" xfId="2065"/>
    <cellStyle name="Input 2 2 2 5 6 2" xfId="2066"/>
    <cellStyle name="Input 2 2 2 5 7" xfId="2067"/>
    <cellStyle name="Input 2 2 2 5 7 2" xfId="2068"/>
    <cellStyle name="Input 2 2 2 5 8" xfId="2069"/>
    <cellStyle name="Input 2 2 2 6" xfId="2070"/>
    <cellStyle name="Input 2 2 2 6 2" xfId="2071"/>
    <cellStyle name="Input 2 2 2 6 2 2" xfId="2072"/>
    <cellStyle name="Input 2 2 2 6 2 2 2" xfId="2073"/>
    <cellStyle name="Input 2 2 2 6 2 3" xfId="2074"/>
    <cellStyle name="Input 2 2 2 6 2 3 2" xfId="2075"/>
    <cellStyle name="Input 2 2 2 6 2 4" xfId="2076"/>
    <cellStyle name="Input 2 2 2 6 3" xfId="2077"/>
    <cellStyle name="Input 2 2 2 6 3 2" xfId="2078"/>
    <cellStyle name="Input 2 2 2 6 3 2 2" xfId="2079"/>
    <cellStyle name="Input 2 2 2 6 3 3" xfId="2080"/>
    <cellStyle name="Input 2 2 2 6 3 3 2" xfId="2081"/>
    <cellStyle name="Input 2 2 2 6 3 4" xfId="2082"/>
    <cellStyle name="Input 2 2 2 6 4" xfId="2083"/>
    <cellStyle name="Input 2 2 2 6 4 2" xfId="2084"/>
    <cellStyle name="Input 2 2 2 6 5" xfId="2085"/>
    <cellStyle name="Input 2 2 2 6 5 2" xfId="2086"/>
    <cellStyle name="Input 2 2 2 6 6" xfId="2087"/>
    <cellStyle name="Input 2 2 2 6 6 2" xfId="2088"/>
    <cellStyle name="Input 2 2 2 6 7" xfId="2089"/>
    <cellStyle name="Input 2 2 2 6 7 2" xfId="2090"/>
    <cellStyle name="Input 2 2 2 6 8" xfId="2091"/>
    <cellStyle name="Input 2 2 2 7" xfId="2092"/>
    <cellStyle name="Input 2 2 2 7 2" xfId="2093"/>
    <cellStyle name="Input 2 2 2 7 2 2" xfId="2094"/>
    <cellStyle name="Input 2 2 2 7 3" xfId="2095"/>
    <cellStyle name="Input 2 2 2 8" xfId="2096"/>
    <cellStyle name="Input 2 2 2 8 2" xfId="2097"/>
    <cellStyle name="Input 2 2 3" xfId="2098"/>
    <cellStyle name="Input 2 2 3 2" xfId="2099"/>
    <cellStyle name="Input 2 2 3 2 2" xfId="2100"/>
    <cellStyle name="Input 2 2 3 2 2 2" xfId="2101"/>
    <cellStyle name="Input 2 2 3 2 2 2 2" xfId="2102"/>
    <cellStyle name="Input 2 2 3 2 2 2 2 2" xfId="2103"/>
    <cellStyle name="Input 2 2 3 2 2 2 3" xfId="2104"/>
    <cellStyle name="Input 2 2 3 2 2 2 3 2" xfId="2105"/>
    <cellStyle name="Input 2 2 3 2 2 2 4" xfId="2106"/>
    <cellStyle name="Input 2 2 3 2 2 3" xfId="2107"/>
    <cellStyle name="Input 2 2 3 2 2 3 2" xfId="2108"/>
    <cellStyle name="Input 2 2 3 2 2 3 2 2" xfId="2109"/>
    <cellStyle name="Input 2 2 3 2 2 3 3" xfId="2110"/>
    <cellStyle name="Input 2 2 3 2 2 3 3 2" xfId="2111"/>
    <cellStyle name="Input 2 2 3 2 2 3 4" xfId="2112"/>
    <cellStyle name="Input 2 2 3 2 2 4" xfId="2113"/>
    <cellStyle name="Input 2 2 3 2 2 4 2" xfId="2114"/>
    <cellStyle name="Input 2 2 3 2 2 4 2 2" xfId="2115"/>
    <cellStyle name="Input 2 2 3 2 2 4 3" xfId="2116"/>
    <cellStyle name="Input 2 2 3 2 2 5" xfId="2117"/>
    <cellStyle name="Input 2 2 3 2 2 5 2" xfId="2118"/>
    <cellStyle name="Input 2 2 3 2 2 6" xfId="2119"/>
    <cellStyle name="Input 2 2 3 2 2 6 2" xfId="2120"/>
    <cellStyle name="Input 2 2 3 2 2 7" xfId="2121"/>
    <cellStyle name="Input 2 2 3 2 2 7 2" xfId="2122"/>
    <cellStyle name="Input 2 2 3 2 2 8" xfId="2123"/>
    <cellStyle name="Input 2 2 3 2 3" xfId="2124"/>
    <cellStyle name="Input 2 2 3 2 3 2" xfId="2125"/>
    <cellStyle name="Input 2 2 3 2 3 2 2" xfId="2126"/>
    <cellStyle name="Input 2 2 3 2 3 2 2 2" xfId="2127"/>
    <cellStyle name="Input 2 2 3 2 3 2 3" xfId="2128"/>
    <cellStyle name="Input 2 2 3 2 3 2 3 2" xfId="2129"/>
    <cellStyle name="Input 2 2 3 2 3 2 4" xfId="2130"/>
    <cellStyle name="Input 2 2 3 2 3 3" xfId="2131"/>
    <cellStyle name="Input 2 2 3 2 3 3 2" xfId="2132"/>
    <cellStyle name="Input 2 2 3 2 3 3 2 2" xfId="2133"/>
    <cellStyle name="Input 2 2 3 2 3 3 3" xfId="2134"/>
    <cellStyle name="Input 2 2 3 2 3 3 3 2" xfId="2135"/>
    <cellStyle name="Input 2 2 3 2 3 3 4" xfId="2136"/>
    <cellStyle name="Input 2 2 3 2 3 4" xfId="2137"/>
    <cellStyle name="Input 2 2 3 2 3 4 2" xfId="2138"/>
    <cellStyle name="Input 2 2 3 2 3 5" xfId="2139"/>
    <cellStyle name="Input 2 2 3 2 3 5 2" xfId="2140"/>
    <cellStyle name="Input 2 2 3 2 3 6" xfId="2141"/>
    <cellStyle name="Input 2 2 3 2 3 6 2" xfId="2142"/>
    <cellStyle name="Input 2 2 3 2 3 7" xfId="2143"/>
    <cellStyle name="Input 2 2 3 2 3 7 2" xfId="2144"/>
    <cellStyle name="Input 2 2 3 2 3 8" xfId="2145"/>
    <cellStyle name="Input 2 2 3 2 4" xfId="2146"/>
    <cellStyle name="Input 2 2 3 2 4 2" xfId="2147"/>
    <cellStyle name="Input 2 2 3 2 4 2 2" xfId="2148"/>
    <cellStyle name="Input 2 2 3 2 4 3" xfId="2149"/>
    <cellStyle name="Input 2 2 3 2 5" xfId="2150"/>
    <cellStyle name="Input 2 2 3 2 5 2" xfId="2151"/>
    <cellStyle name="Input 2 2 3 2 6" xfId="2152"/>
    <cellStyle name="Input 2 2 3 2 6 2" xfId="2153"/>
    <cellStyle name="Input 2 2 3 3" xfId="2154"/>
    <cellStyle name="Input 2 2 3 3 2" xfId="2155"/>
    <cellStyle name="Input 2 2 3 3 2 2" xfId="2156"/>
    <cellStyle name="Input 2 2 3 3 2 2 2" xfId="2157"/>
    <cellStyle name="Input 2 2 3 3 2 2 2 2" xfId="2158"/>
    <cellStyle name="Input 2 2 3 3 2 2 3" xfId="2159"/>
    <cellStyle name="Input 2 2 3 3 2 2 3 2" xfId="2160"/>
    <cellStyle name="Input 2 2 3 3 2 2 4" xfId="2161"/>
    <cellStyle name="Input 2 2 3 3 2 3" xfId="2162"/>
    <cellStyle name="Input 2 2 3 3 2 3 2" xfId="2163"/>
    <cellStyle name="Input 2 2 3 3 2 3 2 2" xfId="2164"/>
    <cellStyle name="Input 2 2 3 3 2 3 3" xfId="2165"/>
    <cellStyle name="Input 2 2 3 3 2 3 3 2" xfId="2166"/>
    <cellStyle name="Input 2 2 3 3 2 3 4" xfId="2167"/>
    <cellStyle name="Input 2 2 3 3 2 4" xfId="2168"/>
    <cellStyle name="Input 2 2 3 3 2 4 2" xfId="2169"/>
    <cellStyle name="Input 2 2 3 3 2 4 2 2" xfId="2170"/>
    <cellStyle name="Input 2 2 3 3 2 4 3" xfId="2171"/>
    <cellStyle name="Input 2 2 3 3 2 5" xfId="2172"/>
    <cellStyle name="Input 2 2 3 3 2 5 2" xfId="2173"/>
    <cellStyle name="Input 2 2 3 3 2 6" xfId="2174"/>
    <cellStyle name="Input 2 2 3 3 2 6 2" xfId="2175"/>
    <cellStyle name="Input 2 2 3 3 2 7" xfId="2176"/>
    <cellStyle name="Input 2 2 3 3 2 7 2" xfId="2177"/>
    <cellStyle name="Input 2 2 3 3 2 8" xfId="2178"/>
    <cellStyle name="Input 2 2 3 3 3" xfId="2179"/>
    <cellStyle name="Input 2 2 3 3 3 2" xfId="2180"/>
    <cellStyle name="Input 2 2 3 3 3 2 2" xfId="2181"/>
    <cellStyle name="Input 2 2 3 3 3 2 2 2" xfId="2182"/>
    <cellStyle name="Input 2 2 3 3 3 2 3" xfId="2183"/>
    <cellStyle name="Input 2 2 3 3 3 2 3 2" xfId="2184"/>
    <cellStyle name="Input 2 2 3 3 3 2 4" xfId="2185"/>
    <cellStyle name="Input 2 2 3 3 3 3" xfId="2186"/>
    <cellStyle name="Input 2 2 3 3 3 3 2" xfId="2187"/>
    <cellStyle name="Input 2 2 3 3 3 3 2 2" xfId="2188"/>
    <cellStyle name="Input 2 2 3 3 3 3 3" xfId="2189"/>
    <cellStyle name="Input 2 2 3 3 3 3 3 2" xfId="2190"/>
    <cellStyle name="Input 2 2 3 3 3 3 4" xfId="2191"/>
    <cellStyle name="Input 2 2 3 3 3 4" xfId="2192"/>
    <cellStyle name="Input 2 2 3 3 3 4 2" xfId="2193"/>
    <cellStyle name="Input 2 2 3 3 3 5" xfId="2194"/>
    <cellStyle name="Input 2 2 3 3 3 5 2" xfId="2195"/>
    <cellStyle name="Input 2 2 3 3 3 6" xfId="2196"/>
    <cellStyle name="Input 2 2 3 3 3 6 2" xfId="2197"/>
    <cellStyle name="Input 2 2 3 3 3 7" xfId="2198"/>
    <cellStyle name="Input 2 2 3 3 3 7 2" xfId="2199"/>
    <cellStyle name="Input 2 2 3 3 3 8" xfId="2200"/>
    <cellStyle name="Input 2 2 3 3 4" xfId="2201"/>
    <cellStyle name="Input 2 2 3 3 4 2" xfId="2202"/>
    <cellStyle name="Input 2 2 3 3 4 2 2" xfId="2203"/>
    <cellStyle name="Input 2 2 3 3 4 3" xfId="2204"/>
    <cellStyle name="Input 2 2 3 3 5" xfId="2205"/>
    <cellStyle name="Input 2 2 3 3 5 2" xfId="2206"/>
    <cellStyle name="Input 2 2 3 3 6" xfId="2207"/>
    <cellStyle name="Input 2 2 3 3 6 2" xfId="2208"/>
    <cellStyle name="Input 2 2 3 4" xfId="2209"/>
    <cellStyle name="Input 2 2 3 4 2" xfId="2210"/>
    <cellStyle name="Input 2 2 3 4 2 2" xfId="2211"/>
    <cellStyle name="Input 2 2 3 4 2 2 2" xfId="2212"/>
    <cellStyle name="Input 2 2 3 4 2 3" xfId="2213"/>
    <cellStyle name="Input 2 2 3 4 2 3 2" xfId="2214"/>
    <cellStyle name="Input 2 2 3 4 2 4" xfId="2215"/>
    <cellStyle name="Input 2 2 3 4 3" xfId="2216"/>
    <cellStyle name="Input 2 2 3 4 3 2" xfId="2217"/>
    <cellStyle name="Input 2 2 3 4 3 2 2" xfId="2218"/>
    <cellStyle name="Input 2 2 3 4 3 3" xfId="2219"/>
    <cellStyle name="Input 2 2 3 4 3 3 2" xfId="2220"/>
    <cellStyle name="Input 2 2 3 4 3 4" xfId="2221"/>
    <cellStyle name="Input 2 2 3 4 4" xfId="2222"/>
    <cellStyle name="Input 2 2 3 4 4 2" xfId="2223"/>
    <cellStyle name="Input 2 2 3 4 4 2 2" xfId="2224"/>
    <cellStyle name="Input 2 2 3 4 4 3" xfId="2225"/>
    <cellStyle name="Input 2 2 3 4 5" xfId="2226"/>
    <cellStyle name="Input 2 2 3 4 5 2" xfId="2227"/>
    <cellStyle name="Input 2 2 3 4 6" xfId="2228"/>
    <cellStyle name="Input 2 2 3 4 6 2" xfId="2229"/>
    <cellStyle name="Input 2 2 3 4 7" xfId="2230"/>
    <cellStyle name="Input 2 2 3 4 7 2" xfId="2231"/>
    <cellStyle name="Input 2 2 3 4 8" xfId="2232"/>
    <cellStyle name="Input 2 2 3 5" xfId="2233"/>
    <cellStyle name="Input 2 2 3 5 2" xfId="2234"/>
    <cellStyle name="Input 2 2 3 5 2 2" xfId="2235"/>
    <cellStyle name="Input 2 2 3 5 2 2 2" xfId="2236"/>
    <cellStyle name="Input 2 2 3 5 2 3" xfId="2237"/>
    <cellStyle name="Input 2 2 3 5 2 3 2" xfId="2238"/>
    <cellStyle name="Input 2 2 3 5 2 4" xfId="2239"/>
    <cellStyle name="Input 2 2 3 5 3" xfId="2240"/>
    <cellStyle name="Input 2 2 3 5 3 2" xfId="2241"/>
    <cellStyle name="Input 2 2 3 5 3 2 2" xfId="2242"/>
    <cellStyle name="Input 2 2 3 5 3 3" xfId="2243"/>
    <cellStyle name="Input 2 2 3 5 3 3 2" xfId="2244"/>
    <cellStyle name="Input 2 2 3 5 3 4" xfId="2245"/>
    <cellStyle name="Input 2 2 3 5 4" xfId="2246"/>
    <cellStyle name="Input 2 2 3 5 4 2" xfId="2247"/>
    <cellStyle name="Input 2 2 3 5 4 2 2" xfId="2248"/>
    <cellStyle name="Input 2 2 3 5 4 3" xfId="2249"/>
    <cellStyle name="Input 2 2 3 5 5" xfId="2250"/>
    <cellStyle name="Input 2 2 3 5 5 2" xfId="2251"/>
    <cellStyle name="Input 2 2 3 5 6" xfId="2252"/>
    <cellStyle name="Input 2 2 3 5 6 2" xfId="2253"/>
    <cellStyle name="Input 2 2 3 5 7" xfId="2254"/>
    <cellStyle name="Input 2 2 3 5 7 2" xfId="2255"/>
    <cellStyle name="Input 2 2 3 5 8" xfId="2256"/>
    <cellStyle name="Input 2 2 3 6" xfId="2257"/>
    <cellStyle name="Input 2 2 3 6 2" xfId="2258"/>
    <cellStyle name="Input 2 2 3 6 2 2" xfId="2259"/>
    <cellStyle name="Input 2 2 3 6 2 2 2" xfId="2260"/>
    <cellStyle name="Input 2 2 3 6 2 3" xfId="2261"/>
    <cellStyle name="Input 2 2 3 6 2 3 2" xfId="2262"/>
    <cellStyle name="Input 2 2 3 6 2 4" xfId="2263"/>
    <cellStyle name="Input 2 2 3 6 3" xfId="2264"/>
    <cellStyle name="Input 2 2 3 6 3 2" xfId="2265"/>
    <cellStyle name="Input 2 2 3 6 3 2 2" xfId="2266"/>
    <cellStyle name="Input 2 2 3 6 3 3" xfId="2267"/>
    <cellStyle name="Input 2 2 3 6 3 3 2" xfId="2268"/>
    <cellStyle name="Input 2 2 3 6 3 4" xfId="2269"/>
    <cellStyle name="Input 2 2 3 6 4" xfId="2270"/>
    <cellStyle name="Input 2 2 3 6 4 2" xfId="2271"/>
    <cellStyle name="Input 2 2 3 6 5" xfId="2272"/>
    <cellStyle name="Input 2 2 3 6 5 2" xfId="2273"/>
    <cellStyle name="Input 2 2 3 6 6" xfId="2274"/>
    <cellStyle name="Input 2 2 3 6 6 2" xfId="2275"/>
    <cellStyle name="Input 2 2 3 6 7" xfId="2276"/>
    <cellStyle name="Input 2 2 3 6 7 2" xfId="2277"/>
    <cellStyle name="Input 2 2 3 6 8" xfId="2278"/>
    <cellStyle name="Input 2 2 3 7" xfId="2279"/>
    <cellStyle name="Input 2 2 3 7 2" xfId="2280"/>
    <cellStyle name="Input 2 2 3 7 2 2" xfId="2281"/>
    <cellStyle name="Input 2 2 3 7 3" xfId="2282"/>
    <cellStyle name="Input 2 2 3 8" xfId="2283"/>
    <cellStyle name="Input 2 2 3 8 2" xfId="2284"/>
    <cellStyle name="Input 2 2 4" xfId="2285"/>
    <cellStyle name="Input 2 2 4 2" xfId="2286"/>
    <cellStyle name="Input 2 2 4 2 2" xfId="2287"/>
    <cellStyle name="Input 2 2 4 2 2 2" xfId="2288"/>
    <cellStyle name="Input 2 2 4 2 2 2 2" xfId="2289"/>
    <cellStyle name="Input 2 2 4 2 2 2 2 2" xfId="2290"/>
    <cellStyle name="Input 2 2 4 2 2 2 3" xfId="2291"/>
    <cellStyle name="Input 2 2 4 2 2 2 3 2" xfId="2292"/>
    <cellStyle name="Input 2 2 4 2 2 2 4" xfId="2293"/>
    <cellStyle name="Input 2 2 4 2 2 3" xfId="2294"/>
    <cellStyle name="Input 2 2 4 2 2 3 2" xfId="2295"/>
    <cellStyle name="Input 2 2 4 2 2 3 2 2" xfId="2296"/>
    <cellStyle name="Input 2 2 4 2 2 3 3" xfId="2297"/>
    <cellStyle name="Input 2 2 4 2 2 3 3 2" xfId="2298"/>
    <cellStyle name="Input 2 2 4 2 2 3 4" xfId="2299"/>
    <cellStyle name="Input 2 2 4 2 2 4" xfId="2300"/>
    <cellStyle name="Input 2 2 4 2 2 4 2" xfId="2301"/>
    <cellStyle name="Input 2 2 4 2 2 4 2 2" xfId="2302"/>
    <cellStyle name="Input 2 2 4 2 2 4 3" xfId="2303"/>
    <cellStyle name="Input 2 2 4 2 2 5" xfId="2304"/>
    <cellStyle name="Input 2 2 4 2 2 5 2" xfId="2305"/>
    <cellStyle name="Input 2 2 4 2 2 6" xfId="2306"/>
    <cellStyle name="Input 2 2 4 2 2 6 2" xfId="2307"/>
    <cellStyle name="Input 2 2 4 2 2 7" xfId="2308"/>
    <cellStyle name="Input 2 2 4 2 2 7 2" xfId="2309"/>
    <cellStyle name="Input 2 2 4 2 2 8" xfId="2310"/>
    <cellStyle name="Input 2 2 4 2 3" xfId="2311"/>
    <cellStyle name="Input 2 2 4 2 3 2" xfId="2312"/>
    <cellStyle name="Input 2 2 4 2 3 2 2" xfId="2313"/>
    <cellStyle name="Input 2 2 4 2 3 2 2 2" xfId="2314"/>
    <cellStyle name="Input 2 2 4 2 3 2 3" xfId="2315"/>
    <cellStyle name="Input 2 2 4 2 3 2 3 2" xfId="2316"/>
    <cellStyle name="Input 2 2 4 2 3 2 4" xfId="2317"/>
    <cellStyle name="Input 2 2 4 2 3 3" xfId="2318"/>
    <cellStyle name="Input 2 2 4 2 3 3 2" xfId="2319"/>
    <cellStyle name="Input 2 2 4 2 3 3 2 2" xfId="2320"/>
    <cellStyle name="Input 2 2 4 2 3 3 3" xfId="2321"/>
    <cellStyle name="Input 2 2 4 2 3 3 3 2" xfId="2322"/>
    <cellStyle name="Input 2 2 4 2 3 3 4" xfId="2323"/>
    <cellStyle name="Input 2 2 4 2 3 4" xfId="2324"/>
    <cellStyle name="Input 2 2 4 2 3 4 2" xfId="2325"/>
    <cellStyle name="Input 2 2 4 2 3 5" xfId="2326"/>
    <cellStyle name="Input 2 2 4 2 3 5 2" xfId="2327"/>
    <cellStyle name="Input 2 2 4 2 3 6" xfId="2328"/>
    <cellStyle name="Input 2 2 4 2 3 6 2" xfId="2329"/>
    <cellStyle name="Input 2 2 4 2 3 7" xfId="2330"/>
    <cellStyle name="Input 2 2 4 2 3 7 2" xfId="2331"/>
    <cellStyle name="Input 2 2 4 2 3 8" xfId="2332"/>
    <cellStyle name="Input 2 2 4 2 4" xfId="2333"/>
    <cellStyle name="Input 2 2 4 2 4 2" xfId="2334"/>
    <cellStyle name="Input 2 2 4 2 4 2 2" xfId="2335"/>
    <cellStyle name="Input 2 2 4 2 4 3" xfId="2336"/>
    <cellStyle name="Input 2 2 4 2 5" xfId="2337"/>
    <cellStyle name="Input 2 2 4 2 5 2" xfId="2338"/>
    <cellStyle name="Input 2 2 4 2 6" xfId="2339"/>
    <cellStyle name="Input 2 2 4 2 6 2" xfId="2340"/>
    <cellStyle name="Input 2 2 4 3" xfId="2341"/>
    <cellStyle name="Input 2 2 4 3 2" xfId="2342"/>
    <cellStyle name="Input 2 2 4 3 2 2" xfId="2343"/>
    <cellStyle name="Input 2 2 4 3 2 2 2" xfId="2344"/>
    <cellStyle name="Input 2 2 4 3 2 2 2 2" xfId="2345"/>
    <cellStyle name="Input 2 2 4 3 2 2 3" xfId="2346"/>
    <cellStyle name="Input 2 2 4 3 2 2 3 2" xfId="2347"/>
    <cellStyle name="Input 2 2 4 3 2 2 4" xfId="2348"/>
    <cellStyle name="Input 2 2 4 3 2 3" xfId="2349"/>
    <cellStyle name="Input 2 2 4 3 2 3 2" xfId="2350"/>
    <cellStyle name="Input 2 2 4 3 2 3 2 2" xfId="2351"/>
    <cellStyle name="Input 2 2 4 3 2 3 3" xfId="2352"/>
    <cellStyle name="Input 2 2 4 3 2 3 3 2" xfId="2353"/>
    <cellStyle name="Input 2 2 4 3 2 3 4" xfId="2354"/>
    <cellStyle name="Input 2 2 4 3 2 4" xfId="2355"/>
    <cellStyle name="Input 2 2 4 3 2 4 2" xfId="2356"/>
    <cellStyle name="Input 2 2 4 3 2 4 2 2" xfId="2357"/>
    <cellStyle name="Input 2 2 4 3 2 4 3" xfId="2358"/>
    <cellStyle name="Input 2 2 4 3 2 5" xfId="2359"/>
    <cellStyle name="Input 2 2 4 3 2 5 2" xfId="2360"/>
    <cellStyle name="Input 2 2 4 3 2 6" xfId="2361"/>
    <cellStyle name="Input 2 2 4 3 2 6 2" xfId="2362"/>
    <cellStyle name="Input 2 2 4 3 2 7" xfId="2363"/>
    <cellStyle name="Input 2 2 4 3 2 7 2" xfId="2364"/>
    <cellStyle name="Input 2 2 4 3 2 8" xfId="2365"/>
    <cellStyle name="Input 2 2 4 3 3" xfId="2366"/>
    <cellStyle name="Input 2 2 4 3 3 2" xfId="2367"/>
    <cellStyle name="Input 2 2 4 3 3 2 2" xfId="2368"/>
    <cellStyle name="Input 2 2 4 3 3 2 2 2" xfId="2369"/>
    <cellStyle name="Input 2 2 4 3 3 2 3" xfId="2370"/>
    <cellStyle name="Input 2 2 4 3 3 2 3 2" xfId="2371"/>
    <cellStyle name="Input 2 2 4 3 3 2 4" xfId="2372"/>
    <cellStyle name="Input 2 2 4 3 3 3" xfId="2373"/>
    <cellStyle name="Input 2 2 4 3 3 3 2" xfId="2374"/>
    <cellStyle name="Input 2 2 4 3 3 3 2 2" xfId="2375"/>
    <cellStyle name="Input 2 2 4 3 3 3 3" xfId="2376"/>
    <cellStyle name="Input 2 2 4 3 3 3 3 2" xfId="2377"/>
    <cellStyle name="Input 2 2 4 3 3 3 4" xfId="2378"/>
    <cellStyle name="Input 2 2 4 3 3 4" xfId="2379"/>
    <cellStyle name="Input 2 2 4 3 3 4 2" xfId="2380"/>
    <cellStyle name="Input 2 2 4 3 3 5" xfId="2381"/>
    <cellStyle name="Input 2 2 4 3 3 5 2" xfId="2382"/>
    <cellStyle name="Input 2 2 4 3 3 6" xfId="2383"/>
    <cellStyle name="Input 2 2 4 3 3 6 2" xfId="2384"/>
    <cellStyle name="Input 2 2 4 3 3 7" xfId="2385"/>
    <cellStyle name="Input 2 2 4 3 3 7 2" xfId="2386"/>
    <cellStyle name="Input 2 2 4 3 3 8" xfId="2387"/>
    <cellStyle name="Input 2 2 4 3 4" xfId="2388"/>
    <cellStyle name="Input 2 2 4 3 4 2" xfId="2389"/>
    <cellStyle name="Input 2 2 4 3 4 2 2" xfId="2390"/>
    <cellStyle name="Input 2 2 4 3 4 3" xfId="2391"/>
    <cellStyle name="Input 2 2 4 3 5" xfId="2392"/>
    <cellStyle name="Input 2 2 4 3 5 2" xfId="2393"/>
    <cellStyle name="Input 2 2 4 3 6" xfId="2394"/>
    <cellStyle name="Input 2 2 4 3 6 2" xfId="2395"/>
    <cellStyle name="Input 2 2 4 4" xfId="2396"/>
    <cellStyle name="Input 2 2 4 4 2" xfId="2397"/>
    <cellStyle name="Input 2 2 4 4 2 2" xfId="2398"/>
    <cellStyle name="Input 2 2 4 4 2 2 2" xfId="2399"/>
    <cellStyle name="Input 2 2 4 4 2 3" xfId="2400"/>
    <cellStyle name="Input 2 2 4 4 2 3 2" xfId="2401"/>
    <cellStyle name="Input 2 2 4 4 2 4" xfId="2402"/>
    <cellStyle name="Input 2 2 4 4 3" xfId="2403"/>
    <cellStyle name="Input 2 2 4 4 3 2" xfId="2404"/>
    <cellStyle name="Input 2 2 4 4 3 2 2" xfId="2405"/>
    <cellStyle name="Input 2 2 4 4 3 3" xfId="2406"/>
    <cellStyle name="Input 2 2 4 4 3 3 2" xfId="2407"/>
    <cellStyle name="Input 2 2 4 4 3 4" xfId="2408"/>
    <cellStyle name="Input 2 2 4 4 4" xfId="2409"/>
    <cellStyle name="Input 2 2 4 4 4 2" xfId="2410"/>
    <cellStyle name="Input 2 2 4 4 4 2 2" xfId="2411"/>
    <cellStyle name="Input 2 2 4 4 4 3" xfId="2412"/>
    <cellStyle name="Input 2 2 4 4 5" xfId="2413"/>
    <cellStyle name="Input 2 2 4 4 5 2" xfId="2414"/>
    <cellStyle name="Input 2 2 4 4 6" xfId="2415"/>
    <cellStyle name="Input 2 2 4 4 6 2" xfId="2416"/>
    <cellStyle name="Input 2 2 4 4 7" xfId="2417"/>
    <cellStyle name="Input 2 2 4 4 7 2" xfId="2418"/>
    <cellStyle name="Input 2 2 4 4 8" xfId="2419"/>
    <cellStyle name="Input 2 2 4 5" xfId="2420"/>
    <cellStyle name="Input 2 2 4 5 2" xfId="2421"/>
    <cellStyle name="Input 2 2 4 5 2 2" xfId="2422"/>
    <cellStyle name="Input 2 2 4 5 2 2 2" xfId="2423"/>
    <cellStyle name="Input 2 2 4 5 2 3" xfId="2424"/>
    <cellStyle name="Input 2 2 4 5 2 3 2" xfId="2425"/>
    <cellStyle name="Input 2 2 4 5 2 4" xfId="2426"/>
    <cellStyle name="Input 2 2 4 5 3" xfId="2427"/>
    <cellStyle name="Input 2 2 4 5 3 2" xfId="2428"/>
    <cellStyle name="Input 2 2 4 5 3 2 2" xfId="2429"/>
    <cellStyle name="Input 2 2 4 5 3 3" xfId="2430"/>
    <cellStyle name="Input 2 2 4 5 3 3 2" xfId="2431"/>
    <cellStyle name="Input 2 2 4 5 3 4" xfId="2432"/>
    <cellStyle name="Input 2 2 4 5 4" xfId="2433"/>
    <cellStyle name="Input 2 2 4 5 4 2" xfId="2434"/>
    <cellStyle name="Input 2 2 4 5 4 2 2" xfId="2435"/>
    <cellStyle name="Input 2 2 4 5 4 3" xfId="2436"/>
    <cellStyle name="Input 2 2 4 5 5" xfId="2437"/>
    <cellStyle name="Input 2 2 4 5 5 2" xfId="2438"/>
    <cellStyle name="Input 2 2 4 5 6" xfId="2439"/>
    <cellStyle name="Input 2 2 4 5 6 2" xfId="2440"/>
    <cellStyle name="Input 2 2 4 5 7" xfId="2441"/>
    <cellStyle name="Input 2 2 4 5 7 2" xfId="2442"/>
    <cellStyle name="Input 2 2 4 5 8" xfId="2443"/>
    <cellStyle name="Input 2 2 4 6" xfId="2444"/>
    <cellStyle name="Input 2 2 4 6 2" xfId="2445"/>
    <cellStyle name="Input 2 2 4 6 2 2" xfId="2446"/>
    <cellStyle name="Input 2 2 4 6 2 2 2" xfId="2447"/>
    <cellStyle name="Input 2 2 4 6 2 3" xfId="2448"/>
    <cellStyle name="Input 2 2 4 6 2 3 2" xfId="2449"/>
    <cellStyle name="Input 2 2 4 6 2 4" xfId="2450"/>
    <cellStyle name="Input 2 2 4 6 3" xfId="2451"/>
    <cellStyle name="Input 2 2 4 6 3 2" xfId="2452"/>
    <cellStyle name="Input 2 2 4 6 3 2 2" xfId="2453"/>
    <cellStyle name="Input 2 2 4 6 3 3" xfId="2454"/>
    <cellStyle name="Input 2 2 4 6 3 3 2" xfId="2455"/>
    <cellStyle name="Input 2 2 4 6 3 4" xfId="2456"/>
    <cellStyle name="Input 2 2 4 6 4" xfId="2457"/>
    <cellStyle name="Input 2 2 4 6 4 2" xfId="2458"/>
    <cellStyle name="Input 2 2 4 6 5" xfId="2459"/>
    <cellStyle name="Input 2 2 4 6 5 2" xfId="2460"/>
    <cellStyle name="Input 2 2 4 6 6" xfId="2461"/>
    <cellStyle name="Input 2 2 4 6 6 2" xfId="2462"/>
    <cellStyle name="Input 2 2 4 6 7" xfId="2463"/>
    <cellStyle name="Input 2 2 4 6 7 2" xfId="2464"/>
    <cellStyle name="Input 2 2 4 6 8" xfId="2465"/>
    <cellStyle name="Input 2 2 4 7" xfId="2466"/>
    <cellStyle name="Input 2 2 4 7 2" xfId="2467"/>
    <cellStyle name="Input 2 2 4 7 2 2" xfId="2468"/>
    <cellStyle name="Input 2 2 4 7 3" xfId="2469"/>
    <cellStyle name="Input 2 2 4 8" xfId="2470"/>
    <cellStyle name="Input 2 2 4 8 2" xfId="2471"/>
    <cellStyle name="Input 2 2 5" xfId="2472"/>
    <cellStyle name="Input 2 2 5 2" xfId="2473"/>
    <cellStyle name="Input 2 2 5 2 2" xfId="2474"/>
    <cellStyle name="Input 2 2 5 2 2 2" xfId="2475"/>
    <cellStyle name="Input 2 2 5 2 2 2 2" xfId="2476"/>
    <cellStyle name="Input 2 2 5 2 2 2 2 2" xfId="2477"/>
    <cellStyle name="Input 2 2 5 2 2 2 3" xfId="2478"/>
    <cellStyle name="Input 2 2 5 2 2 2 3 2" xfId="2479"/>
    <cellStyle name="Input 2 2 5 2 2 2 4" xfId="2480"/>
    <cellStyle name="Input 2 2 5 2 2 3" xfId="2481"/>
    <cellStyle name="Input 2 2 5 2 2 3 2" xfId="2482"/>
    <cellStyle name="Input 2 2 5 2 2 3 2 2" xfId="2483"/>
    <cellStyle name="Input 2 2 5 2 2 3 3" xfId="2484"/>
    <cellStyle name="Input 2 2 5 2 2 3 3 2" xfId="2485"/>
    <cellStyle name="Input 2 2 5 2 2 3 4" xfId="2486"/>
    <cellStyle name="Input 2 2 5 2 2 4" xfId="2487"/>
    <cellStyle name="Input 2 2 5 2 2 4 2" xfId="2488"/>
    <cellStyle name="Input 2 2 5 2 2 4 2 2" xfId="2489"/>
    <cellStyle name="Input 2 2 5 2 2 4 3" xfId="2490"/>
    <cellStyle name="Input 2 2 5 2 2 5" xfId="2491"/>
    <cellStyle name="Input 2 2 5 2 2 5 2" xfId="2492"/>
    <cellStyle name="Input 2 2 5 2 2 6" xfId="2493"/>
    <cellStyle name="Input 2 2 5 2 2 6 2" xfId="2494"/>
    <cellStyle name="Input 2 2 5 2 2 7" xfId="2495"/>
    <cellStyle name="Input 2 2 5 2 2 7 2" xfId="2496"/>
    <cellStyle name="Input 2 2 5 2 2 8" xfId="2497"/>
    <cellStyle name="Input 2 2 5 2 3" xfId="2498"/>
    <cellStyle name="Input 2 2 5 2 3 2" xfId="2499"/>
    <cellStyle name="Input 2 2 5 2 3 2 2" xfId="2500"/>
    <cellStyle name="Input 2 2 5 2 3 2 2 2" xfId="2501"/>
    <cellStyle name="Input 2 2 5 2 3 2 3" xfId="2502"/>
    <cellStyle name="Input 2 2 5 2 3 2 3 2" xfId="2503"/>
    <cellStyle name="Input 2 2 5 2 3 2 4" xfId="2504"/>
    <cellStyle name="Input 2 2 5 2 3 3" xfId="2505"/>
    <cellStyle name="Input 2 2 5 2 3 3 2" xfId="2506"/>
    <cellStyle name="Input 2 2 5 2 3 3 2 2" xfId="2507"/>
    <cellStyle name="Input 2 2 5 2 3 3 3" xfId="2508"/>
    <cellStyle name="Input 2 2 5 2 3 3 3 2" xfId="2509"/>
    <cellStyle name="Input 2 2 5 2 3 3 4" xfId="2510"/>
    <cellStyle name="Input 2 2 5 2 3 4" xfId="2511"/>
    <cellStyle name="Input 2 2 5 2 3 4 2" xfId="2512"/>
    <cellStyle name="Input 2 2 5 2 3 5" xfId="2513"/>
    <cellStyle name="Input 2 2 5 2 3 5 2" xfId="2514"/>
    <cellStyle name="Input 2 2 5 2 3 6" xfId="2515"/>
    <cellStyle name="Input 2 2 5 2 3 6 2" xfId="2516"/>
    <cellStyle name="Input 2 2 5 2 3 7" xfId="2517"/>
    <cellStyle name="Input 2 2 5 2 3 7 2" xfId="2518"/>
    <cellStyle name="Input 2 2 5 2 3 8" xfId="2519"/>
    <cellStyle name="Input 2 2 5 2 4" xfId="2520"/>
    <cellStyle name="Input 2 2 5 2 4 2" xfId="2521"/>
    <cellStyle name="Input 2 2 5 2 4 2 2" xfId="2522"/>
    <cellStyle name="Input 2 2 5 2 4 3" xfId="2523"/>
    <cellStyle name="Input 2 2 5 2 5" xfId="2524"/>
    <cellStyle name="Input 2 2 5 2 5 2" xfId="2525"/>
    <cellStyle name="Input 2 2 5 2 6" xfId="2526"/>
    <cellStyle name="Input 2 2 5 2 6 2" xfId="2527"/>
    <cellStyle name="Input 2 2 5 3" xfId="2528"/>
    <cellStyle name="Input 2 2 5 3 2" xfId="2529"/>
    <cellStyle name="Input 2 2 5 3 2 2" xfId="2530"/>
    <cellStyle name="Input 2 2 5 3 2 2 2" xfId="2531"/>
    <cellStyle name="Input 2 2 5 3 2 2 2 2" xfId="2532"/>
    <cellStyle name="Input 2 2 5 3 2 2 3" xfId="2533"/>
    <cellStyle name="Input 2 2 5 3 2 2 3 2" xfId="2534"/>
    <cellStyle name="Input 2 2 5 3 2 2 4" xfId="2535"/>
    <cellStyle name="Input 2 2 5 3 2 3" xfId="2536"/>
    <cellStyle name="Input 2 2 5 3 2 3 2" xfId="2537"/>
    <cellStyle name="Input 2 2 5 3 2 3 2 2" xfId="2538"/>
    <cellStyle name="Input 2 2 5 3 2 3 3" xfId="2539"/>
    <cellStyle name="Input 2 2 5 3 2 3 3 2" xfId="2540"/>
    <cellStyle name="Input 2 2 5 3 2 3 4" xfId="2541"/>
    <cellStyle name="Input 2 2 5 3 2 4" xfId="2542"/>
    <cellStyle name="Input 2 2 5 3 2 4 2" xfId="2543"/>
    <cellStyle name="Input 2 2 5 3 2 4 2 2" xfId="2544"/>
    <cellStyle name="Input 2 2 5 3 2 4 3" xfId="2545"/>
    <cellStyle name="Input 2 2 5 3 2 5" xfId="2546"/>
    <cellStyle name="Input 2 2 5 3 2 5 2" xfId="2547"/>
    <cellStyle name="Input 2 2 5 3 2 6" xfId="2548"/>
    <cellStyle name="Input 2 2 5 3 2 6 2" xfId="2549"/>
    <cellStyle name="Input 2 2 5 3 2 7" xfId="2550"/>
    <cellStyle name="Input 2 2 5 3 2 7 2" xfId="2551"/>
    <cellStyle name="Input 2 2 5 3 2 8" xfId="2552"/>
    <cellStyle name="Input 2 2 5 3 3" xfId="2553"/>
    <cellStyle name="Input 2 2 5 3 3 2" xfId="2554"/>
    <cellStyle name="Input 2 2 5 3 3 2 2" xfId="2555"/>
    <cellStyle name="Input 2 2 5 3 3 2 2 2" xfId="2556"/>
    <cellStyle name="Input 2 2 5 3 3 2 3" xfId="2557"/>
    <cellStyle name="Input 2 2 5 3 3 2 3 2" xfId="2558"/>
    <cellStyle name="Input 2 2 5 3 3 2 4" xfId="2559"/>
    <cellStyle name="Input 2 2 5 3 3 3" xfId="2560"/>
    <cellStyle name="Input 2 2 5 3 3 3 2" xfId="2561"/>
    <cellStyle name="Input 2 2 5 3 3 3 2 2" xfId="2562"/>
    <cellStyle name="Input 2 2 5 3 3 3 3" xfId="2563"/>
    <cellStyle name="Input 2 2 5 3 3 3 3 2" xfId="2564"/>
    <cellStyle name="Input 2 2 5 3 3 3 4" xfId="2565"/>
    <cellStyle name="Input 2 2 5 3 3 4" xfId="2566"/>
    <cellStyle name="Input 2 2 5 3 3 4 2" xfId="2567"/>
    <cellStyle name="Input 2 2 5 3 3 5" xfId="2568"/>
    <cellStyle name="Input 2 2 5 3 3 5 2" xfId="2569"/>
    <cellStyle name="Input 2 2 5 3 3 6" xfId="2570"/>
    <cellStyle name="Input 2 2 5 3 3 6 2" xfId="2571"/>
    <cellStyle name="Input 2 2 5 3 3 7" xfId="2572"/>
    <cellStyle name="Input 2 2 5 3 3 7 2" xfId="2573"/>
    <cellStyle name="Input 2 2 5 3 3 8" xfId="2574"/>
    <cellStyle name="Input 2 2 5 3 4" xfId="2575"/>
    <cellStyle name="Input 2 2 5 3 4 2" xfId="2576"/>
    <cellStyle name="Input 2 2 5 3 4 2 2" xfId="2577"/>
    <cellStyle name="Input 2 2 5 3 4 3" xfId="2578"/>
    <cellStyle name="Input 2 2 5 3 5" xfId="2579"/>
    <cellStyle name="Input 2 2 5 3 5 2" xfId="2580"/>
    <cellStyle name="Input 2 2 5 3 6" xfId="2581"/>
    <cellStyle name="Input 2 2 5 3 6 2" xfId="2582"/>
    <cellStyle name="Input 2 2 5 4" xfId="2583"/>
    <cellStyle name="Input 2 2 5 4 2" xfId="2584"/>
    <cellStyle name="Input 2 2 5 4 2 2" xfId="2585"/>
    <cellStyle name="Input 2 2 5 4 2 2 2" xfId="2586"/>
    <cellStyle name="Input 2 2 5 4 2 3" xfId="2587"/>
    <cellStyle name="Input 2 2 5 4 2 3 2" xfId="2588"/>
    <cellStyle name="Input 2 2 5 4 2 4" xfId="2589"/>
    <cellStyle name="Input 2 2 5 4 3" xfId="2590"/>
    <cellStyle name="Input 2 2 5 4 3 2" xfId="2591"/>
    <cellStyle name="Input 2 2 5 4 3 2 2" xfId="2592"/>
    <cellStyle name="Input 2 2 5 4 3 3" xfId="2593"/>
    <cellStyle name="Input 2 2 5 4 3 3 2" xfId="2594"/>
    <cellStyle name="Input 2 2 5 4 3 4" xfId="2595"/>
    <cellStyle name="Input 2 2 5 4 4" xfId="2596"/>
    <cellStyle name="Input 2 2 5 4 4 2" xfId="2597"/>
    <cellStyle name="Input 2 2 5 4 4 2 2" xfId="2598"/>
    <cellStyle name="Input 2 2 5 4 4 3" xfId="2599"/>
    <cellStyle name="Input 2 2 5 4 5" xfId="2600"/>
    <cellStyle name="Input 2 2 5 4 5 2" xfId="2601"/>
    <cellStyle name="Input 2 2 5 4 6" xfId="2602"/>
    <cellStyle name="Input 2 2 5 4 6 2" xfId="2603"/>
    <cellStyle name="Input 2 2 5 4 7" xfId="2604"/>
    <cellStyle name="Input 2 2 5 4 7 2" xfId="2605"/>
    <cellStyle name="Input 2 2 5 4 8" xfId="2606"/>
    <cellStyle name="Input 2 2 5 5" xfId="2607"/>
    <cellStyle name="Input 2 2 5 5 2" xfId="2608"/>
    <cellStyle name="Input 2 2 5 5 2 2" xfId="2609"/>
    <cellStyle name="Input 2 2 5 5 2 2 2" xfId="2610"/>
    <cellStyle name="Input 2 2 5 5 2 3" xfId="2611"/>
    <cellStyle name="Input 2 2 5 5 2 3 2" xfId="2612"/>
    <cellStyle name="Input 2 2 5 5 2 4" xfId="2613"/>
    <cellStyle name="Input 2 2 5 5 3" xfId="2614"/>
    <cellStyle name="Input 2 2 5 5 3 2" xfId="2615"/>
    <cellStyle name="Input 2 2 5 5 3 2 2" xfId="2616"/>
    <cellStyle name="Input 2 2 5 5 3 3" xfId="2617"/>
    <cellStyle name="Input 2 2 5 5 3 3 2" xfId="2618"/>
    <cellStyle name="Input 2 2 5 5 3 4" xfId="2619"/>
    <cellStyle name="Input 2 2 5 5 4" xfId="2620"/>
    <cellStyle name="Input 2 2 5 5 4 2" xfId="2621"/>
    <cellStyle name="Input 2 2 5 5 4 2 2" xfId="2622"/>
    <cellStyle name="Input 2 2 5 5 4 3" xfId="2623"/>
    <cellStyle name="Input 2 2 5 5 5" xfId="2624"/>
    <cellStyle name="Input 2 2 5 5 5 2" xfId="2625"/>
    <cellStyle name="Input 2 2 5 5 6" xfId="2626"/>
    <cellStyle name="Input 2 2 5 5 6 2" xfId="2627"/>
    <cellStyle name="Input 2 2 5 5 7" xfId="2628"/>
    <cellStyle name="Input 2 2 5 5 7 2" xfId="2629"/>
    <cellStyle name="Input 2 2 5 5 8" xfId="2630"/>
    <cellStyle name="Input 2 2 5 6" xfId="2631"/>
    <cellStyle name="Input 2 2 5 6 2" xfId="2632"/>
    <cellStyle name="Input 2 2 5 6 2 2" xfId="2633"/>
    <cellStyle name="Input 2 2 5 6 2 2 2" xfId="2634"/>
    <cellStyle name="Input 2 2 5 6 2 3" xfId="2635"/>
    <cellStyle name="Input 2 2 5 6 2 3 2" xfId="2636"/>
    <cellStyle name="Input 2 2 5 6 2 4" xfId="2637"/>
    <cellStyle name="Input 2 2 5 6 3" xfId="2638"/>
    <cellStyle name="Input 2 2 5 6 3 2" xfId="2639"/>
    <cellStyle name="Input 2 2 5 6 3 2 2" xfId="2640"/>
    <cellStyle name="Input 2 2 5 6 3 3" xfId="2641"/>
    <cellStyle name="Input 2 2 5 6 3 3 2" xfId="2642"/>
    <cellStyle name="Input 2 2 5 6 3 4" xfId="2643"/>
    <cellStyle name="Input 2 2 5 6 4" xfId="2644"/>
    <cellStyle name="Input 2 2 5 6 4 2" xfId="2645"/>
    <cellStyle name="Input 2 2 5 6 5" xfId="2646"/>
    <cellStyle name="Input 2 2 5 6 5 2" xfId="2647"/>
    <cellStyle name="Input 2 2 5 6 6" xfId="2648"/>
    <cellStyle name="Input 2 2 5 6 6 2" xfId="2649"/>
    <cellStyle name="Input 2 2 5 6 7" xfId="2650"/>
    <cellStyle name="Input 2 2 5 6 7 2" xfId="2651"/>
    <cellStyle name="Input 2 2 5 6 8" xfId="2652"/>
    <cellStyle name="Input 2 2 5 7" xfId="2653"/>
    <cellStyle name="Input 2 2 5 7 2" xfId="2654"/>
    <cellStyle name="Input 2 2 5 7 2 2" xfId="2655"/>
    <cellStyle name="Input 2 2 5 7 3" xfId="2656"/>
    <cellStyle name="Input 2 2 5 8" xfId="2657"/>
    <cellStyle name="Input 2 2 5 8 2" xfId="2658"/>
    <cellStyle name="Input 2 2 6" xfId="2659"/>
    <cellStyle name="Input 2 2 6 2" xfId="2660"/>
    <cellStyle name="Input 2 2 6 2 2" xfId="2661"/>
    <cellStyle name="Input 2 2 6 2 2 2" xfId="2662"/>
    <cellStyle name="Input 2 2 6 2 2 2 2" xfId="2663"/>
    <cellStyle name="Input 2 2 6 2 2 2 2 2" xfId="2664"/>
    <cellStyle name="Input 2 2 6 2 2 2 3" xfId="2665"/>
    <cellStyle name="Input 2 2 6 2 2 2 3 2" xfId="2666"/>
    <cellStyle name="Input 2 2 6 2 2 2 4" xfId="2667"/>
    <cellStyle name="Input 2 2 6 2 2 3" xfId="2668"/>
    <cellStyle name="Input 2 2 6 2 2 3 2" xfId="2669"/>
    <cellStyle name="Input 2 2 6 2 2 3 2 2" xfId="2670"/>
    <cellStyle name="Input 2 2 6 2 2 3 3" xfId="2671"/>
    <cellStyle name="Input 2 2 6 2 2 3 3 2" xfId="2672"/>
    <cellStyle name="Input 2 2 6 2 2 3 4" xfId="2673"/>
    <cellStyle name="Input 2 2 6 2 2 4" xfId="2674"/>
    <cellStyle name="Input 2 2 6 2 2 4 2" xfId="2675"/>
    <cellStyle name="Input 2 2 6 2 2 4 2 2" xfId="2676"/>
    <cellStyle name="Input 2 2 6 2 2 4 3" xfId="2677"/>
    <cellStyle name="Input 2 2 6 2 2 5" xfId="2678"/>
    <cellStyle name="Input 2 2 6 2 2 5 2" xfId="2679"/>
    <cellStyle name="Input 2 2 6 2 2 6" xfId="2680"/>
    <cellStyle name="Input 2 2 6 2 2 6 2" xfId="2681"/>
    <cellStyle name="Input 2 2 6 2 2 7" xfId="2682"/>
    <cellStyle name="Input 2 2 6 2 2 7 2" xfId="2683"/>
    <cellStyle name="Input 2 2 6 2 2 8" xfId="2684"/>
    <cellStyle name="Input 2 2 6 2 3" xfId="2685"/>
    <cellStyle name="Input 2 2 6 2 3 2" xfId="2686"/>
    <cellStyle name="Input 2 2 6 2 3 2 2" xfId="2687"/>
    <cellStyle name="Input 2 2 6 2 3 2 2 2" xfId="2688"/>
    <cellStyle name="Input 2 2 6 2 3 2 3" xfId="2689"/>
    <cellStyle name="Input 2 2 6 2 3 2 3 2" xfId="2690"/>
    <cellStyle name="Input 2 2 6 2 3 2 4" xfId="2691"/>
    <cellStyle name="Input 2 2 6 2 3 3" xfId="2692"/>
    <cellStyle name="Input 2 2 6 2 3 3 2" xfId="2693"/>
    <cellStyle name="Input 2 2 6 2 3 3 2 2" xfId="2694"/>
    <cellStyle name="Input 2 2 6 2 3 3 3" xfId="2695"/>
    <cellStyle name="Input 2 2 6 2 3 3 3 2" xfId="2696"/>
    <cellStyle name="Input 2 2 6 2 3 3 4" xfId="2697"/>
    <cellStyle name="Input 2 2 6 2 3 4" xfId="2698"/>
    <cellStyle name="Input 2 2 6 2 3 4 2" xfId="2699"/>
    <cellStyle name="Input 2 2 6 2 3 5" xfId="2700"/>
    <cellStyle name="Input 2 2 6 2 3 5 2" xfId="2701"/>
    <cellStyle name="Input 2 2 6 2 3 6" xfId="2702"/>
    <cellStyle name="Input 2 2 6 2 3 6 2" xfId="2703"/>
    <cellStyle name="Input 2 2 6 2 3 7" xfId="2704"/>
    <cellStyle name="Input 2 2 6 2 3 7 2" xfId="2705"/>
    <cellStyle name="Input 2 2 6 2 3 8" xfId="2706"/>
    <cellStyle name="Input 2 2 6 2 4" xfId="2707"/>
    <cellStyle name="Input 2 2 6 2 4 2" xfId="2708"/>
    <cellStyle name="Input 2 2 6 2 4 2 2" xfId="2709"/>
    <cellStyle name="Input 2 2 6 2 4 3" xfId="2710"/>
    <cellStyle name="Input 2 2 6 2 5" xfId="2711"/>
    <cellStyle name="Input 2 2 6 2 5 2" xfId="2712"/>
    <cellStyle name="Input 2 2 6 2 6" xfId="2713"/>
    <cellStyle name="Input 2 2 6 2 6 2" xfId="2714"/>
    <cellStyle name="Input 2 2 6 3" xfId="2715"/>
    <cellStyle name="Input 2 2 6 3 2" xfId="2716"/>
    <cellStyle name="Input 2 2 6 3 2 2" xfId="2717"/>
    <cellStyle name="Input 2 2 6 3 2 2 2" xfId="2718"/>
    <cellStyle name="Input 2 2 6 3 2 2 2 2" xfId="2719"/>
    <cellStyle name="Input 2 2 6 3 2 2 3" xfId="2720"/>
    <cellStyle name="Input 2 2 6 3 2 2 3 2" xfId="2721"/>
    <cellStyle name="Input 2 2 6 3 2 2 4" xfId="2722"/>
    <cellStyle name="Input 2 2 6 3 2 3" xfId="2723"/>
    <cellStyle name="Input 2 2 6 3 2 3 2" xfId="2724"/>
    <cellStyle name="Input 2 2 6 3 2 3 2 2" xfId="2725"/>
    <cellStyle name="Input 2 2 6 3 2 3 3" xfId="2726"/>
    <cellStyle name="Input 2 2 6 3 2 3 3 2" xfId="2727"/>
    <cellStyle name="Input 2 2 6 3 2 3 4" xfId="2728"/>
    <cellStyle name="Input 2 2 6 3 2 4" xfId="2729"/>
    <cellStyle name="Input 2 2 6 3 2 4 2" xfId="2730"/>
    <cellStyle name="Input 2 2 6 3 2 4 2 2" xfId="2731"/>
    <cellStyle name="Input 2 2 6 3 2 4 3" xfId="2732"/>
    <cellStyle name="Input 2 2 6 3 2 5" xfId="2733"/>
    <cellStyle name="Input 2 2 6 3 2 5 2" xfId="2734"/>
    <cellStyle name="Input 2 2 6 3 2 6" xfId="2735"/>
    <cellStyle name="Input 2 2 6 3 2 6 2" xfId="2736"/>
    <cellStyle name="Input 2 2 6 3 2 7" xfId="2737"/>
    <cellStyle name="Input 2 2 6 3 2 7 2" xfId="2738"/>
    <cellStyle name="Input 2 2 6 3 2 8" xfId="2739"/>
    <cellStyle name="Input 2 2 6 3 3" xfId="2740"/>
    <cellStyle name="Input 2 2 6 3 3 2" xfId="2741"/>
    <cellStyle name="Input 2 2 6 3 3 2 2" xfId="2742"/>
    <cellStyle name="Input 2 2 6 3 3 2 2 2" xfId="2743"/>
    <cellStyle name="Input 2 2 6 3 3 2 3" xfId="2744"/>
    <cellStyle name="Input 2 2 6 3 3 2 3 2" xfId="2745"/>
    <cellStyle name="Input 2 2 6 3 3 2 4" xfId="2746"/>
    <cellStyle name="Input 2 2 6 3 3 3" xfId="2747"/>
    <cellStyle name="Input 2 2 6 3 3 3 2" xfId="2748"/>
    <cellStyle name="Input 2 2 6 3 3 3 2 2" xfId="2749"/>
    <cellStyle name="Input 2 2 6 3 3 3 3" xfId="2750"/>
    <cellStyle name="Input 2 2 6 3 3 3 3 2" xfId="2751"/>
    <cellStyle name="Input 2 2 6 3 3 3 4" xfId="2752"/>
    <cellStyle name="Input 2 2 6 3 3 4" xfId="2753"/>
    <cellStyle name="Input 2 2 6 3 3 4 2" xfId="2754"/>
    <cellStyle name="Input 2 2 6 3 3 5" xfId="2755"/>
    <cellStyle name="Input 2 2 6 3 3 5 2" xfId="2756"/>
    <cellStyle name="Input 2 2 6 3 3 6" xfId="2757"/>
    <cellStyle name="Input 2 2 6 3 3 6 2" xfId="2758"/>
    <cellStyle name="Input 2 2 6 3 3 7" xfId="2759"/>
    <cellStyle name="Input 2 2 6 3 3 7 2" xfId="2760"/>
    <cellStyle name="Input 2 2 6 3 3 8" xfId="2761"/>
    <cellStyle name="Input 2 2 6 3 4" xfId="2762"/>
    <cellStyle name="Input 2 2 6 3 4 2" xfId="2763"/>
    <cellStyle name="Input 2 2 6 3 4 2 2" xfId="2764"/>
    <cellStyle name="Input 2 2 6 3 4 3" xfId="2765"/>
    <cellStyle name="Input 2 2 6 3 5" xfId="2766"/>
    <cellStyle name="Input 2 2 6 3 5 2" xfId="2767"/>
    <cellStyle name="Input 2 2 6 3 6" xfId="2768"/>
    <cellStyle name="Input 2 2 6 3 6 2" xfId="2769"/>
    <cellStyle name="Input 2 2 6 4" xfId="2770"/>
    <cellStyle name="Input 2 2 6 4 2" xfId="2771"/>
    <cellStyle name="Input 2 2 6 4 2 2" xfId="2772"/>
    <cellStyle name="Input 2 2 6 4 2 2 2" xfId="2773"/>
    <cellStyle name="Input 2 2 6 4 2 3" xfId="2774"/>
    <cellStyle name="Input 2 2 6 4 2 3 2" xfId="2775"/>
    <cellStyle name="Input 2 2 6 4 2 4" xfId="2776"/>
    <cellStyle name="Input 2 2 6 4 3" xfId="2777"/>
    <cellStyle name="Input 2 2 6 4 3 2" xfId="2778"/>
    <cellStyle name="Input 2 2 6 4 3 2 2" xfId="2779"/>
    <cellStyle name="Input 2 2 6 4 3 3" xfId="2780"/>
    <cellStyle name="Input 2 2 6 4 3 3 2" xfId="2781"/>
    <cellStyle name="Input 2 2 6 4 3 4" xfId="2782"/>
    <cellStyle name="Input 2 2 6 4 4" xfId="2783"/>
    <cellStyle name="Input 2 2 6 4 4 2" xfId="2784"/>
    <cellStyle name="Input 2 2 6 4 4 2 2" xfId="2785"/>
    <cellStyle name="Input 2 2 6 4 4 3" xfId="2786"/>
    <cellStyle name="Input 2 2 6 4 5" xfId="2787"/>
    <cellStyle name="Input 2 2 6 4 5 2" xfId="2788"/>
    <cellStyle name="Input 2 2 6 4 6" xfId="2789"/>
    <cellStyle name="Input 2 2 6 4 6 2" xfId="2790"/>
    <cellStyle name="Input 2 2 6 4 7" xfId="2791"/>
    <cellStyle name="Input 2 2 6 4 7 2" xfId="2792"/>
    <cellStyle name="Input 2 2 6 4 8" xfId="2793"/>
    <cellStyle name="Input 2 2 6 5" xfId="2794"/>
    <cellStyle name="Input 2 2 6 5 2" xfId="2795"/>
    <cellStyle name="Input 2 2 6 5 2 2" xfId="2796"/>
    <cellStyle name="Input 2 2 6 5 2 2 2" xfId="2797"/>
    <cellStyle name="Input 2 2 6 5 2 3" xfId="2798"/>
    <cellStyle name="Input 2 2 6 5 2 3 2" xfId="2799"/>
    <cellStyle name="Input 2 2 6 5 2 4" xfId="2800"/>
    <cellStyle name="Input 2 2 6 5 3" xfId="2801"/>
    <cellStyle name="Input 2 2 6 5 3 2" xfId="2802"/>
    <cellStyle name="Input 2 2 6 5 3 2 2" xfId="2803"/>
    <cellStyle name="Input 2 2 6 5 3 3" xfId="2804"/>
    <cellStyle name="Input 2 2 6 5 3 3 2" xfId="2805"/>
    <cellStyle name="Input 2 2 6 5 3 4" xfId="2806"/>
    <cellStyle name="Input 2 2 6 5 4" xfId="2807"/>
    <cellStyle name="Input 2 2 6 5 4 2" xfId="2808"/>
    <cellStyle name="Input 2 2 6 5 4 2 2" xfId="2809"/>
    <cellStyle name="Input 2 2 6 5 4 3" xfId="2810"/>
    <cellStyle name="Input 2 2 6 5 5" xfId="2811"/>
    <cellStyle name="Input 2 2 6 5 5 2" xfId="2812"/>
    <cellStyle name="Input 2 2 6 5 6" xfId="2813"/>
    <cellStyle name="Input 2 2 6 5 6 2" xfId="2814"/>
    <cellStyle name="Input 2 2 6 5 7" xfId="2815"/>
    <cellStyle name="Input 2 2 6 5 7 2" xfId="2816"/>
    <cellStyle name="Input 2 2 6 5 8" xfId="2817"/>
    <cellStyle name="Input 2 2 6 6" xfId="2818"/>
    <cellStyle name="Input 2 2 6 6 2" xfId="2819"/>
    <cellStyle name="Input 2 2 6 6 2 2" xfId="2820"/>
    <cellStyle name="Input 2 2 6 6 2 2 2" xfId="2821"/>
    <cellStyle name="Input 2 2 6 6 2 3" xfId="2822"/>
    <cellStyle name="Input 2 2 6 6 2 3 2" xfId="2823"/>
    <cellStyle name="Input 2 2 6 6 2 4" xfId="2824"/>
    <cellStyle name="Input 2 2 6 6 3" xfId="2825"/>
    <cellStyle name="Input 2 2 6 6 3 2" xfId="2826"/>
    <cellStyle name="Input 2 2 6 6 3 2 2" xfId="2827"/>
    <cellStyle name="Input 2 2 6 6 3 3" xfId="2828"/>
    <cellStyle name="Input 2 2 6 6 3 3 2" xfId="2829"/>
    <cellStyle name="Input 2 2 6 6 3 4" xfId="2830"/>
    <cellStyle name="Input 2 2 6 6 4" xfId="2831"/>
    <cellStyle name="Input 2 2 6 6 4 2" xfId="2832"/>
    <cellStyle name="Input 2 2 6 6 5" xfId="2833"/>
    <cellStyle name="Input 2 2 6 6 5 2" xfId="2834"/>
    <cellStyle name="Input 2 2 6 6 6" xfId="2835"/>
    <cellStyle name="Input 2 2 6 6 6 2" xfId="2836"/>
    <cellStyle name="Input 2 2 6 6 7" xfId="2837"/>
    <cellStyle name="Input 2 2 6 6 7 2" xfId="2838"/>
    <cellStyle name="Input 2 2 6 6 8" xfId="2839"/>
    <cellStyle name="Input 2 2 6 7" xfId="2840"/>
    <cellStyle name="Input 2 2 6 7 2" xfId="2841"/>
    <cellStyle name="Input 2 2 6 7 2 2" xfId="2842"/>
    <cellStyle name="Input 2 2 6 7 3" xfId="2843"/>
    <cellStyle name="Input 2 2 6 8" xfId="2844"/>
    <cellStyle name="Input 2 2 6 8 2" xfId="2845"/>
    <cellStyle name="Input 2 2 7" xfId="2846"/>
    <cellStyle name="Input 2 2 7 2" xfId="2847"/>
    <cellStyle name="Input 2 2 7 2 2" xfId="2848"/>
    <cellStyle name="Input 2 2 7 2 2 2" xfId="2849"/>
    <cellStyle name="Input 2 2 7 2 2 2 2" xfId="2850"/>
    <cellStyle name="Input 2 2 7 2 2 2 2 2" xfId="2851"/>
    <cellStyle name="Input 2 2 7 2 2 2 3" xfId="2852"/>
    <cellStyle name="Input 2 2 7 2 2 2 3 2" xfId="2853"/>
    <cellStyle name="Input 2 2 7 2 2 2 4" xfId="2854"/>
    <cellStyle name="Input 2 2 7 2 2 3" xfId="2855"/>
    <cellStyle name="Input 2 2 7 2 2 3 2" xfId="2856"/>
    <cellStyle name="Input 2 2 7 2 2 3 2 2" xfId="2857"/>
    <cellStyle name="Input 2 2 7 2 2 3 3" xfId="2858"/>
    <cellStyle name="Input 2 2 7 2 2 3 3 2" xfId="2859"/>
    <cellStyle name="Input 2 2 7 2 2 3 4" xfId="2860"/>
    <cellStyle name="Input 2 2 7 2 2 4" xfId="2861"/>
    <cellStyle name="Input 2 2 7 2 2 4 2" xfId="2862"/>
    <cellStyle name="Input 2 2 7 2 2 4 2 2" xfId="2863"/>
    <cellStyle name="Input 2 2 7 2 2 4 3" xfId="2864"/>
    <cellStyle name="Input 2 2 7 2 2 5" xfId="2865"/>
    <cellStyle name="Input 2 2 7 2 2 5 2" xfId="2866"/>
    <cellStyle name="Input 2 2 7 2 2 6" xfId="2867"/>
    <cellStyle name="Input 2 2 7 2 2 6 2" xfId="2868"/>
    <cellStyle name="Input 2 2 7 2 2 7" xfId="2869"/>
    <cellStyle name="Input 2 2 7 2 2 7 2" xfId="2870"/>
    <cellStyle name="Input 2 2 7 2 2 8" xfId="2871"/>
    <cellStyle name="Input 2 2 7 2 3" xfId="2872"/>
    <cellStyle name="Input 2 2 7 2 3 2" xfId="2873"/>
    <cellStyle name="Input 2 2 7 2 3 2 2" xfId="2874"/>
    <cellStyle name="Input 2 2 7 2 3 2 2 2" xfId="2875"/>
    <cellStyle name="Input 2 2 7 2 3 2 3" xfId="2876"/>
    <cellStyle name="Input 2 2 7 2 3 2 3 2" xfId="2877"/>
    <cellStyle name="Input 2 2 7 2 3 2 4" xfId="2878"/>
    <cellStyle name="Input 2 2 7 2 3 3" xfId="2879"/>
    <cellStyle name="Input 2 2 7 2 3 3 2" xfId="2880"/>
    <cellStyle name="Input 2 2 7 2 3 3 2 2" xfId="2881"/>
    <cellStyle name="Input 2 2 7 2 3 3 3" xfId="2882"/>
    <cellStyle name="Input 2 2 7 2 3 3 3 2" xfId="2883"/>
    <cellStyle name="Input 2 2 7 2 3 3 4" xfId="2884"/>
    <cellStyle name="Input 2 2 7 2 3 4" xfId="2885"/>
    <cellStyle name="Input 2 2 7 2 3 4 2" xfId="2886"/>
    <cellStyle name="Input 2 2 7 2 3 5" xfId="2887"/>
    <cellStyle name="Input 2 2 7 2 3 5 2" xfId="2888"/>
    <cellStyle name="Input 2 2 7 2 3 6" xfId="2889"/>
    <cellStyle name="Input 2 2 7 2 3 6 2" xfId="2890"/>
    <cellStyle name="Input 2 2 7 2 3 7" xfId="2891"/>
    <cellStyle name="Input 2 2 7 2 3 7 2" xfId="2892"/>
    <cellStyle name="Input 2 2 7 2 3 8" xfId="2893"/>
    <cellStyle name="Input 2 2 7 2 4" xfId="2894"/>
    <cellStyle name="Input 2 2 7 2 4 2" xfId="2895"/>
    <cellStyle name="Input 2 2 7 2 4 2 2" xfId="2896"/>
    <cellStyle name="Input 2 2 7 2 4 3" xfId="2897"/>
    <cellStyle name="Input 2 2 7 2 5" xfId="2898"/>
    <cellStyle name="Input 2 2 7 2 5 2" xfId="2899"/>
    <cellStyle name="Input 2 2 7 2 6" xfId="2900"/>
    <cellStyle name="Input 2 2 7 2 6 2" xfId="2901"/>
    <cellStyle name="Input 2 2 7 3" xfId="2902"/>
    <cellStyle name="Input 2 2 7 3 2" xfId="2903"/>
    <cellStyle name="Input 2 2 7 3 2 2" xfId="2904"/>
    <cellStyle name="Input 2 2 7 3 2 2 2" xfId="2905"/>
    <cellStyle name="Input 2 2 7 3 2 2 2 2" xfId="2906"/>
    <cellStyle name="Input 2 2 7 3 2 2 3" xfId="2907"/>
    <cellStyle name="Input 2 2 7 3 2 2 3 2" xfId="2908"/>
    <cellStyle name="Input 2 2 7 3 2 2 4" xfId="2909"/>
    <cellStyle name="Input 2 2 7 3 2 3" xfId="2910"/>
    <cellStyle name="Input 2 2 7 3 2 3 2" xfId="2911"/>
    <cellStyle name="Input 2 2 7 3 2 3 2 2" xfId="2912"/>
    <cellStyle name="Input 2 2 7 3 2 3 3" xfId="2913"/>
    <cellStyle name="Input 2 2 7 3 2 3 3 2" xfId="2914"/>
    <cellStyle name="Input 2 2 7 3 2 3 4" xfId="2915"/>
    <cellStyle name="Input 2 2 7 3 2 4" xfId="2916"/>
    <cellStyle name="Input 2 2 7 3 2 4 2" xfId="2917"/>
    <cellStyle name="Input 2 2 7 3 2 4 2 2" xfId="2918"/>
    <cellStyle name="Input 2 2 7 3 2 4 3" xfId="2919"/>
    <cellStyle name="Input 2 2 7 3 2 5" xfId="2920"/>
    <cellStyle name="Input 2 2 7 3 2 5 2" xfId="2921"/>
    <cellStyle name="Input 2 2 7 3 2 6" xfId="2922"/>
    <cellStyle name="Input 2 2 7 3 2 6 2" xfId="2923"/>
    <cellStyle name="Input 2 2 7 3 2 7" xfId="2924"/>
    <cellStyle name="Input 2 2 7 3 2 7 2" xfId="2925"/>
    <cellStyle name="Input 2 2 7 3 2 8" xfId="2926"/>
    <cellStyle name="Input 2 2 7 3 3" xfId="2927"/>
    <cellStyle name="Input 2 2 7 3 3 2" xfId="2928"/>
    <cellStyle name="Input 2 2 7 3 3 2 2" xfId="2929"/>
    <cellStyle name="Input 2 2 7 3 3 2 2 2" xfId="2930"/>
    <cellStyle name="Input 2 2 7 3 3 2 3" xfId="2931"/>
    <cellStyle name="Input 2 2 7 3 3 2 3 2" xfId="2932"/>
    <cellStyle name="Input 2 2 7 3 3 2 4" xfId="2933"/>
    <cellStyle name="Input 2 2 7 3 3 3" xfId="2934"/>
    <cellStyle name="Input 2 2 7 3 3 3 2" xfId="2935"/>
    <cellStyle name="Input 2 2 7 3 3 3 2 2" xfId="2936"/>
    <cellStyle name="Input 2 2 7 3 3 3 3" xfId="2937"/>
    <cellStyle name="Input 2 2 7 3 3 3 3 2" xfId="2938"/>
    <cellStyle name="Input 2 2 7 3 3 3 4" xfId="2939"/>
    <cellStyle name="Input 2 2 7 3 3 4" xfId="2940"/>
    <cellStyle name="Input 2 2 7 3 3 4 2" xfId="2941"/>
    <cellStyle name="Input 2 2 7 3 3 5" xfId="2942"/>
    <cellStyle name="Input 2 2 7 3 3 5 2" xfId="2943"/>
    <cellStyle name="Input 2 2 7 3 3 6" xfId="2944"/>
    <cellStyle name="Input 2 2 7 3 3 6 2" xfId="2945"/>
    <cellStyle name="Input 2 2 7 3 3 7" xfId="2946"/>
    <cellStyle name="Input 2 2 7 3 3 7 2" xfId="2947"/>
    <cellStyle name="Input 2 2 7 3 3 8" xfId="2948"/>
    <cellStyle name="Input 2 2 7 3 4" xfId="2949"/>
    <cellStyle name="Input 2 2 7 3 4 2" xfId="2950"/>
    <cellStyle name="Input 2 2 7 3 4 2 2" xfId="2951"/>
    <cellStyle name="Input 2 2 7 3 4 3" xfId="2952"/>
    <cellStyle name="Input 2 2 7 3 5" xfId="2953"/>
    <cellStyle name="Input 2 2 7 3 5 2" xfId="2954"/>
    <cellStyle name="Input 2 2 7 3 6" xfId="2955"/>
    <cellStyle name="Input 2 2 7 3 6 2" xfId="2956"/>
    <cellStyle name="Input 2 2 7 4" xfId="2957"/>
    <cellStyle name="Input 2 2 7 4 2" xfId="2958"/>
    <cellStyle name="Input 2 2 7 4 2 2" xfId="2959"/>
    <cellStyle name="Input 2 2 7 4 2 2 2" xfId="2960"/>
    <cellStyle name="Input 2 2 7 4 2 3" xfId="2961"/>
    <cellStyle name="Input 2 2 7 4 2 3 2" xfId="2962"/>
    <cellStyle name="Input 2 2 7 4 2 4" xfId="2963"/>
    <cellStyle name="Input 2 2 7 4 3" xfId="2964"/>
    <cellStyle name="Input 2 2 7 4 3 2" xfId="2965"/>
    <cellStyle name="Input 2 2 7 4 3 2 2" xfId="2966"/>
    <cellStyle name="Input 2 2 7 4 3 3" xfId="2967"/>
    <cellStyle name="Input 2 2 7 4 3 3 2" xfId="2968"/>
    <cellStyle name="Input 2 2 7 4 3 4" xfId="2969"/>
    <cellStyle name="Input 2 2 7 4 4" xfId="2970"/>
    <cellStyle name="Input 2 2 7 4 4 2" xfId="2971"/>
    <cellStyle name="Input 2 2 7 4 4 2 2" xfId="2972"/>
    <cellStyle name="Input 2 2 7 4 4 3" xfId="2973"/>
    <cellStyle name="Input 2 2 7 4 5" xfId="2974"/>
    <cellStyle name="Input 2 2 7 4 5 2" xfId="2975"/>
    <cellStyle name="Input 2 2 7 4 6" xfId="2976"/>
    <cellStyle name="Input 2 2 7 4 6 2" xfId="2977"/>
    <cellStyle name="Input 2 2 7 4 7" xfId="2978"/>
    <cellStyle name="Input 2 2 7 4 7 2" xfId="2979"/>
    <cellStyle name="Input 2 2 7 4 8" xfId="2980"/>
    <cellStyle name="Input 2 2 7 5" xfId="2981"/>
    <cellStyle name="Input 2 2 7 5 2" xfId="2982"/>
    <cellStyle name="Input 2 2 7 5 2 2" xfId="2983"/>
    <cellStyle name="Input 2 2 7 5 2 2 2" xfId="2984"/>
    <cellStyle name="Input 2 2 7 5 2 3" xfId="2985"/>
    <cellStyle name="Input 2 2 7 5 2 3 2" xfId="2986"/>
    <cellStyle name="Input 2 2 7 5 2 4" xfId="2987"/>
    <cellStyle name="Input 2 2 7 5 3" xfId="2988"/>
    <cellStyle name="Input 2 2 7 5 3 2" xfId="2989"/>
    <cellStyle name="Input 2 2 7 5 3 2 2" xfId="2990"/>
    <cellStyle name="Input 2 2 7 5 3 3" xfId="2991"/>
    <cellStyle name="Input 2 2 7 5 3 3 2" xfId="2992"/>
    <cellStyle name="Input 2 2 7 5 3 4" xfId="2993"/>
    <cellStyle name="Input 2 2 7 5 4" xfId="2994"/>
    <cellStyle name="Input 2 2 7 5 4 2" xfId="2995"/>
    <cellStyle name="Input 2 2 7 5 5" xfId="2996"/>
    <cellStyle name="Input 2 2 7 5 5 2" xfId="2997"/>
    <cellStyle name="Input 2 2 7 5 6" xfId="2998"/>
    <cellStyle name="Input 2 2 7 5 6 2" xfId="2999"/>
    <cellStyle name="Input 2 2 7 5 7" xfId="3000"/>
    <cellStyle name="Input 2 2 7 5 7 2" xfId="3001"/>
    <cellStyle name="Input 2 2 7 5 8" xfId="3002"/>
    <cellStyle name="Input 2 2 7 6" xfId="3003"/>
    <cellStyle name="Input 2 2 7 6 2" xfId="3004"/>
    <cellStyle name="Input 2 2 7 6 2 2" xfId="3005"/>
    <cellStyle name="Input 2 2 7 6 3" xfId="3006"/>
    <cellStyle name="Input 2 2 7 7" xfId="3007"/>
    <cellStyle name="Input 2 2 7 7 2" xfId="3008"/>
    <cellStyle name="Input 2 2 8" xfId="3009"/>
    <cellStyle name="Input 2 2 8 2" xfId="3010"/>
    <cellStyle name="Input 2 2 8 2 2" xfId="3011"/>
    <cellStyle name="Input 2 2 8 2 2 2" xfId="3012"/>
    <cellStyle name="Input 2 2 8 2 2 2 2" xfId="3013"/>
    <cellStyle name="Input 2 2 8 2 2 3" xfId="3014"/>
    <cellStyle name="Input 2 2 8 2 2 3 2" xfId="3015"/>
    <cellStyle name="Input 2 2 8 2 2 4" xfId="3016"/>
    <cellStyle name="Input 2 2 8 2 3" xfId="3017"/>
    <cellStyle name="Input 2 2 8 2 3 2" xfId="3018"/>
    <cellStyle name="Input 2 2 8 2 3 2 2" xfId="3019"/>
    <cellStyle name="Input 2 2 8 2 3 3" xfId="3020"/>
    <cellStyle name="Input 2 2 8 2 3 3 2" xfId="3021"/>
    <cellStyle name="Input 2 2 8 2 3 4" xfId="3022"/>
    <cellStyle name="Input 2 2 8 2 4" xfId="3023"/>
    <cellStyle name="Input 2 2 8 2 4 2" xfId="3024"/>
    <cellStyle name="Input 2 2 8 2 4 2 2" xfId="3025"/>
    <cellStyle name="Input 2 2 8 2 4 3" xfId="3026"/>
    <cellStyle name="Input 2 2 8 2 5" xfId="3027"/>
    <cellStyle name="Input 2 2 8 2 5 2" xfId="3028"/>
    <cellStyle name="Input 2 2 8 2 6" xfId="3029"/>
    <cellStyle name="Input 2 2 8 2 6 2" xfId="3030"/>
    <cellStyle name="Input 2 2 8 2 7" xfId="3031"/>
    <cellStyle name="Input 2 2 8 2 7 2" xfId="3032"/>
    <cellStyle name="Input 2 2 8 2 8" xfId="3033"/>
    <cellStyle name="Input 2 2 8 3" xfId="3034"/>
    <cellStyle name="Input 2 2 8 3 2" xfId="3035"/>
    <cellStyle name="Input 2 2 8 3 2 2" xfId="3036"/>
    <cellStyle name="Input 2 2 8 3 2 2 2" xfId="3037"/>
    <cellStyle name="Input 2 2 8 3 2 3" xfId="3038"/>
    <cellStyle name="Input 2 2 8 3 2 3 2" xfId="3039"/>
    <cellStyle name="Input 2 2 8 3 2 4" xfId="3040"/>
    <cellStyle name="Input 2 2 8 3 3" xfId="3041"/>
    <cellStyle name="Input 2 2 8 3 3 2" xfId="3042"/>
    <cellStyle name="Input 2 2 8 3 3 2 2" xfId="3043"/>
    <cellStyle name="Input 2 2 8 3 3 3" xfId="3044"/>
    <cellStyle name="Input 2 2 8 3 3 3 2" xfId="3045"/>
    <cellStyle name="Input 2 2 8 3 3 4" xfId="3046"/>
    <cellStyle name="Input 2 2 8 3 4" xfId="3047"/>
    <cellStyle name="Input 2 2 8 3 4 2" xfId="3048"/>
    <cellStyle name="Input 2 2 8 3 5" xfId="3049"/>
    <cellStyle name="Input 2 2 8 3 5 2" xfId="3050"/>
    <cellStyle name="Input 2 2 8 3 6" xfId="3051"/>
    <cellStyle name="Input 2 2 8 3 6 2" xfId="3052"/>
    <cellStyle name="Input 2 2 8 3 7" xfId="3053"/>
    <cellStyle name="Input 2 2 8 3 7 2" xfId="3054"/>
    <cellStyle name="Input 2 2 8 3 8" xfId="3055"/>
    <cellStyle name="Input 2 2 8 4" xfId="3056"/>
    <cellStyle name="Input 2 2 8 4 2" xfId="3057"/>
    <cellStyle name="Input 2 2 8 4 2 2" xfId="3058"/>
    <cellStyle name="Input 2 2 8 4 3" xfId="3059"/>
    <cellStyle name="Input 2 2 8 5" xfId="3060"/>
    <cellStyle name="Input 2 2 8 5 2" xfId="3061"/>
    <cellStyle name="Input 2 2 8 6" xfId="3062"/>
    <cellStyle name="Input 2 2 8 6 2" xfId="3063"/>
    <cellStyle name="Input 2 2 9" xfId="3064"/>
    <cellStyle name="Input 2 2 9 2" xfId="3065"/>
    <cellStyle name="Input 2 2 9 2 2" xfId="3066"/>
    <cellStyle name="Input 2 2 9 2 2 2" xfId="3067"/>
    <cellStyle name="Input 2 2 9 2 2 2 2" xfId="3068"/>
    <cellStyle name="Input 2 2 9 2 2 3" xfId="3069"/>
    <cellStyle name="Input 2 2 9 2 2 3 2" xfId="3070"/>
    <cellStyle name="Input 2 2 9 2 2 4" xfId="3071"/>
    <cellStyle name="Input 2 2 9 2 3" xfId="3072"/>
    <cellStyle name="Input 2 2 9 2 3 2" xfId="3073"/>
    <cellStyle name="Input 2 2 9 2 3 2 2" xfId="3074"/>
    <cellStyle name="Input 2 2 9 2 3 3" xfId="3075"/>
    <cellStyle name="Input 2 2 9 2 3 3 2" xfId="3076"/>
    <cellStyle name="Input 2 2 9 2 3 4" xfId="3077"/>
    <cellStyle name="Input 2 2 9 2 4" xfId="3078"/>
    <cellStyle name="Input 2 2 9 2 4 2" xfId="3079"/>
    <cellStyle name="Input 2 2 9 2 4 2 2" xfId="3080"/>
    <cellStyle name="Input 2 2 9 2 4 3" xfId="3081"/>
    <cellStyle name="Input 2 2 9 2 5" xfId="3082"/>
    <cellStyle name="Input 2 2 9 2 5 2" xfId="3083"/>
    <cellStyle name="Input 2 2 9 2 6" xfId="3084"/>
    <cellStyle name="Input 2 2 9 2 6 2" xfId="3085"/>
    <cellStyle name="Input 2 2 9 2 7" xfId="3086"/>
    <cellStyle name="Input 2 2 9 2 7 2" xfId="3087"/>
    <cellStyle name="Input 2 2 9 2 8" xfId="3088"/>
    <cellStyle name="Input 2 2 9 3" xfId="3089"/>
    <cellStyle name="Input 2 2 9 3 2" xfId="3090"/>
    <cellStyle name="Input 2 2 9 3 2 2" xfId="3091"/>
    <cellStyle name="Input 2 2 9 3 2 2 2" xfId="3092"/>
    <cellStyle name="Input 2 2 9 3 2 3" xfId="3093"/>
    <cellStyle name="Input 2 2 9 3 2 3 2" xfId="3094"/>
    <cellStyle name="Input 2 2 9 3 2 4" xfId="3095"/>
    <cellStyle name="Input 2 2 9 3 3" xfId="3096"/>
    <cellStyle name="Input 2 2 9 3 3 2" xfId="3097"/>
    <cellStyle name="Input 2 2 9 3 3 2 2" xfId="3098"/>
    <cellStyle name="Input 2 2 9 3 3 3" xfId="3099"/>
    <cellStyle name="Input 2 2 9 3 3 3 2" xfId="3100"/>
    <cellStyle name="Input 2 2 9 3 3 4" xfId="3101"/>
    <cellStyle name="Input 2 2 9 3 4" xfId="3102"/>
    <cellStyle name="Input 2 2 9 3 4 2" xfId="3103"/>
    <cellStyle name="Input 2 2 9 3 5" xfId="3104"/>
    <cellStyle name="Input 2 2 9 3 5 2" xfId="3105"/>
    <cellStyle name="Input 2 2 9 3 6" xfId="3106"/>
    <cellStyle name="Input 2 2 9 3 6 2" xfId="3107"/>
    <cellStyle name="Input 2 2 9 3 7" xfId="3108"/>
    <cellStyle name="Input 2 2 9 3 7 2" xfId="3109"/>
    <cellStyle name="Input 2 2 9 3 8" xfId="3110"/>
    <cellStyle name="Input 2 2 9 4" xfId="3111"/>
    <cellStyle name="Input 2 2 9 4 2" xfId="3112"/>
    <cellStyle name="Input 2 2 9 4 2 2" xfId="3113"/>
    <cellStyle name="Input 2 2 9 4 3" xfId="3114"/>
    <cellStyle name="Input 2 2 9 5" xfId="3115"/>
    <cellStyle name="Input 2 2 9 5 2" xfId="3116"/>
    <cellStyle name="Input 2 2 9 6" xfId="3117"/>
    <cellStyle name="Input 2 2 9 6 2" xfId="3118"/>
    <cellStyle name="Input 2 3" xfId="3119"/>
    <cellStyle name="Input 2 3 2" xfId="3120"/>
    <cellStyle name="Input 2 3 2 2" xfId="3121"/>
    <cellStyle name="Input 2 3 2 2 2" xfId="3122"/>
    <cellStyle name="Input 2 3 2 2 2 2" xfId="3123"/>
    <cellStyle name="Input 2 3 2 2 3" xfId="3124"/>
    <cellStyle name="Input 2 3 2 2 3 2" xfId="3125"/>
    <cellStyle name="Input 2 3 2 2 4" xfId="3126"/>
    <cellStyle name="Input 2 3 2 3" xfId="3127"/>
    <cellStyle name="Input 2 3 2 3 2" xfId="3128"/>
    <cellStyle name="Input 2 3 2 3 2 2" xfId="3129"/>
    <cellStyle name="Input 2 3 2 3 3" xfId="3130"/>
    <cellStyle name="Input 2 3 2 3 3 2" xfId="3131"/>
    <cellStyle name="Input 2 3 2 3 4" xfId="3132"/>
    <cellStyle name="Input 2 3 2 4" xfId="3133"/>
    <cellStyle name="Input 2 3 2 4 2" xfId="3134"/>
    <cellStyle name="Input 2 3 2 4 2 2" xfId="3135"/>
    <cellStyle name="Input 2 3 2 4 3" xfId="3136"/>
    <cellStyle name="Input 2 3 2 5" xfId="3137"/>
    <cellStyle name="Input 2 3 2 5 2" xfId="3138"/>
    <cellStyle name="Input 2 3 2 6" xfId="3139"/>
    <cellStyle name="Input 2 3 2 6 2" xfId="3140"/>
    <cellStyle name="Input 2 3 2 7" xfId="3141"/>
    <cellStyle name="Input 2 3 2 7 2" xfId="3142"/>
    <cellStyle name="Input 2 3 2 8" xfId="3143"/>
    <cellStyle name="Input 2 3 3" xfId="3144"/>
    <cellStyle name="Input 2 3 3 2" xfId="3145"/>
    <cellStyle name="Input 2 3 3 2 2" xfId="3146"/>
    <cellStyle name="Input 2 3 3 2 2 2" xfId="3147"/>
    <cellStyle name="Input 2 3 3 2 3" xfId="3148"/>
    <cellStyle name="Input 2 3 3 2 3 2" xfId="3149"/>
    <cellStyle name="Input 2 3 3 2 4" xfId="3150"/>
    <cellStyle name="Input 2 3 3 3" xfId="3151"/>
    <cellStyle name="Input 2 3 3 3 2" xfId="3152"/>
    <cellStyle name="Input 2 3 3 3 2 2" xfId="3153"/>
    <cellStyle name="Input 2 3 3 3 3" xfId="3154"/>
    <cellStyle name="Input 2 3 3 3 3 2" xfId="3155"/>
    <cellStyle name="Input 2 3 3 3 4" xfId="3156"/>
    <cellStyle name="Input 2 3 3 4" xfId="3157"/>
    <cellStyle name="Input 2 3 3 4 2" xfId="3158"/>
    <cellStyle name="Input 2 3 3 5" xfId="3159"/>
    <cellStyle name="Input 2 3 3 5 2" xfId="3160"/>
    <cellStyle name="Input 2 3 3 6" xfId="3161"/>
    <cellStyle name="Input 2 3 3 6 2" xfId="3162"/>
    <cellStyle name="Input 2 3 3 7" xfId="3163"/>
    <cellStyle name="Input 2 3 3 7 2" xfId="3164"/>
    <cellStyle name="Input 2 3 3 8" xfId="3165"/>
    <cellStyle name="Input 2 3 4" xfId="3166"/>
    <cellStyle name="Input 2 3 4 2" xfId="3167"/>
    <cellStyle name="Input 2 3 4 2 2" xfId="3168"/>
    <cellStyle name="Input 2 3 4 3" xfId="3169"/>
    <cellStyle name="Input 2 3 5" xfId="3170"/>
    <cellStyle name="Input 2 3 5 2" xfId="3171"/>
    <cellStyle name="Input 2 3 6" xfId="3172"/>
    <cellStyle name="Input 2 3 6 2" xfId="3173"/>
    <cellStyle name="Input 2 4" xfId="3174"/>
    <cellStyle name="Input 2 4 2" xfId="3175"/>
    <cellStyle name="Input 2 4 2 2" xfId="3176"/>
    <cellStyle name="Input 2 4 2 2 2" xfId="3177"/>
    <cellStyle name="Input 2 4 2 2 2 2" xfId="3178"/>
    <cellStyle name="Input 2 4 2 2 3" xfId="3179"/>
    <cellStyle name="Input 2 4 2 2 3 2" xfId="3180"/>
    <cellStyle name="Input 2 4 2 2 4" xfId="3181"/>
    <cellStyle name="Input 2 4 2 3" xfId="3182"/>
    <cellStyle name="Input 2 4 2 3 2" xfId="3183"/>
    <cellStyle name="Input 2 4 2 3 2 2" xfId="3184"/>
    <cellStyle name="Input 2 4 2 3 3" xfId="3185"/>
    <cellStyle name="Input 2 4 2 3 3 2" xfId="3186"/>
    <cellStyle name="Input 2 4 2 3 4" xfId="3187"/>
    <cellStyle name="Input 2 4 2 4" xfId="3188"/>
    <cellStyle name="Input 2 4 2 4 2" xfId="3189"/>
    <cellStyle name="Input 2 4 2 4 2 2" xfId="3190"/>
    <cellStyle name="Input 2 4 2 4 3" xfId="3191"/>
    <cellStyle name="Input 2 4 2 5" xfId="3192"/>
    <cellStyle name="Input 2 4 2 5 2" xfId="3193"/>
    <cellStyle name="Input 2 4 2 6" xfId="3194"/>
    <cellStyle name="Input 2 4 2 6 2" xfId="3195"/>
    <cellStyle name="Input 2 4 2 7" xfId="3196"/>
    <cellStyle name="Input 2 4 2 7 2" xfId="3197"/>
    <cellStyle name="Input 2 4 2 8" xfId="3198"/>
    <cellStyle name="Input 2 4 3" xfId="3199"/>
    <cellStyle name="Input 2 4 3 2" xfId="3200"/>
    <cellStyle name="Input 2 4 3 2 2" xfId="3201"/>
    <cellStyle name="Input 2 4 3 2 2 2" xfId="3202"/>
    <cellStyle name="Input 2 4 3 2 3" xfId="3203"/>
    <cellStyle name="Input 2 4 3 2 3 2" xfId="3204"/>
    <cellStyle name="Input 2 4 3 2 4" xfId="3205"/>
    <cellStyle name="Input 2 4 3 3" xfId="3206"/>
    <cellStyle name="Input 2 4 3 3 2" xfId="3207"/>
    <cellStyle name="Input 2 4 3 3 2 2" xfId="3208"/>
    <cellStyle name="Input 2 4 3 3 3" xfId="3209"/>
    <cellStyle name="Input 2 4 3 3 3 2" xfId="3210"/>
    <cellStyle name="Input 2 4 3 3 4" xfId="3211"/>
    <cellStyle name="Input 2 4 3 4" xfId="3212"/>
    <cellStyle name="Input 2 4 3 4 2" xfId="3213"/>
    <cellStyle name="Input 2 4 3 5" xfId="3214"/>
    <cellStyle name="Input 2 4 3 5 2" xfId="3215"/>
    <cellStyle name="Input 2 4 3 6" xfId="3216"/>
    <cellStyle name="Input 2 4 3 6 2" xfId="3217"/>
    <cellStyle name="Input 2 4 3 7" xfId="3218"/>
    <cellStyle name="Input 2 4 3 7 2" xfId="3219"/>
    <cellStyle name="Input 2 4 3 8" xfId="3220"/>
    <cellStyle name="Input 2 4 4" xfId="3221"/>
    <cellStyle name="Input 2 4 4 2" xfId="3222"/>
    <cellStyle name="Input 2 4 4 2 2" xfId="3223"/>
    <cellStyle name="Input 2 4 4 3" xfId="3224"/>
    <cellStyle name="Input 2 4 5" xfId="3225"/>
    <cellStyle name="Input 2 4 5 2" xfId="3226"/>
    <cellStyle name="Input 2 4 6" xfId="3227"/>
    <cellStyle name="Input 2 4 6 2" xfId="3228"/>
    <cellStyle name="Input 2 5" xfId="3229"/>
    <cellStyle name="Input 2 5 2" xfId="3230"/>
    <cellStyle name="Input 2 5 2 2" xfId="3231"/>
    <cellStyle name="Input 2 5 2 2 2" xfId="3232"/>
    <cellStyle name="Input 2 5 2 3" xfId="3233"/>
    <cellStyle name="Input 2 5 2 3 2" xfId="3234"/>
    <cellStyle name="Input 2 5 2 4" xfId="3235"/>
    <cellStyle name="Input 2 5 3" xfId="3236"/>
    <cellStyle name="Input 2 5 3 2" xfId="3237"/>
    <cellStyle name="Input 2 5 3 2 2" xfId="3238"/>
    <cellStyle name="Input 2 5 3 3" xfId="3239"/>
    <cellStyle name="Input 2 5 3 3 2" xfId="3240"/>
    <cellStyle name="Input 2 5 3 4" xfId="3241"/>
    <cellStyle name="Input 2 5 4" xfId="3242"/>
    <cellStyle name="Input 2 5 4 2" xfId="3243"/>
    <cellStyle name="Input 2 5 4 2 2" xfId="3244"/>
    <cellStyle name="Input 2 5 4 3" xfId="3245"/>
    <cellStyle name="Input 2 5 5" xfId="3246"/>
    <cellStyle name="Input 2 5 5 2" xfId="3247"/>
    <cellStyle name="Input 2 5 6" xfId="3248"/>
    <cellStyle name="Input 2 5 6 2" xfId="3249"/>
    <cellStyle name="Input 2 5 7" xfId="3250"/>
    <cellStyle name="Input 2 5 7 2" xfId="3251"/>
    <cellStyle name="Input 2 5 8" xfId="3252"/>
    <cellStyle name="Input 2 6" xfId="3253"/>
    <cellStyle name="Input 2 6 2" xfId="3254"/>
    <cellStyle name="Input 2 6 2 2" xfId="3255"/>
    <cellStyle name="Input 2 6 2 2 2" xfId="3256"/>
    <cellStyle name="Input 2 6 2 3" xfId="3257"/>
    <cellStyle name="Input 2 6 2 3 2" xfId="3258"/>
    <cellStyle name="Input 2 6 2 4" xfId="3259"/>
    <cellStyle name="Input 2 6 3" xfId="3260"/>
    <cellStyle name="Input 2 6 3 2" xfId="3261"/>
    <cellStyle name="Input 2 6 3 2 2" xfId="3262"/>
    <cellStyle name="Input 2 6 3 3" xfId="3263"/>
    <cellStyle name="Input 2 6 3 3 2" xfId="3264"/>
    <cellStyle name="Input 2 6 3 4" xfId="3265"/>
    <cellStyle name="Input 2 6 4" xfId="3266"/>
    <cellStyle name="Input 2 6 4 2" xfId="3267"/>
    <cellStyle name="Input 2 6 5" xfId="3268"/>
    <cellStyle name="Input 2 6 5 2" xfId="3269"/>
    <cellStyle name="Input 2 6 6" xfId="3270"/>
    <cellStyle name="Input 2 6 6 2" xfId="3271"/>
    <cellStyle name="Input 2 6 7" xfId="3272"/>
    <cellStyle name="Input 2 6 7 2" xfId="3273"/>
    <cellStyle name="Input 2 6 8" xfId="3274"/>
    <cellStyle name="Input 2 7" xfId="3275"/>
    <cellStyle name="Input 2 7 2" xfId="3276"/>
    <cellStyle name="Input 2 7 2 2" xfId="3277"/>
    <cellStyle name="Input 2 7 3" xfId="3278"/>
    <cellStyle name="Input 2 8" xfId="3279"/>
    <cellStyle name="Input 2 8 2" xfId="3280"/>
    <cellStyle name="Input 3" xfId="3281"/>
    <cellStyle name="Input 3 2" xfId="3282"/>
    <cellStyle name="Input 4" xfId="3283"/>
    <cellStyle name="Input 4 2" xfId="3284"/>
    <cellStyle name="Input 5" xfId="3285"/>
    <cellStyle name="Linked Cell 2" xfId="58"/>
    <cellStyle name="Linked Cell 3" xfId="3286"/>
    <cellStyle name="Linked Cell 4" xfId="3287"/>
    <cellStyle name="Neutral 2" xfId="59"/>
    <cellStyle name="Neutral 3" xfId="3288"/>
    <cellStyle name="Neutral 4" xfId="3289"/>
    <cellStyle name="Neutral 5" xfId="3290"/>
    <cellStyle name="Normal" xfId="0" builtinId="0"/>
    <cellStyle name="Normal 10" xfId="60"/>
    <cellStyle name="Normal 10 10" xfId="61"/>
    <cellStyle name="Normal 10 11" xfId="62"/>
    <cellStyle name="Normal 10 12" xfId="63"/>
    <cellStyle name="Normal 10 13" xfId="64"/>
    <cellStyle name="Normal 10 14" xfId="65"/>
    <cellStyle name="Normal 10 15" xfId="66"/>
    <cellStyle name="Normal 10 16" xfId="67"/>
    <cellStyle name="Normal 10 17" xfId="68"/>
    <cellStyle name="Normal 10 2" xfId="69"/>
    <cellStyle name="Normal 10 2 2" xfId="3291"/>
    <cellStyle name="Normal 10 3" xfId="70"/>
    <cellStyle name="Normal 10 4" xfId="71"/>
    <cellStyle name="Normal 10 5" xfId="72"/>
    <cellStyle name="Normal 10 6" xfId="73"/>
    <cellStyle name="Normal 10 7" xfId="74"/>
    <cellStyle name="Normal 10 8" xfId="75"/>
    <cellStyle name="Normal 10 9" xfId="76"/>
    <cellStyle name="Normal 11" xfId="5"/>
    <cellStyle name="Normal 12" xfId="77"/>
    <cellStyle name="Normal 13" xfId="78"/>
    <cellStyle name="Normal 13 10" xfId="79"/>
    <cellStyle name="Normal 13 11" xfId="80"/>
    <cellStyle name="Normal 13 12" xfId="81"/>
    <cellStyle name="Normal 13 13" xfId="82"/>
    <cellStyle name="Normal 13 14" xfId="83"/>
    <cellStyle name="Normal 13 15" xfId="84"/>
    <cellStyle name="Normal 13 16" xfId="85"/>
    <cellStyle name="Normal 13 17" xfId="86"/>
    <cellStyle name="Normal 13 2" xfId="87"/>
    <cellStyle name="Normal 13 3" xfId="88"/>
    <cellStyle name="Normal 13 4" xfId="89"/>
    <cellStyle name="Normal 13 5" xfId="90"/>
    <cellStyle name="Normal 13 6" xfId="91"/>
    <cellStyle name="Normal 13 7" xfId="92"/>
    <cellStyle name="Normal 13 8" xfId="93"/>
    <cellStyle name="Normal 13 9" xfId="94"/>
    <cellStyle name="Normal 14" xfId="95"/>
    <cellStyle name="Normal 15" xfId="96"/>
    <cellStyle name="Normal 15 10" xfId="97"/>
    <cellStyle name="Normal 15 11" xfId="98"/>
    <cellStyle name="Normal 15 12" xfId="99"/>
    <cellStyle name="Normal 15 13" xfId="100"/>
    <cellStyle name="Normal 15 14" xfId="101"/>
    <cellStyle name="Normal 15 15" xfId="102"/>
    <cellStyle name="Normal 15 16" xfId="103"/>
    <cellStyle name="Normal 15 17" xfId="104"/>
    <cellStyle name="Normal 15 2" xfId="105"/>
    <cellStyle name="Normal 15 3" xfId="106"/>
    <cellStyle name="Normal 15 4" xfId="107"/>
    <cellStyle name="Normal 15 5" xfId="108"/>
    <cellStyle name="Normal 15 6" xfId="109"/>
    <cellStyle name="Normal 15 7" xfId="110"/>
    <cellStyle name="Normal 15 8" xfId="111"/>
    <cellStyle name="Normal 15 9" xfId="112"/>
    <cellStyle name="Normal 16" xfId="113"/>
    <cellStyle name="Normal 16 10" xfId="114"/>
    <cellStyle name="Normal 16 11" xfId="115"/>
    <cellStyle name="Normal 16 12" xfId="116"/>
    <cellStyle name="Normal 16 13" xfId="117"/>
    <cellStyle name="Normal 16 14" xfId="118"/>
    <cellStyle name="Normal 16 15" xfId="119"/>
    <cellStyle name="Normal 16 16" xfId="120"/>
    <cellStyle name="Normal 16 17" xfId="121"/>
    <cellStyle name="Normal 16 2" xfId="122"/>
    <cellStyle name="Normal 16 3" xfId="123"/>
    <cellStyle name="Normal 16 4" xfId="124"/>
    <cellStyle name="Normal 16 5" xfId="125"/>
    <cellStyle name="Normal 16 6" xfId="126"/>
    <cellStyle name="Normal 16 7" xfId="127"/>
    <cellStyle name="Normal 16 8" xfId="128"/>
    <cellStyle name="Normal 16 9" xfId="129"/>
    <cellStyle name="Normal 17" xfId="10"/>
    <cellStyle name="Normal 17 2" xfId="130"/>
    <cellStyle name="Normal 18" xfId="131"/>
    <cellStyle name="Normal 18 2" xfId="3292"/>
    <cellStyle name="Normal 19" xfId="132"/>
    <cellStyle name="Normal 2" xfId="6"/>
    <cellStyle name="Normal 2 10" xfId="133"/>
    <cellStyle name="Normal 2 11" xfId="134"/>
    <cellStyle name="Normal 2 12" xfId="135"/>
    <cellStyle name="Normal 2 13" xfId="136"/>
    <cellStyle name="Normal 2 14" xfId="137"/>
    <cellStyle name="Normal 2 15" xfId="138"/>
    <cellStyle name="Normal 2 16" xfId="139"/>
    <cellStyle name="Normal 2 17" xfId="140"/>
    <cellStyle name="Normal 2 2" xfId="12"/>
    <cellStyle name="Normal 2 2 2" xfId="141"/>
    <cellStyle name="Normal 2 2 3" xfId="3293"/>
    <cellStyle name="Normal 2 3" xfId="142"/>
    <cellStyle name="Normal 2 3 2" xfId="3294"/>
    <cellStyle name="Normal 2 4" xfId="143"/>
    <cellStyle name="Normal 2 5" xfId="144"/>
    <cellStyle name="Normal 2 6" xfId="145"/>
    <cellStyle name="Normal 2 7" xfId="146"/>
    <cellStyle name="Normal 2 8" xfId="147"/>
    <cellStyle name="Normal 2 9" xfId="148"/>
    <cellStyle name="Normal 20" xfId="149"/>
    <cellStyle name="Normal 21" xfId="150"/>
    <cellStyle name="Normal 22" xfId="151"/>
    <cellStyle name="Normal 23" xfId="152"/>
    <cellStyle name="Normal 24" xfId="153"/>
    <cellStyle name="Normal 25" xfId="154"/>
    <cellStyle name="Normal 26" xfId="155"/>
    <cellStyle name="Normal 27" xfId="156"/>
    <cellStyle name="Normal 28" xfId="157"/>
    <cellStyle name="Normal 29" xfId="158"/>
    <cellStyle name="Normal 3" xfId="11"/>
    <cellStyle name="Normal 3 10" xfId="159"/>
    <cellStyle name="Normal 3 10 2" xfId="160"/>
    <cellStyle name="Normal 3 11" xfId="161"/>
    <cellStyle name="Normal 3 11 2" xfId="162"/>
    <cellStyle name="Normal 3 12" xfId="163"/>
    <cellStyle name="Normal 3 12 2" xfId="164"/>
    <cellStyle name="Normal 3 13" xfId="165"/>
    <cellStyle name="Normal 3 13 2" xfId="166"/>
    <cellStyle name="Normal 3 14" xfId="167"/>
    <cellStyle name="Normal 3 14 2" xfId="168"/>
    <cellStyle name="Normal 3 15" xfId="169"/>
    <cellStyle name="Normal 3 15 2" xfId="170"/>
    <cellStyle name="Normal 3 16" xfId="171"/>
    <cellStyle name="Normal 3 16 2" xfId="172"/>
    <cellStyle name="Normal 3 17" xfId="173"/>
    <cellStyle name="Normal 3 17 2" xfId="174"/>
    <cellStyle name="Normal 3 18" xfId="175"/>
    <cellStyle name="Normal 3 19" xfId="176"/>
    <cellStyle name="Normal 3 2" xfId="177"/>
    <cellStyle name="Normal 3 2 2" xfId="178"/>
    <cellStyle name="Normal 3 20" xfId="179"/>
    <cellStyle name="Normal 3 21" xfId="180"/>
    <cellStyle name="Normal 3 22" xfId="181"/>
    <cellStyle name="Normal 3 23" xfId="182"/>
    <cellStyle name="Normal 3 24" xfId="183"/>
    <cellStyle name="Normal 3 25" xfId="184"/>
    <cellStyle name="Normal 3 26" xfId="185"/>
    <cellStyle name="Normal 3 27" xfId="186"/>
    <cellStyle name="Normal 3 28" xfId="187"/>
    <cellStyle name="Normal 3 29" xfId="188"/>
    <cellStyle name="Normal 3 3" xfId="189"/>
    <cellStyle name="Normal 3 3 2" xfId="190"/>
    <cellStyle name="Normal 3 30" xfId="191"/>
    <cellStyle name="Normal 3 31" xfId="192"/>
    <cellStyle name="Normal 3 32" xfId="193"/>
    <cellStyle name="Normal 3 33" xfId="194"/>
    <cellStyle name="Normal 3 34" xfId="195"/>
    <cellStyle name="Normal 3 4" xfId="196"/>
    <cellStyle name="Normal 3 4 2" xfId="197"/>
    <cellStyle name="Normal 3 5" xfId="198"/>
    <cellStyle name="Normal 3 5 2" xfId="199"/>
    <cellStyle name="Normal 3 6" xfId="200"/>
    <cellStyle name="Normal 3 6 2" xfId="201"/>
    <cellStyle name="Normal 3 7" xfId="202"/>
    <cellStyle name="Normal 3 7 2" xfId="203"/>
    <cellStyle name="Normal 3 8" xfId="204"/>
    <cellStyle name="Normal 3 8 2" xfId="205"/>
    <cellStyle name="Normal 3 9" xfId="206"/>
    <cellStyle name="Normal 3 9 2" xfId="207"/>
    <cellStyle name="Normal 30" xfId="208"/>
    <cellStyle name="Normal 31" xfId="209"/>
    <cellStyle name="Normal 32" xfId="210"/>
    <cellStyle name="Normal 33" xfId="211"/>
    <cellStyle name="Normal 34" xfId="212"/>
    <cellStyle name="Normal 35" xfId="213"/>
    <cellStyle name="Normal 36" xfId="214"/>
    <cellStyle name="Normal 4" xfId="215"/>
    <cellStyle name="Normal 4 10" xfId="216"/>
    <cellStyle name="Normal 4 11" xfId="217"/>
    <cellStyle name="Normal 4 12" xfId="218"/>
    <cellStyle name="Normal 4 13" xfId="219"/>
    <cellStyle name="Normal 4 14" xfId="220"/>
    <cellStyle name="Normal 4 15" xfId="221"/>
    <cellStyle name="Normal 4 16" xfId="222"/>
    <cellStyle name="Normal 4 17" xfId="223"/>
    <cellStyle name="Normal 4 2" xfId="224"/>
    <cellStyle name="Normal 4 2 2" xfId="3295"/>
    <cellStyle name="Normal 4 3" xfId="225"/>
    <cellStyle name="Normal 4 4" xfId="226"/>
    <cellStyle name="Normal 4 5" xfId="227"/>
    <cellStyle name="Normal 4 6" xfId="228"/>
    <cellStyle name="Normal 4 7" xfId="229"/>
    <cellStyle name="Normal 4 8" xfId="230"/>
    <cellStyle name="Normal 4 9" xfId="231"/>
    <cellStyle name="Normal 5" xfId="232"/>
    <cellStyle name="Normal 5 10" xfId="233"/>
    <cellStyle name="Normal 5 11" xfId="234"/>
    <cellStyle name="Normal 5 12" xfId="235"/>
    <cellStyle name="Normal 5 13" xfId="236"/>
    <cellStyle name="Normal 5 14" xfId="237"/>
    <cellStyle name="Normal 5 15" xfId="238"/>
    <cellStyle name="Normal 5 16" xfId="239"/>
    <cellStyle name="Normal 5 17" xfId="240"/>
    <cellStyle name="Normal 5 2" xfId="241"/>
    <cellStyle name="Normal 5 2 2" xfId="3296"/>
    <cellStyle name="Normal 5 2 3" xfId="3297"/>
    <cellStyle name="Normal 5 3" xfId="242"/>
    <cellStyle name="Normal 5 3 2" xfId="3298"/>
    <cellStyle name="Normal 5 4" xfId="243"/>
    <cellStyle name="Normal 5 5" xfId="244"/>
    <cellStyle name="Normal 5 6" xfId="245"/>
    <cellStyle name="Normal 5 7" xfId="246"/>
    <cellStyle name="Normal 5 8" xfId="247"/>
    <cellStyle name="Normal 5 9" xfId="248"/>
    <cellStyle name="Normal 6" xfId="249"/>
    <cellStyle name="Normal 6 10" xfId="250"/>
    <cellStyle name="Normal 6 11" xfId="251"/>
    <cellStyle name="Normal 6 12" xfId="252"/>
    <cellStyle name="Normal 6 13" xfId="253"/>
    <cellStyle name="Normal 6 14" xfId="254"/>
    <cellStyle name="Normal 6 15" xfId="255"/>
    <cellStyle name="Normal 6 16" xfId="256"/>
    <cellStyle name="Normal 6 17" xfId="257"/>
    <cellStyle name="Normal 6 2" xfId="258"/>
    <cellStyle name="Normal 6 2 2" xfId="3299"/>
    <cellStyle name="Normal 6 2 3" xfId="3300"/>
    <cellStyle name="Normal 6 3" xfId="259"/>
    <cellStyle name="Normal 6 3 2" xfId="3301"/>
    <cellStyle name="Normal 6 3 3" xfId="3302"/>
    <cellStyle name="Normal 6 4" xfId="260"/>
    <cellStyle name="Normal 6 5" xfId="261"/>
    <cellStyle name="Normal 6 6" xfId="262"/>
    <cellStyle name="Normal 6 7" xfId="263"/>
    <cellStyle name="Normal 6 8" xfId="264"/>
    <cellStyle name="Normal 6 9" xfId="265"/>
    <cellStyle name="Normal 7" xfId="14"/>
    <cellStyle name="Normal 7 2" xfId="266"/>
    <cellStyle name="Normal 7 3" xfId="3303"/>
    <cellStyle name="Normal 8" xfId="16"/>
    <cellStyle name="Normal 8 10" xfId="267"/>
    <cellStyle name="Normal 8 11" xfId="268"/>
    <cellStyle name="Normal 8 12" xfId="269"/>
    <cellStyle name="Normal 8 13" xfId="270"/>
    <cellStyle name="Normal 8 14" xfId="271"/>
    <cellStyle name="Normal 8 15" xfId="272"/>
    <cellStyle name="Normal 8 16" xfId="273"/>
    <cellStyle name="Normal 8 17" xfId="274"/>
    <cellStyle name="Normal 8 2" xfId="275"/>
    <cellStyle name="Normal 8 3" xfId="276"/>
    <cellStyle name="Normal 8 3 2" xfId="3304"/>
    <cellStyle name="Normal 8 4" xfId="277"/>
    <cellStyle name="Normal 8 5" xfId="278"/>
    <cellStyle name="Normal 8 6" xfId="279"/>
    <cellStyle name="Normal 8 7" xfId="280"/>
    <cellStyle name="Normal 8 8" xfId="281"/>
    <cellStyle name="Normal 8 9" xfId="282"/>
    <cellStyle name="Normal 9" xfId="283"/>
    <cellStyle name="Normal_Data Entry_1" xfId="9"/>
    <cellStyle name="Normal_Sheet1" xfId="1"/>
    <cellStyle name="Normal_Sheet1 3" xfId="8"/>
    <cellStyle name="Note 10" xfId="284"/>
    <cellStyle name="Note 10 2" xfId="3305"/>
    <cellStyle name="Note 10 2 10" xfId="3306"/>
    <cellStyle name="Note 10 2 10 2" xfId="3307"/>
    <cellStyle name="Note 10 2 10 2 2" xfId="3308"/>
    <cellStyle name="Note 10 2 10 2 2 2" xfId="3309"/>
    <cellStyle name="Note 10 2 10 2 3" xfId="3310"/>
    <cellStyle name="Note 10 2 10 3" xfId="3311"/>
    <cellStyle name="Note 10 2 10 3 2" xfId="3312"/>
    <cellStyle name="Note 10 2 10 3 2 2" xfId="3313"/>
    <cellStyle name="Note 10 2 10 3 3" xfId="3314"/>
    <cellStyle name="Note 10 2 10 4" xfId="3315"/>
    <cellStyle name="Note 10 2 10 4 2" xfId="3316"/>
    <cellStyle name="Note 10 2 10 5" xfId="3317"/>
    <cellStyle name="Note 10 2 10 5 2" xfId="3318"/>
    <cellStyle name="Note 10 2 10 6" xfId="3319"/>
    <cellStyle name="Note 10 2 10 6 2" xfId="3320"/>
    <cellStyle name="Note 10 2 10 7" xfId="3321"/>
    <cellStyle name="Note 10 2 11" xfId="3322"/>
    <cellStyle name="Note 10 2 11 2" xfId="3323"/>
    <cellStyle name="Note 10 2 11 2 2" xfId="3324"/>
    <cellStyle name="Note 10 2 11 2 2 2" xfId="3325"/>
    <cellStyle name="Note 10 2 11 2 3" xfId="3326"/>
    <cellStyle name="Note 10 2 11 3" xfId="3327"/>
    <cellStyle name="Note 10 2 11 3 2" xfId="3328"/>
    <cellStyle name="Note 10 2 11 3 2 2" xfId="3329"/>
    <cellStyle name="Note 10 2 11 3 3" xfId="3330"/>
    <cellStyle name="Note 10 2 11 4" xfId="3331"/>
    <cellStyle name="Note 10 2 11 4 2" xfId="3332"/>
    <cellStyle name="Note 10 2 11 5" xfId="3333"/>
    <cellStyle name="Note 10 2 11 5 2" xfId="3334"/>
    <cellStyle name="Note 10 2 11 6" xfId="3335"/>
    <cellStyle name="Note 10 2 11 6 2" xfId="3336"/>
    <cellStyle name="Note 10 2 11 7" xfId="3337"/>
    <cellStyle name="Note 10 2 12" xfId="3338"/>
    <cellStyle name="Note 10 2 12 2" xfId="3339"/>
    <cellStyle name="Note 10 2 13" xfId="3340"/>
    <cellStyle name="Note 10 2 13 2" xfId="3341"/>
    <cellStyle name="Note 10 2 2" xfId="3342"/>
    <cellStyle name="Note 10 2 2 2" xfId="3343"/>
    <cellStyle name="Note 10 2 2 2 2" xfId="3344"/>
    <cellStyle name="Note 10 2 2 2 2 2" xfId="3345"/>
    <cellStyle name="Note 10 2 2 2 2 2 2" xfId="3346"/>
    <cellStyle name="Note 10 2 2 2 2 2 2 2" xfId="3347"/>
    <cellStyle name="Note 10 2 2 2 2 2 3" xfId="3348"/>
    <cellStyle name="Note 10 2 2 2 2 3" xfId="3349"/>
    <cellStyle name="Note 10 2 2 2 2 3 2" xfId="3350"/>
    <cellStyle name="Note 10 2 2 2 2 3 2 2" xfId="3351"/>
    <cellStyle name="Note 10 2 2 2 2 3 3" xfId="3352"/>
    <cellStyle name="Note 10 2 2 2 2 4" xfId="3353"/>
    <cellStyle name="Note 10 2 2 2 2 4 2" xfId="3354"/>
    <cellStyle name="Note 10 2 2 2 2 5" xfId="3355"/>
    <cellStyle name="Note 10 2 2 2 2 5 2" xfId="3356"/>
    <cellStyle name="Note 10 2 2 2 2 6" xfId="3357"/>
    <cellStyle name="Note 10 2 2 2 2 6 2" xfId="3358"/>
    <cellStyle name="Note 10 2 2 2 2 7" xfId="3359"/>
    <cellStyle name="Note 10 2 2 2 3" xfId="3360"/>
    <cellStyle name="Note 10 2 2 2 3 2" xfId="3361"/>
    <cellStyle name="Note 10 2 2 2 3 2 2" xfId="3362"/>
    <cellStyle name="Note 10 2 2 2 3 2 2 2" xfId="3363"/>
    <cellStyle name="Note 10 2 2 2 3 2 3" xfId="3364"/>
    <cellStyle name="Note 10 2 2 2 3 3" xfId="3365"/>
    <cellStyle name="Note 10 2 2 2 3 3 2" xfId="3366"/>
    <cellStyle name="Note 10 2 2 2 3 3 2 2" xfId="3367"/>
    <cellStyle name="Note 10 2 2 2 3 3 3" xfId="3368"/>
    <cellStyle name="Note 10 2 2 2 3 4" xfId="3369"/>
    <cellStyle name="Note 10 2 2 2 3 4 2" xfId="3370"/>
    <cellStyle name="Note 10 2 2 2 3 5" xfId="3371"/>
    <cellStyle name="Note 10 2 2 2 3 5 2" xfId="3372"/>
    <cellStyle name="Note 10 2 2 2 3 6" xfId="3373"/>
    <cellStyle name="Note 10 2 2 2 3 6 2" xfId="3374"/>
    <cellStyle name="Note 10 2 2 2 3 7" xfId="3375"/>
    <cellStyle name="Note 10 2 2 2 4" xfId="3376"/>
    <cellStyle name="Note 10 2 2 2 4 2" xfId="3377"/>
    <cellStyle name="Note 10 2 2 2 5" xfId="3378"/>
    <cellStyle name="Note 10 2 2 2 5 2" xfId="3379"/>
    <cellStyle name="Note 10 2 2 3" xfId="3380"/>
    <cellStyle name="Note 10 2 2 3 2" xfId="3381"/>
    <cellStyle name="Note 10 2 2 3 2 2" xfId="3382"/>
    <cellStyle name="Note 10 2 2 3 2 2 2" xfId="3383"/>
    <cellStyle name="Note 10 2 2 3 2 2 2 2" xfId="3384"/>
    <cellStyle name="Note 10 2 2 3 2 2 3" xfId="3385"/>
    <cellStyle name="Note 10 2 2 3 2 3" xfId="3386"/>
    <cellStyle name="Note 10 2 2 3 2 3 2" xfId="3387"/>
    <cellStyle name="Note 10 2 2 3 2 3 2 2" xfId="3388"/>
    <cellStyle name="Note 10 2 2 3 2 3 3" xfId="3389"/>
    <cellStyle name="Note 10 2 2 3 2 4" xfId="3390"/>
    <cellStyle name="Note 10 2 2 3 2 4 2" xfId="3391"/>
    <cellStyle name="Note 10 2 2 3 2 5" xfId="3392"/>
    <cellStyle name="Note 10 2 2 3 2 5 2" xfId="3393"/>
    <cellStyle name="Note 10 2 2 3 2 6" xfId="3394"/>
    <cellStyle name="Note 10 2 2 3 2 6 2" xfId="3395"/>
    <cellStyle name="Note 10 2 2 3 2 7" xfId="3396"/>
    <cellStyle name="Note 10 2 2 3 3" xfId="3397"/>
    <cellStyle name="Note 10 2 2 3 3 2" xfId="3398"/>
    <cellStyle name="Note 10 2 2 3 3 2 2" xfId="3399"/>
    <cellStyle name="Note 10 2 2 3 3 2 2 2" xfId="3400"/>
    <cellStyle name="Note 10 2 2 3 3 2 3" xfId="3401"/>
    <cellStyle name="Note 10 2 2 3 3 3" xfId="3402"/>
    <cellStyle name="Note 10 2 2 3 3 3 2" xfId="3403"/>
    <cellStyle name="Note 10 2 2 3 3 3 2 2" xfId="3404"/>
    <cellStyle name="Note 10 2 2 3 3 3 3" xfId="3405"/>
    <cellStyle name="Note 10 2 2 3 3 4" xfId="3406"/>
    <cellStyle name="Note 10 2 2 3 3 4 2" xfId="3407"/>
    <cellStyle name="Note 10 2 2 3 3 5" xfId="3408"/>
    <cellStyle name="Note 10 2 2 3 3 5 2" xfId="3409"/>
    <cellStyle name="Note 10 2 2 3 3 6" xfId="3410"/>
    <cellStyle name="Note 10 2 2 3 3 6 2" xfId="3411"/>
    <cellStyle name="Note 10 2 2 3 3 7" xfId="3412"/>
    <cellStyle name="Note 10 2 2 3 4" xfId="3413"/>
    <cellStyle name="Note 10 2 2 3 4 2" xfId="3414"/>
    <cellStyle name="Note 10 2 2 3 5" xfId="3415"/>
    <cellStyle name="Note 10 2 2 3 5 2" xfId="3416"/>
    <cellStyle name="Note 10 2 2 4" xfId="3417"/>
    <cellStyle name="Note 10 2 2 4 2" xfId="3418"/>
    <cellStyle name="Note 10 2 2 4 2 2" xfId="3419"/>
    <cellStyle name="Note 10 2 2 4 2 2 2" xfId="3420"/>
    <cellStyle name="Note 10 2 2 4 2 3" xfId="3421"/>
    <cellStyle name="Note 10 2 2 4 3" xfId="3422"/>
    <cellStyle name="Note 10 2 2 4 3 2" xfId="3423"/>
    <cellStyle name="Note 10 2 2 4 3 2 2" xfId="3424"/>
    <cellStyle name="Note 10 2 2 4 3 3" xfId="3425"/>
    <cellStyle name="Note 10 2 2 4 4" xfId="3426"/>
    <cellStyle name="Note 10 2 2 4 4 2" xfId="3427"/>
    <cellStyle name="Note 10 2 2 4 5" xfId="3428"/>
    <cellStyle name="Note 10 2 2 4 5 2" xfId="3429"/>
    <cellStyle name="Note 10 2 2 4 6" xfId="3430"/>
    <cellStyle name="Note 10 2 2 4 6 2" xfId="3431"/>
    <cellStyle name="Note 10 2 2 4 7" xfId="3432"/>
    <cellStyle name="Note 10 2 2 5" xfId="3433"/>
    <cellStyle name="Note 10 2 2 5 2" xfId="3434"/>
    <cellStyle name="Note 10 2 2 5 2 2" xfId="3435"/>
    <cellStyle name="Note 10 2 2 5 2 2 2" xfId="3436"/>
    <cellStyle name="Note 10 2 2 5 2 3" xfId="3437"/>
    <cellStyle name="Note 10 2 2 5 3" xfId="3438"/>
    <cellStyle name="Note 10 2 2 5 3 2" xfId="3439"/>
    <cellStyle name="Note 10 2 2 5 3 2 2" xfId="3440"/>
    <cellStyle name="Note 10 2 2 5 3 3" xfId="3441"/>
    <cellStyle name="Note 10 2 2 5 4" xfId="3442"/>
    <cellStyle name="Note 10 2 2 5 4 2" xfId="3443"/>
    <cellStyle name="Note 10 2 2 5 5" xfId="3444"/>
    <cellStyle name="Note 10 2 2 5 5 2" xfId="3445"/>
    <cellStyle name="Note 10 2 2 5 6" xfId="3446"/>
    <cellStyle name="Note 10 2 2 5 6 2" xfId="3447"/>
    <cellStyle name="Note 10 2 2 5 7" xfId="3448"/>
    <cellStyle name="Note 10 2 2 6" xfId="3449"/>
    <cellStyle name="Note 10 2 2 6 2" xfId="3450"/>
    <cellStyle name="Note 10 2 2 6 2 2" xfId="3451"/>
    <cellStyle name="Note 10 2 2 6 2 2 2" xfId="3452"/>
    <cellStyle name="Note 10 2 2 6 2 3" xfId="3453"/>
    <cellStyle name="Note 10 2 2 6 3" xfId="3454"/>
    <cellStyle name="Note 10 2 2 6 3 2" xfId="3455"/>
    <cellStyle name="Note 10 2 2 6 3 2 2" xfId="3456"/>
    <cellStyle name="Note 10 2 2 6 3 3" xfId="3457"/>
    <cellStyle name="Note 10 2 2 6 4" xfId="3458"/>
    <cellStyle name="Note 10 2 2 6 4 2" xfId="3459"/>
    <cellStyle name="Note 10 2 2 6 5" xfId="3460"/>
    <cellStyle name="Note 10 2 2 6 5 2" xfId="3461"/>
    <cellStyle name="Note 10 2 2 6 6" xfId="3462"/>
    <cellStyle name="Note 10 2 2 6 6 2" xfId="3463"/>
    <cellStyle name="Note 10 2 2 6 7" xfId="3464"/>
    <cellStyle name="Note 10 2 2 7" xfId="3465"/>
    <cellStyle name="Note 10 2 2 7 2" xfId="3466"/>
    <cellStyle name="Note 10 2 2 8" xfId="3467"/>
    <cellStyle name="Note 10 2 2 8 2" xfId="3468"/>
    <cellStyle name="Note 10 2 3" xfId="3469"/>
    <cellStyle name="Note 10 2 3 2" xfId="3470"/>
    <cellStyle name="Note 10 2 3 2 2" xfId="3471"/>
    <cellStyle name="Note 10 2 3 2 2 2" xfId="3472"/>
    <cellStyle name="Note 10 2 3 2 2 2 2" xfId="3473"/>
    <cellStyle name="Note 10 2 3 2 2 2 2 2" xfId="3474"/>
    <cellStyle name="Note 10 2 3 2 2 2 3" xfId="3475"/>
    <cellStyle name="Note 10 2 3 2 2 3" xfId="3476"/>
    <cellStyle name="Note 10 2 3 2 2 3 2" xfId="3477"/>
    <cellStyle name="Note 10 2 3 2 2 3 2 2" xfId="3478"/>
    <cellStyle name="Note 10 2 3 2 2 3 3" xfId="3479"/>
    <cellStyle name="Note 10 2 3 2 2 4" xfId="3480"/>
    <cellStyle name="Note 10 2 3 2 2 4 2" xfId="3481"/>
    <cellStyle name="Note 10 2 3 2 2 5" xfId="3482"/>
    <cellStyle name="Note 10 2 3 2 2 5 2" xfId="3483"/>
    <cellStyle name="Note 10 2 3 2 2 6" xfId="3484"/>
    <cellStyle name="Note 10 2 3 2 2 6 2" xfId="3485"/>
    <cellStyle name="Note 10 2 3 2 2 7" xfId="3486"/>
    <cellStyle name="Note 10 2 3 2 3" xfId="3487"/>
    <cellStyle name="Note 10 2 3 2 3 2" xfId="3488"/>
    <cellStyle name="Note 10 2 3 2 3 2 2" xfId="3489"/>
    <cellStyle name="Note 10 2 3 2 3 2 2 2" xfId="3490"/>
    <cellStyle name="Note 10 2 3 2 3 2 3" xfId="3491"/>
    <cellStyle name="Note 10 2 3 2 3 3" xfId="3492"/>
    <cellStyle name="Note 10 2 3 2 3 3 2" xfId="3493"/>
    <cellStyle name="Note 10 2 3 2 3 3 2 2" xfId="3494"/>
    <cellStyle name="Note 10 2 3 2 3 3 3" xfId="3495"/>
    <cellStyle name="Note 10 2 3 2 3 4" xfId="3496"/>
    <cellStyle name="Note 10 2 3 2 3 4 2" xfId="3497"/>
    <cellStyle name="Note 10 2 3 2 3 5" xfId="3498"/>
    <cellStyle name="Note 10 2 3 2 3 5 2" xfId="3499"/>
    <cellStyle name="Note 10 2 3 2 3 6" xfId="3500"/>
    <cellStyle name="Note 10 2 3 2 3 6 2" xfId="3501"/>
    <cellStyle name="Note 10 2 3 2 3 7" xfId="3502"/>
    <cellStyle name="Note 10 2 3 2 4" xfId="3503"/>
    <cellStyle name="Note 10 2 3 2 4 2" xfId="3504"/>
    <cellStyle name="Note 10 2 3 2 5" xfId="3505"/>
    <cellStyle name="Note 10 2 3 2 5 2" xfId="3506"/>
    <cellStyle name="Note 10 2 3 3" xfId="3507"/>
    <cellStyle name="Note 10 2 3 3 2" xfId="3508"/>
    <cellStyle name="Note 10 2 3 3 2 2" xfId="3509"/>
    <cellStyle name="Note 10 2 3 3 2 2 2" xfId="3510"/>
    <cellStyle name="Note 10 2 3 3 2 2 2 2" xfId="3511"/>
    <cellStyle name="Note 10 2 3 3 2 2 3" xfId="3512"/>
    <cellStyle name="Note 10 2 3 3 2 3" xfId="3513"/>
    <cellStyle name="Note 10 2 3 3 2 3 2" xfId="3514"/>
    <cellStyle name="Note 10 2 3 3 2 3 2 2" xfId="3515"/>
    <cellStyle name="Note 10 2 3 3 2 3 3" xfId="3516"/>
    <cellStyle name="Note 10 2 3 3 2 4" xfId="3517"/>
    <cellStyle name="Note 10 2 3 3 2 4 2" xfId="3518"/>
    <cellStyle name="Note 10 2 3 3 2 5" xfId="3519"/>
    <cellStyle name="Note 10 2 3 3 2 5 2" xfId="3520"/>
    <cellStyle name="Note 10 2 3 3 2 6" xfId="3521"/>
    <cellStyle name="Note 10 2 3 3 2 6 2" xfId="3522"/>
    <cellStyle name="Note 10 2 3 3 2 7" xfId="3523"/>
    <cellStyle name="Note 10 2 3 3 3" xfId="3524"/>
    <cellStyle name="Note 10 2 3 3 3 2" xfId="3525"/>
    <cellStyle name="Note 10 2 3 3 3 2 2" xfId="3526"/>
    <cellStyle name="Note 10 2 3 3 3 2 2 2" xfId="3527"/>
    <cellStyle name="Note 10 2 3 3 3 2 3" xfId="3528"/>
    <cellStyle name="Note 10 2 3 3 3 3" xfId="3529"/>
    <cellStyle name="Note 10 2 3 3 3 3 2" xfId="3530"/>
    <cellStyle name="Note 10 2 3 3 3 3 2 2" xfId="3531"/>
    <cellStyle name="Note 10 2 3 3 3 3 3" xfId="3532"/>
    <cellStyle name="Note 10 2 3 3 3 4" xfId="3533"/>
    <cellStyle name="Note 10 2 3 3 3 4 2" xfId="3534"/>
    <cellStyle name="Note 10 2 3 3 3 5" xfId="3535"/>
    <cellStyle name="Note 10 2 3 3 3 5 2" xfId="3536"/>
    <cellStyle name="Note 10 2 3 3 3 6" xfId="3537"/>
    <cellStyle name="Note 10 2 3 3 3 6 2" xfId="3538"/>
    <cellStyle name="Note 10 2 3 3 3 7" xfId="3539"/>
    <cellStyle name="Note 10 2 3 3 4" xfId="3540"/>
    <cellStyle name="Note 10 2 3 3 4 2" xfId="3541"/>
    <cellStyle name="Note 10 2 3 3 5" xfId="3542"/>
    <cellStyle name="Note 10 2 3 3 5 2" xfId="3543"/>
    <cellStyle name="Note 10 2 3 4" xfId="3544"/>
    <cellStyle name="Note 10 2 3 4 2" xfId="3545"/>
    <cellStyle name="Note 10 2 3 4 2 2" xfId="3546"/>
    <cellStyle name="Note 10 2 3 4 2 2 2" xfId="3547"/>
    <cellStyle name="Note 10 2 3 4 2 3" xfId="3548"/>
    <cellStyle name="Note 10 2 3 4 3" xfId="3549"/>
    <cellStyle name="Note 10 2 3 4 3 2" xfId="3550"/>
    <cellStyle name="Note 10 2 3 4 3 2 2" xfId="3551"/>
    <cellStyle name="Note 10 2 3 4 3 3" xfId="3552"/>
    <cellStyle name="Note 10 2 3 4 4" xfId="3553"/>
    <cellStyle name="Note 10 2 3 4 4 2" xfId="3554"/>
    <cellStyle name="Note 10 2 3 4 5" xfId="3555"/>
    <cellStyle name="Note 10 2 3 4 5 2" xfId="3556"/>
    <cellStyle name="Note 10 2 3 4 6" xfId="3557"/>
    <cellStyle name="Note 10 2 3 4 6 2" xfId="3558"/>
    <cellStyle name="Note 10 2 3 4 7" xfId="3559"/>
    <cellStyle name="Note 10 2 3 5" xfId="3560"/>
    <cellStyle name="Note 10 2 3 5 2" xfId="3561"/>
    <cellStyle name="Note 10 2 3 5 2 2" xfId="3562"/>
    <cellStyle name="Note 10 2 3 5 2 2 2" xfId="3563"/>
    <cellStyle name="Note 10 2 3 5 2 3" xfId="3564"/>
    <cellStyle name="Note 10 2 3 5 3" xfId="3565"/>
    <cellStyle name="Note 10 2 3 5 3 2" xfId="3566"/>
    <cellStyle name="Note 10 2 3 5 3 2 2" xfId="3567"/>
    <cellStyle name="Note 10 2 3 5 3 3" xfId="3568"/>
    <cellStyle name="Note 10 2 3 5 4" xfId="3569"/>
    <cellStyle name="Note 10 2 3 5 4 2" xfId="3570"/>
    <cellStyle name="Note 10 2 3 5 5" xfId="3571"/>
    <cellStyle name="Note 10 2 3 5 5 2" xfId="3572"/>
    <cellStyle name="Note 10 2 3 5 6" xfId="3573"/>
    <cellStyle name="Note 10 2 3 5 6 2" xfId="3574"/>
    <cellStyle name="Note 10 2 3 5 7" xfId="3575"/>
    <cellStyle name="Note 10 2 3 6" xfId="3576"/>
    <cellStyle name="Note 10 2 3 6 2" xfId="3577"/>
    <cellStyle name="Note 10 2 3 6 2 2" xfId="3578"/>
    <cellStyle name="Note 10 2 3 6 2 2 2" xfId="3579"/>
    <cellStyle name="Note 10 2 3 6 2 3" xfId="3580"/>
    <cellStyle name="Note 10 2 3 6 3" xfId="3581"/>
    <cellStyle name="Note 10 2 3 6 3 2" xfId="3582"/>
    <cellStyle name="Note 10 2 3 6 3 2 2" xfId="3583"/>
    <cellStyle name="Note 10 2 3 6 3 3" xfId="3584"/>
    <cellStyle name="Note 10 2 3 6 4" xfId="3585"/>
    <cellStyle name="Note 10 2 3 6 4 2" xfId="3586"/>
    <cellStyle name="Note 10 2 3 6 5" xfId="3587"/>
    <cellStyle name="Note 10 2 3 6 5 2" xfId="3588"/>
    <cellStyle name="Note 10 2 3 6 6" xfId="3589"/>
    <cellStyle name="Note 10 2 3 6 6 2" xfId="3590"/>
    <cellStyle name="Note 10 2 3 6 7" xfId="3591"/>
    <cellStyle name="Note 10 2 3 7" xfId="3592"/>
    <cellStyle name="Note 10 2 3 7 2" xfId="3593"/>
    <cellStyle name="Note 10 2 3 8" xfId="3594"/>
    <cellStyle name="Note 10 2 3 8 2" xfId="3595"/>
    <cellStyle name="Note 10 2 4" xfId="3596"/>
    <cellStyle name="Note 10 2 4 2" xfId="3597"/>
    <cellStyle name="Note 10 2 4 2 2" xfId="3598"/>
    <cellStyle name="Note 10 2 4 2 2 2" xfId="3599"/>
    <cellStyle name="Note 10 2 4 2 2 2 2" xfId="3600"/>
    <cellStyle name="Note 10 2 4 2 2 2 2 2" xfId="3601"/>
    <cellStyle name="Note 10 2 4 2 2 2 3" xfId="3602"/>
    <cellStyle name="Note 10 2 4 2 2 3" xfId="3603"/>
    <cellStyle name="Note 10 2 4 2 2 3 2" xfId="3604"/>
    <cellStyle name="Note 10 2 4 2 2 3 2 2" xfId="3605"/>
    <cellStyle name="Note 10 2 4 2 2 3 3" xfId="3606"/>
    <cellStyle name="Note 10 2 4 2 2 4" xfId="3607"/>
    <cellStyle name="Note 10 2 4 2 2 4 2" xfId="3608"/>
    <cellStyle name="Note 10 2 4 2 2 5" xfId="3609"/>
    <cellStyle name="Note 10 2 4 2 2 5 2" xfId="3610"/>
    <cellStyle name="Note 10 2 4 2 2 6" xfId="3611"/>
    <cellStyle name="Note 10 2 4 2 2 6 2" xfId="3612"/>
    <cellStyle name="Note 10 2 4 2 2 7" xfId="3613"/>
    <cellStyle name="Note 10 2 4 2 3" xfId="3614"/>
    <cellStyle name="Note 10 2 4 2 3 2" xfId="3615"/>
    <cellStyle name="Note 10 2 4 2 3 2 2" xfId="3616"/>
    <cellStyle name="Note 10 2 4 2 3 2 2 2" xfId="3617"/>
    <cellStyle name="Note 10 2 4 2 3 2 3" xfId="3618"/>
    <cellStyle name="Note 10 2 4 2 3 3" xfId="3619"/>
    <cellStyle name="Note 10 2 4 2 3 3 2" xfId="3620"/>
    <cellStyle name="Note 10 2 4 2 3 3 2 2" xfId="3621"/>
    <cellStyle name="Note 10 2 4 2 3 3 3" xfId="3622"/>
    <cellStyle name="Note 10 2 4 2 3 4" xfId="3623"/>
    <cellStyle name="Note 10 2 4 2 3 4 2" xfId="3624"/>
    <cellStyle name="Note 10 2 4 2 3 5" xfId="3625"/>
    <cellStyle name="Note 10 2 4 2 3 5 2" xfId="3626"/>
    <cellStyle name="Note 10 2 4 2 3 6" xfId="3627"/>
    <cellStyle name="Note 10 2 4 2 3 6 2" xfId="3628"/>
    <cellStyle name="Note 10 2 4 2 3 7" xfId="3629"/>
    <cellStyle name="Note 10 2 4 2 4" xfId="3630"/>
    <cellStyle name="Note 10 2 4 2 4 2" xfId="3631"/>
    <cellStyle name="Note 10 2 4 2 5" xfId="3632"/>
    <cellStyle name="Note 10 2 4 2 5 2" xfId="3633"/>
    <cellStyle name="Note 10 2 4 3" xfId="3634"/>
    <cellStyle name="Note 10 2 4 3 2" xfId="3635"/>
    <cellStyle name="Note 10 2 4 3 2 2" xfId="3636"/>
    <cellStyle name="Note 10 2 4 3 2 2 2" xfId="3637"/>
    <cellStyle name="Note 10 2 4 3 2 2 2 2" xfId="3638"/>
    <cellStyle name="Note 10 2 4 3 2 2 3" xfId="3639"/>
    <cellStyle name="Note 10 2 4 3 2 3" xfId="3640"/>
    <cellStyle name="Note 10 2 4 3 2 3 2" xfId="3641"/>
    <cellStyle name="Note 10 2 4 3 2 3 2 2" xfId="3642"/>
    <cellStyle name="Note 10 2 4 3 2 3 3" xfId="3643"/>
    <cellStyle name="Note 10 2 4 3 2 4" xfId="3644"/>
    <cellStyle name="Note 10 2 4 3 2 4 2" xfId="3645"/>
    <cellStyle name="Note 10 2 4 3 2 5" xfId="3646"/>
    <cellStyle name="Note 10 2 4 3 2 5 2" xfId="3647"/>
    <cellStyle name="Note 10 2 4 3 2 6" xfId="3648"/>
    <cellStyle name="Note 10 2 4 3 2 6 2" xfId="3649"/>
    <cellStyle name="Note 10 2 4 3 2 7" xfId="3650"/>
    <cellStyle name="Note 10 2 4 3 3" xfId="3651"/>
    <cellStyle name="Note 10 2 4 3 3 2" xfId="3652"/>
    <cellStyle name="Note 10 2 4 3 3 2 2" xfId="3653"/>
    <cellStyle name="Note 10 2 4 3 3 2 2 2" xfId="3654"/>
    <cellStyle name="Note 10 2 4 3 3 2 3" xfId="3655"/>
    <cellStyle name="Note 10 2 4 3 3 3" xfId="3656"/>
    <cellStyle name="Note 10 2 4 3 3 3 2" xfId="3657"/>
    <cellStyle name="Note 10 2 4 3 3 3 2 2" xfId="3658"/>
    <cellStyle name="Note 10 2 4 3 3 3 3" xfId="3659"/>
    <cellStyle name="Note 10 2 4 3 3 4" xfId="3660"/>
    <cellStyle name="Note 10 2 4 3 3 4 2" xfId="3661"/>
    <cellStyle name="Note 10 2 4 3 3 5" xfId="3662"/>
    <cellStyle name="Note 10 2 4 3 3 5 2" xfId="3663"/>
    <cellStyle name="Note 10 2 4 3 3 6" xfId="3664"/>
    <cellStyle name="Note 10 2 4 3 3 6 2" xfId="3665"/>
    <cellStyle name="Note 10 2 4 3 3 7" xfId="3666"/>
    <cellStyle name="Note 10 2 4 3 4" xfId="3667"/>
    <cellStyle name="Note 10 2 4 3 4 2" xfId="3668"/>
    <cellStyle name="Note 10 2 4 3 5" xfId="3669"/>
    <cellStyle name="Note 10 2 4 3 5 2" xfId="3670"/>
    <cellStyle name="Note 10 2 4 4" xfId="3671"/>
    <cellStyle name="Note 10 2 4 4 2" xfId="3672"/>
    <cellStyle name="Note 10 2 4 4 2 2" xfId="3673"/>
    <cellStyle name="Note 10 2 4 4 2 2 2" xfId="3674"/>
    <cellStyle name="Note 10 2 4 4 2 3" xfId="3675"/>
    <cellStyle name="Note 10 2 4 4 3" xfId="3676"/>
    <cellStyle name="Note 10 2 4 4 3 2" xfId="3677"/>
    <cellStyle name="Note 10 2 4 4 3 2 2" xfId="3678"/>
    <cellStyle name="Note 10 2 4 4 3 3" xfId="3679"/>
    <cellStyle name="Note 10 2 4 4 4" xfId="3680"/>
    <cellStyle name="Note 10 2 4 4 4 2" xfId="3681"/>
    <cellStyle name="Note 10 2 4 4 5" xfId="3682"/>
    <cellStyle name="Note 10 2 4 4 5 2" xfId="3683"/>
    <cellStyle name="Note 10 2 4 4 6" xfId="3684"/>
    <cellStyle name="Note 10 2 4 4 6 2" xfId="3685"/>
    <cellStyle name="Note 10 2 4 4 7" xfId="3686"/>
    <cellStyle name="Note 10 2 4 5" xfId="3687"/>
    <cellStyle name="Note 10 2 4 5 2" xfId="3688"/>
    <cellStyle name="Note 10 2 4 5 2 2" xfId="3689"/>
    <cellStyle name="Note 10 2 4 5 2 2 2" xfId="3690"/>
    <cellStyle name="Note 10 2 4 5 2 3" xfId="3691"/>
    <cellStyle name="Note 10 2 4 5 3" xfId="3692"/>
    <cellStyle name="Note 10 2 4 5 3 2" xfId="3693"/>
    <cellStyle name="Note 10 2 4 5 3 2 2" xfId="3694"/>
    <cellStyle name="Note 10 2 4 5 3 3" xfId="3695"/>
    <cellStyle name="Note 10 2 4 5 4" xfId="3696"/>
    <cellStyle name="Note 10 2 4 5 4 2" xfId="3697"/>
    <cellStyle name="Note 10 2 4 5 5" xfId="3698"/>
    <cellStyle name="Note 10 2 4 5 5 2" xfId="3699"/>
    <cellStyle name="Note 10 2 4 5 6" xfId="3700"/>
    <cellStyle name="Note 10 2 4 5 6 2" xfId="3701"/>
    <cellStyle name="Note 10 2 4 5 7" xfId="3702"/>
    <cellStyle name="Note 10 2 4 6" xfId="3703"/>
    <cellStyle name="Note 10 2 4 6 2" xfId="3704"/>
    <cellStyle name="Note 10 2 4 6 2 2" xfId="3705"/>
    <cellStyle name="Note 10 2 4 6 2 2 2" xfId="3706"/>
    <cellStyle name="Note 10 2 4 6 2 3" xfId="3707"/>
    <cellStyle name="Note 10 2 4 6 3" xfId="3708"/>
    <cellStyle name="Note 10 2 4 6 3 2" xfId="3709"/>
    <cellStyle name="Note 10 2 4 6 3 2 2" xfId="3710"/>
    <cellStyle name="Note 10 2 4 6 3 3" xfId="3711"/>
    <cellStyle name="Note 10 2 4 6 4" xfId="3712"/>
    <cellStyle name="Note 10 2 4 6 4 2" xfId="3713"/>
    <cellStyle name="Note 10 2 4 6 5" xfId="3714"/>
    <cellStyle name="Note 10 2 4 6 5 2" xfId="3715"/>
    <cellStyle name="Note 10 2 4 6 6" xfId="3716"/>
    <cellStyle name="Note 10 2 4 6 6 2" xfId="3717"/>
    <cellStyle name="Note 10 2 4 6 7" xfId="3718"/>
    <cellStyle name="Note 10 2 4 7" xfId="3719"/>
    <cellStyle name="Note 10 2 4 7 2" xfId="3720"/>
    <cellStyle name="Note 10 2 4 8" xfId="3721"/>
    <cellStyle name="Note 10 2 4 8 2" xfId="3722"/>
    <cellStyle name="Note 10 2 5" xfId="3723"/>
    <cellStyle name="Note 10 2 5 2" xfId="3724"/>
    <cellStyle name="Note 10 2 5 2 2" xfId="3725"/>
    <cellStyle name="Note 10 2 5 2 2 2" xfId="3726"/>
    <cellStyle name="Note 10 2 5 2 2 2 2" xfId="3727"/>
    <cellStyle name="Note 10 2 5 2 2 2 2 2" xfId="3728"/>
    <cellStyle name="Note 10 2 5 2 2 2 3" xfId="3729"/>
    <cellStyle name="Note 10 2 5 2 2 3" xfId="3730"/>
    <cellStyle name="Note 10 2 5 2 2 3 2" xfId="3731"/>
    <cellStyle name="Note 10 2 5 2 2 3 2 2" xfId="3732"/>
    <cellStyle name="Note 10 2 5 2 2 3 3" xfId="3733"/>
    <cellStyle name="Note 10 2 5 2 2 4" xfId="3734"/>
    <cellStyle name="Note 10 2 5 2 2 4 2" xfId="3735"/>
    <cellStyle name="Note 10 2 5 2 2 5" xfId="3736"/>
    <cellStyle name="Note 10 2 5 2 2 5 2" xfId="3737"/>
    <cellStyle name="Note 10 2 5 2 2 6" xfId="3738"/>
    <cellStyle name="Note 10 2 5 2 2 6 2" xfId="3739"/>
    <cellStyle name="Note 10 2 5 2 2 7" xfId="3740"/>
    <cellStyle name="Note 10 2 5 2 3" xfId="3741"/>
    <cellStyle name="Note 10 2 5 2 3 2" xfId="3742"/>
    <cellStyle name="Note 10 2 5 2 3 2 2" xfId="3743"/>
    <cellStyle name="Note 10 2 5 2 3 2 2 2" xfId="3744"/>
    <cellStyle name="Note 10 2 5 2 3 2 3" xfId="3745"/>
    <cellStyle name="Note 10 2 5 2 3 3" xfId="3746"/>
    <cellStyle name="Note 10 2 5 2 3 3 2" xfId="3747"/>
    <cellStyle name="Note 10 2 5 2 3 3 2 2" xfId="3748"/>
    <cellStyle name="Note 10 2 5 2 3 3 3" xfId="3749"/>
    <cellStyle name="Note 10 2 5 2 3 4" xfId="3750"/>
    <cellStyle name="Note 10 2 5 2 3 4 2" xfId="3751"/>
    <cellStyle name="Note 10 2 5 2 3 5" xfId="3752"/>
    <cellStyle name="Note 10 2 5 2 3 5 2" xfId="3753"/>
    <cellStyle name="Note 10 2 5 2 3 6" xfId="3754"/>
    <cellStyle name="Note 10 2 5 2 3 6 2" xfId="3755"/>
    <cellStyle name="Note 10 2 5 2 3 7" xfId="3756"/>
    <cellStyle name="Note 10 2 5 2 4" xfId="3757"/>
    <cellStyle name="Note 10 2 5 2 4 2" xfId="3758"/>
    <cellStyle name="Note 10 2 5 2 5" xfId="3759"/>
    <cellStyle name="Note 10 2 5 2 5 2" xfId="3760"/>
    <cellStyle name="Note 10 2 5 3" xfId="3761"/>
    <cellStyle name="Note 10 2 5 3 2" xfId="3762"/>
    <cellStyle name="Note 10 2 5 3 2 2" xfId="3763"/>
    <cellStyle name="Note 10 2 5 3 2 2 2" xfId="3764"/>
    <cellStyle name="Note 10 2 5 3 2 2 2 2" xfId="3765"/>
    <cellStyle name="Note 10 2 5 3 2 2 3" xfId="3766"/>
    <cellStyle name="Note 10 2 5 3 2 3" xfId="3767"/>
    <cellStyle name="Note 10 2 5 3 2 3 2" xfId="3768"/>
    <cellStyle name="Note 10 2 5 3 2 3 2 2" xfId="3769"/>
    <cellStyle name="Note 10 2 5 3 2 3 3" xfId="3770"/>
    <cellStyle name="Note 10 2 5 3 2 4" xfId="3771"/>
    <cellStyle name="Note 10 2 5 3 2 4 2" xfId="3772"/>
    <cellStyle name="Note 10 2 5 3 2 5" xfId="3773"/>
    <cellStyle name="Note 10 2 5 3 2 5 2" xfId="3774"/>
    <cellStyle name="Note 10 2 5 3 2 6" xfId="3775"/>
    <cellStyle name="Note 10 2 5 3 2 6 2" xfId="3776"/>
    <cellStyle name="Note 10 2 5 3 2 7" xfId="3777"/>
    <cellStyle name="Note 10 2 5 3 3" xfId="3778"/>
    <cellStyle name="Note 10 2 5 3 3 2" xfId="3779"/>
    <cellStyle name="Note 10 2 5 3 3 2 2" xfId="3780"/>
    <cellStyle name="Note 10 2 5 3 3 2 2 2" xfId="3781"/>
    <cellStyle name="Note 10 2 5 3 3 2 3" xfId="3782"/>
    <cellStyle name="Note 10 2 5 3 3 3" xfId="3783"/>
    <cellStyle name="Note 10 2 5 3 3 3 2" xfId="3784"/>
    <cellStyle name="Note 10 2 5 3 3 3 2 2" xfId="3785"/>
    <cellStyle name="Note 10 2 5 3 3 3 3" xfId="3786"/>
    <cellStyle name="Note 10 2 5 3 3 4" xfId="3787"/>
    <cellStyle name="Note 10 2 5 3 3 4 2" xfId="3788"/>
    <cellStyle name="Note 10 2 5 3 3 5" xfId="3789"/>
    <cellStyle name="Note 10 2 5 3 3 5 2" xfId="3790"/>
    <cellStyle name="Note 10 2 5 3 3 6" xfId="3791"/>
    <cellStyle name="Note 10 2 5 3 3 6 2" xfId="3792"/>
    <cellStyle name="Note 10 2 5 3 3 7" xfId="3793"/>
    <cellStyle name="Note 10 2 5 3 4" xfId="3794"/>
    <cellStyle name="Note 10 2 5 3 4 2" xfId="3795"/>
    <cellStyle name="Note 10 2 5 3 5" xfId="3796"/>
    <cellStyle name="Note 10 2 5 3 5 2" xfId="3797"/>
    <cellStyle name="Note 10 2 5 4" xfId="3798"/>
    <cellStyle name="Note 10 2 5 4 2" xfId="3799"/>
    <cellStyle name="Note 10 2 5 4 2 2" xfId="3800"/>
    <cellStyle name="Note 10 2 5 4 2 2 2" xfId="3801"/>
    <cellStyle name="Note 10 2 5 4 2 3" xfId="3802"/>
    <cellStyle name="Note 10 2 5 4 3" xfId="3803"/>
    <cellStyle name="Note 10 2 5 4 3 2" xfId="3804"/>
    <cellStyle name="Note 10 2 5 4 3 2 2" xfId="3805"/>
    <cellStyle name="Note 10 2 5 4 3 3" xfId="3806"/>
    <cellStyle name="Note 10 2 5 4 4" xfId="3807"/>
    <cellStyle name="Note 10 2 5 4 4 2" xfId="3808"/>
    <cellStyle name="Note 10 2 5 4 5" xfId="3809"/>
    <cellStyle name="Note 10 2 5 4 5 2" xfId="3810"/>
    <cellStyle name="Note 10 2 5 4 6" xfId="3811"/>
    <cellStyle name="Note 10 2 5 4 6 2" xfId="3812"/>
    <cellStyle name="Note 10 2 5 4 7" xfId="3813"/>
    <cellStyle name="Note 10 2 5 5" xfId="3814"/>
    <cellStyle name="Note 10 2 5 5 2" xfId="3815"/>
    <cellStyle name="Note 10 2 5 5 2 2" xfId="3816"/>
    <cellStyle name="Note 10 2 5 5 2 2 2" xfId="3817"/>
    <cellStyle name="Note 10 2 5 5 2 3" xfId="3818"/>
    <cellStyle name="Note 10 2 5 5 3" xfId="3819"/>
    <cellStyle name="Note 10 2 5 5 3 2" xfId="3820"/>
    <cellStyle name="Note 10 2 5 5 3 2 2" xfId="3821"/>
    <cellStyle name="Note 10 2 5 5 3 3" xfId="3822"/>
    <cellStyle name="Note 10 2 5 5 4" xfId="3823"/>
    <cellStyle name="Note 10 2 5 5 4 2" xfId="3824"/>
    <cellStyle name="Note 10 2 5 5 5" xfId="3825"/>
    <cellStyle name="Note 10 2 5 5 5 2" xfId="3826"/>
    <cellStyle name="Note 10 2 5 5 6" xfId="3827"/>
    <cellStyle name="Note 10 2 5 5 6 2" xfId="3828"/>
    <cellStyle name="Note 10 2 5 5 7" xfId="3829"/>
    <cellStyle name="Note 10 2 5 6" xfId="3830"/>
    <cellStyle name="Note 10 2 5 6 2" xfId="3831"/>
    <cellStyle name="Note 10 2 5 6 2 2" xfId="3832"/>
    <cellStyle name="Note 10 2 5 6 2 2 2" xfId="3833"/>
    <cellStyle name="Note 10 2 5 6 2 3" xfId="3834"/>
    <cellStyle name="Note 10 2 5 6 3" xfId="3835"/>
    <cellStyle name="Note 10 2 5 6 3 2" xfId="3836"/>
    <cellStyle name="Note 10 2 5 6 3 2 2" xfId="3837"/>
    <cellStyle name="Note 10 2 5 6 3 3" xfId="3838"/>
    <cellStyle name="Note 10 2 5 6 4" xfId="3839"/>
    <cellStyle name="Note 10 2 5 6 4 2" xfId="3840"/>
    <cellStyle name="Note 10 2 5 6 5" xfId="3841"/>
    <cellStyle name="Note 10 2 5 6 5 2" xfId="3842"/>
    <cellStyle name="Note 10 2 5 6 6" xfId="3843"/>
    <cellStyle name="Note 10 2 5 6 6 2" xfId="3844"/>
    <cellStyle name="Note 10 2 5 6 7" xfId="3845"/>
    <cellStyle name="Note 10 2 5 7" xfId="3846"/>
    <cellStyle name="Note 10 2 5 7 2" xfId="3847"/>
    <cellStyle name="Note 10 2 5 8" xfId="3848"/>
    <cellStyle name="Note 10 2 5 8 2" xfId="3849"/>
    <cellStyle name="Note 10 2 6" xfId="3850"/>
    <cellStyle name="Note 10 2 6 2" xfId="3851"/>
    <cellStyle name="Note 10 2 6 2 2" xfId="3852"/>
    <cellStyle name="Note 10 2 6 2 2 2" xfId="3853"/>
    <cellStyle name="Note 10 2 6 2 2 2 2" xfId="3854"/>
    <cellStyle name="Note 10 2 6 2 2 2 2 2" xfId="3855"/>
    <cellStyle name="Note 10 2 6 2 2 2 3" xfId="3856"/>
    <cellStyle name="Note 10 2 6 2 2 3" xfId="3857"/>
    <cellStyle name="Note 10 2 6 2 2 3 2" xfId="3858"/>
    <cellStyle name="Note 10 2 6 2 2 3 2 2" xfId="3859"/>
    <cellStyle name="Note 10 2 6 2 2 3 3" xfId="3860"/>
    <cellStyle name="Note 10 2 6 2 2 4" xfId="3861"/>
    <cellStyle name="Note 10 2 6 2 2 4 2" xfId="3862"/>
    <cellStyle name="Note 10 2 6 2 2 5" xfId="3863"/>
    <cellStyle name="Note 10 2 6 2 2 5 2" xfId="3864"/>
    <cellStyle name="Note 10 2 6 2 2 6" xfId="3865"/>
    <cellStyle name="Note 10 2 6 2 2 6 2" xfId="3866"/>
    <cellStyle name="Note 10 2 6 2 2 7" xfId="3867"/>
    <cellStyle name="Note 10 2 6 2 3" xfId="3868"/>
    <cellStyle name="Note 10 2 6 2 3 2" xfId="3869"/>
    <cellStyle name="Note 10 2 6 2 3 2 2" xfId="3870"/>
    <cellStyle name="Note 10 2 6 2 3 2 2 2" xfId="3871"/>
    <cellStyle name="Note 10 2 6 2 3 2 3" xfId="3872"/>
    <cellStyle name="Note 10 2 6 2 3 3" xfId="3873"/>
    <cellStyle name="Note 10 2 6 2 3 3 2" xfId="3874"/>
    <cellStyle name="Note 10 2 6 2 3 3 2 2" xfId="3875"/>
    <cellStyle name="Note 10 2 6 2 3 3 3" xfId="3876"/>
    <cellStyle name="Note 10 2 6 2 3 4" xfId="3877"/>
    <cellStyle name="Note 10 2 6 2 3 4 2" xfId="3878"/>
    <cellStyle name="Note 10 2 6 2 3 5" xfId="3879"/>
    <cellStyle name="Note 10 2 6 2 3 5 2" xfId="3880"/>
    <cellStyle name="Note 10 2 6 2 3 6" xfId="3881"/>
    <cellStyle name="Note 10 2 6 2 3 6 2" xfId="3882"/>
    <cellStyle name="Note 10 2 6 2 3 7" xfId="3883"/>
    <cellStyle name="Note 10 2 6 2 4" xfId="3884"/>
    <cellStyle name="Note 10 2 6 2 4 2" xfId="3885"/>
    <cellStyle name="Note 10 2 6 2 5" xfId="3886"/>
    <cellStyle name="Note 10 2 6 2 5 2" xfId="3887"/>
    <cellStyle name="Note 10 2 6 3" xfId="3888"/>
    <cellStyle name="Note 10 2 6 3 2" xfId="3889"/>
    <cellStyle name="Note 10 2 6 3 2 2" xfId="3890"/>
    <cellStyle name="Note 10 2 6 3 2 2 2" xfId="3891"/>
    <cellStyle name="Note 10 2 6 3 2 2 2 2" xfId="3892"/>
    <cellStyle name="Note 10 2 6 3 2 2 3" xfId="3893"/>
    <cellStyle name="Note 10 2 6 3 2 3" xfId="3894"/>
    <cellStyle name="Note 10 2 6 3 2 3 2" xfId="3895"/>
    <cellStyle name="Note 10 2 6 3 2 3 2 2" xfId="3896"/>
    <cellStyle name="Note 10 2 6 3 2 3 3" xfId="3897"/>
    <cellStyle name="Note 10 2 6 3 2 4" xfId="3898"/>
    <cellStyle name="Note 10 2 6 3 2 4 2" xfId="3899"/>
    <cellStyle name="Note 10 2 6 3 2 5" xfId="3900"/>
    <cellStyle name="Note 10 2 6 3 2 5 2" xfId="3901"/>
    <cellStyle name="Note 10 2 6 3 2 6" xfId="3902"/>
    <cellStyle name="Note 10 2 6 3 2 6 2" xfId="3903"/>
    <cellStyle name="Note 10 2 6 3 2 7" xfId="3904"/>
    <cellStyle name="Note 10 2 6 3 3" xfId="3905"/>
    <cellStyle name="Note 10 2 6 3 3 2" xfId="3906"/>
    <cellStyle name="Note 10 2 6 3 3 2 2" xfId="3907"/>
    <cellStyle name="Note 10 2 6 3 3 2 2 2" xfId="3908"/>
    <cellStyle name="Note 10 2 6 3 3 2 3" xfId="3909"/>
    <cellStyle name="Note 10 2 6 3 3 3" xfId="3910"/>
    <cellStyle name="Note 10 2 6 3 3 3 2" xfId="3911"/>
    <cellStyle name="Note 10 2 6 3 3 3 2 2" xfId="3912"/>
    <cellStyle name="Note 10 2 6 3 3 3 3" xfId="3913"/>
    <cellStyle name="Note 10 2 6 3 3 4" xfId="3914"/>
    <cellStyle name="Note 10 2 6 3 3 4 2" xfId="3915"/>
    <cellStyle name="Note 10 2 6 3 3 5" xfId="3916"/>
    <cellStyle name="Note 10 2 6 3 3 5 2" xfId="3917"/>
    <cellStyle name="Note 10 2 6 3 3 6" xfId="3918"/>
    <cellStyle name="Note 10 2 6 3 3 6 2" xfId="3919"/>
    <cellStyle name="Note 10 2 6 3 3 7" xfId="3920"/>
    <cellStyle name="Note 10 2 6 3 4" xfId="3921"/>
    <cellStyle name="Note 10 2 6 3 4 2" xfId="3922"/>
    <cellStyle name="Note 10 2 6 3 5" xfId="3923"/>
    <cellStyle name="Note 10 2 6 3 5 2" xfId="3924"/>
    <cellStyle name="Note 10 2 6 4" xfId="3925"/>
    <cellStyle name="Note 10 2 6 4 2" xfId="3926"/>
    <cellStyle name="Note 10 2 6 4 2 2" xfId="3927"/>
    <cellStyle name="Note 10 2 6 4 2 2 2" xfId="3928"/>
    <cellStyle name="Note 10 2 6 4 2 3" xfId="3929"/>
    <cellStyle name="Note 10 2 6 4 3" xfId="3930"/>
    <cellStyle name="Note 10 2 6 4 3 2" xfId="3931"/>
    <cellStyle name="Note 10 2 6 4 3 2 2" xfId="3932"/>
    <cellStyle name="Note 10 2 6 4 3 3" xfId="3933"/>
    <cellStyle name="Note 10 2 6 4 4" xfId="3934"/>
    <cellStyle name="Note 10 2 6 4 4 2" xfId="3935"/>
    <cellStyle name="Note 10 2 6 4 5" xfId="3936"/>
    <cellStyle name="Note 10 2 6 4 5 2" xfId="3937"/>
    <cellStyle name="Note 10 2 6 4 6" xfId="3938"/>
    <cellStyle name="Note 10 2 6 4 6 2" xfId="3939"/>
    <cellStyle name="Note 10 2 6 4 7" xfId="3940"/>
    <cellStyle name="Note 10 2 6 5" xfId="3941"/>
    <cellStyle name="Note 10 2 6 5 2" xfId="3942"/>
    <cellStyle name="Note 10 2 6 5 2 2" xfId="3943"/>
    <cellStyle name="Note 10 2 6 5 2 2 2" xfId="3944"/>
    <cellStyle name="Note 10 2 6 5 2 3" xfId="3945"/>
    <cellStyle name="Note 10 2 6 5 3" xfId="3946"/>
    <cellStyle name="Note 10 2 6 5 3 2" xfId="3947"/>
    <cellStyle name="Note 10 2 6 5 3 2 2" xfId="3948"/>
    <cellStyle name="Note 10 2 6 5 3 3" xfId="3949"/>
    <cellStyle name="Note 10 2 6 5 4" xfId="3950"/>
    <cellStyle name="Note 10 2 6 5 4 2" xfId="3951"/>
    <cellStyle name="Note 10 2 6 5 5" xfId="3952"/>
    <cellStyle name="Note 10 2 6 5 5 2" xfId="3953"/>
    <cellStyle name="Note 10 2 6 5 6" xfId="3954"/>
    <cellStyle name="Note 10 2 6 5 6 2" xfId="3955"/>
    <cellStyle name="Note 10 2 6 5 7" xfId="3956"/>
    <cellStyle name="Note 10 2 6 6" xfId="3957"/>
    <cellStyle name="Note 10 2 6 6 2" xfId="3958"/>
    <cellStyle name="Note 10 2 6 6 2 2" xfId="3959"/>
    <cellStyle name="Note 10 2 6 6 2 2 2" xfId="3960"/>
    <cellStyle name="Note 10 2 6 6 2 3" xfId="3961"/>
    <cellStyle name="Note 10 2 6 6 3" xfId="3962"/>
    <cellStyle name="Note 10 2 6 6 3 2" xfId="3963"/>
    <cellStyle name="Note 10 2 6 6 3 2 2" xfId="3964"/>
    <cellStyle name="Note 10 2 6 6 3 3" xfId="3965"/>
    <cellStyle name="Note 10 2 6 6 4" xfId="3966"/>
    <cellStyle name="Note 10 2 6 6 4 2" xfId="3967"/>
    <cellStyle name="Note 10 2 6 6 5" xfId="3968"/>
    <cellStyle name="Note 10 2 6 6 5 2" xfId="3969"/>
    <cellStyle name="Note 10 2 6 6 6" xfId="3970"/>
    <cellStyle name="Note 10 2 6 6 6 2" xfId="3971"/>
    <cellStyle name="Note 10 2 6 6 7" xfId="3972"/>
    <cellStyle name="Note 10 2 6 7" xfId="3973"/>
    <cellStyle name="Note 10 2 6 7 2" xfId="3974"/>
    <cellStyle name="Note 10 2 6 8" xfId="3975"/>
    <cellStyle name="Note 10 2 6 8 2" xfId="3976"/>
    <cellStyle name="Note 10 2 7" xfId="3977"/>
    <cellStyle name="Note 10 2 7 2" xfId="3978"/>
    <cellStyle name="Note 10 2 7 2 2" xfId="3979"/>
    <cellStyle name="Note 10 2 7 2 2 2" xfId="3980"/>
    <cellStyle name="Note 10 2 7 2 2 2 2" xfId="3981"/>
    <cellStyle name="Note 10 2 7 2 2 2 2 2" xfId="3982"/>
    <cellStyle name="Note 10 2 7 2 2 2 3" xfId="3983"/>
    <cellStyle name="Note 10 2 7 2 2 3" xfId="3984"/>
    <cellStyle name="Note 10 2 7 2 2 3 2" xfId="3985"/>
    <cellStyle name="Note 10 2 7 2 2 3 2 2" xfId="3986"/>
    <cellStyle name="Note 10 2 7 2 2 3 3" xfId="3987"/>
    <cellStyle name="Note 10 2 7 2 2 4" xfId="3988"/>
    <cellStyle name="Note 10 2 7 2 2 4 2" xfId="3989"/>
    <cellStyle name="Note 10 2 7 2 2 5" xfId="3990"/>
    <cellStyle name="Note 10 2 7 2 2 5 2" xfId="3991"/>
    <cellStyle name="Note 10 2 7 2 2 6" xfId="3992"/>
    <cellStyle name="Note 10 2 7 2 2 6 2" xfId="3993"/>
    <cellStyle name="Note 10 2 7 2 2 7" xfId="3994"/>
    <cellStyle name="Note 10 2 7 2 3" xfId="3995"/>
    <cellStyle name="Note 10 2 7 2 3 2" xfId="3996"/>
    <cellStyle name="Note 10 2 7 2 3 2 2" xfId="3997"/>
    <cellStyle name="Note 10 2 7 2 3 2 2 2" xfId="3998"/>
    <cellStyle name="Note 10 2 7 2 3 2 3" xfId="3999"/>
    <cellStyle name="Note 10 2 7 2 3 3" xfId="4000"/>
    <cellStyle name="Note 10 2 7 2 3 3 2" xfId="4001"/>
    <cellStyle name="Note 10 2 7 2 3 3 2 2" xfId="4002"/>
    <cellStyle name="Note 10 2 7 2 3 3 3" xfId="4003"/>
    <cellStyle name="Note 10 2 7 2 3 4" xfId="4004"/>
    <cellStyle name="Note 10 2 7 2 3 4 2" xfId="4005"/>
    <cellStyle name="Note 10 2 7 2 3 5" xfId="4006"/>
    <cellStyle name="Note 10 2 7 2 3 5 2" xfId="4007"/>
    <cellStyle name="Note 10 2 7 2 3 6" xfId="4008"/>
    <cellStyle name="Note 10 2 7 2 3 6 2" xfId="4009"/>
    <cellStyle name="Note 10 2 7 2 3 7" xfId="4010"/>
    <cellStyle name="Note 10 2 7 2 4" xfId="4011"/>
    <cellStyle name="Note 10 2 7 2 4 2" xfId="4012"/>
    <cellStyle name="Note 10 2 7 2 5" xfId="4013"/>
    <cellStyle name="Note 10 2 7 2 5 2" xfId="4014"/>
    <cellStyle name="Note 10 2 7 3" xfId="4015"/>
    <cellStyle name="Note 10 2 7 3 2" xfId="4016"/>
    <cellStyle name="Note 10 2 7 3 2 2" xfId="4017"/>
    <cellStyle name="Note 10 2 7 3 2 2 2" xfId="4018"/>
    <cellStyle name="Note 10 2 7 3 2 2 2 2" xfId="4019"/>
    <cellStyle name="Note 10 2 7 3 2 2 3" xfId="4020"/>
    <cellStyle name="Note 10 2 7 3 2 3" xfId="4021"/>
    <cellStyle name="Note 10 2 7 3 2 3 2" xfId="4022"/>
    <cellStyle name="Note 10 2 7 3 2 3 2 2" xfId="4023"/>
    <cellStyle name="Note 10 2 7 3 2 3 3" xfId="4024"/>
    <cellStyle name="Note 10 2 7 3 2 4" xfId="4025"/>
    <cellStyle name="Note 10 2 7 3 2 4 2" xfId="4026"/>
    <cellStyle name="Note 10 2 7 3 2 5" xfId="4027"/>
    <cellStyle name="Note 10 2 7 3 2 5 2" xfId="4028"/>
    <cellStyle name="Note 10 2 7 3 2 6" xfId="4029"/>
    <cellStyle name="Note 10 2 7 3 2 6 2" xfId="4030"/>
    <cellStyle name="Note 10 2 7 3 2 7" xfId="4031"/>
    <cellStyle name="Note 10 2 7 3 3" xfId="4032"/>
    <cellStyle name="Note 10 2 7 3 3 2" xfId="4033"/>
    <cellStyle name="Note 10 2 7 3 3 2 2" xfId="4034"/>
    <cellStyle name="Note 10 2 7 3 3 2 2 2" xfId="4035"/>
    <cellStyle name="Note 10 2 7 3 3 2 3" xfId="4036"/>
    <cellStyle name="Note 10 2 7 3 3 3" xfId="4037"/>
    <cellStyle name="Note 10 2 7 3 3 3 2" xfId="4038"/>
    <cellStyle name="Note 10 2 7 3 3 3 2 2" xfId="4039"/>
    <cellStyle name="Note 10 2 7 3 3 3 3" xfId="4040"/>
    <cellStyle name="Note 10 2 7 3 3 4" xfId="4041"/>
    <cellStyle name="Note 10 2 7 3 3 4 2" xfId="4042"/>
    <cellStyle name="Note 10 2 7 3 3 5" xfId="4043"/>
    <cellStyle name="Note 10 2 7 3 3 5 2" xfId="4044"/>
    <cellStyle name="Note 10 2 7 3 3 6" xfId="4045"/>
    <cellStyle name="Note 10 2 7 3 3 6 2" xfId="4046"/>
    <cellStyle name="Note 10 2 7 3 3 7" xfId="4047"/>
    <cellStyle name="Note 10 2 7 3 4" xfId="4048"/>
    <cellStyle name="Note 10 2 7 3 4 2" xfId="4049"/>
    <cellStyle name="Note 10 2 7 3 5" xfId="4050"/>
    <cellStyle name="Note 10 2 7 3 5 2" xfId="4051"/>
    <cellStyle name="Note 10 2 7 4" xfId="4052"/>
    <cellStyle name="Note 10 2 7 4 2" xfId="4053"/>
    <cellStyle name="Note 10 2 7 4 2 2" xfId="4054"/>
    <cellStyle name="Note 10 2 7 4 2 2 2" xfId="4055"/>
    <cellStyle name="Note 10 2 7 4 2 3" xfId="4056"/>
    <cellStyle name="Note 10 2 7 4 3" xfId="4057"/>
    <cellStyle name="Note 10 2 7 4 3 2" xfId="4058"/>
    <cellStyle name="Note 10 2 7 4 3 2 2" xfId="4059"/>
    <cellStyle name="Note 10 2 7 4 3 3" xfId="4060"/>
    <cellStyle name="Note 10 2 7 4 4" xfId="4061"/>
    <cellStyle name="Note 10 2 7 4 4 2" xfId="4062"/>
    <cellStyle name="Note 10 2 7 4 5" xfId="4063"/>
    <cellStyle name="Note 10 2 7 4 5 2" xfId="4064"/>
    <cellStyle name="Note 10 2 7 4 6" xfId="4065"/>
    <cellStyle name="Note 10 2 7 4 6 2" xfId="4066"/>
    <cellStyle name="Note 10 2 7 4 7" xfId="4067"/>
    <cellStyle name="Note 10 2 7 5" xfId="4068"/>
    <cellStyle name="Note 10 2 7 5 2" xfId="4069"/>
    <cellStyle name="Note 10 2 7 5 2 2" xfId="4070"/>
    <cellStyle name="Note 10 2 7 5 2 2 2" xfId="4071"/>
    <cellStyle name="Note 10 2 7 5 2 3" xfId="4072"/>
    <cellStyle name="Note 10 2 7 5 3" xfId="4073"/>
    <cellStyle name="Note 10 2 7 5 3 2" xfId="4074"/>
    <cellStyle name="Note 10 2 7 5 3 2 2" xfId="4075"/>
    <cellStyle name="Note 10 2 7 5 3 3" xfId="4076"/>
    <cellStyle name="Note 10 2 7 5 4" xfId="4077"/>
    <cellStyle name="Note 10 2 7 5 4 2" xfId="4078"/>
    <cellStyle name="Note 10 2 7 5 5" xfId="4079"/>
    <cellStyle name="Note 10 2 7 5 5 2" xfId="4080"/>
    <cellStyle name="Note 10 2 7 5 6" xfId="4081"/>
    <cellStyle name="Note 10 2 7 5 6 2" xfId="4082"/>
    <cellStyle name="Note 10 2 7 5 7" xfId="4083"/>
    <cellStyle name="Note 10 2 7 6" xfId="4084"/>
    <cellStyle name="Note 10 2 7 6 2" xfId="4085"/>
    <cellStyle name="Note 10 2 7 7" xfId="4086"/>
    <cellStyle name="Note 10 2 7 7 2" xfId="4087"/>
    <cellStyle name="Note 10 2 8" xfId="4088"/>
    <cellStyle name="Note 10 2 8 2" xfId="4089"/>
    <cellStyle name="Note 10 2 8 2 2" xfId="4090"/>
    <cellStyle name="Note 10 2 8 2 2 2" xfId="4091"/>
    <cellStyle name="Note 10 2 8 2 2 2 2" xfId="4092"/>
    <cellStyle name="Note 10 2 8 2 2 3" xfId="4093"/>
    <cellStyle name="Note 10 2 8 2 3" xfId="4094"/>
    <cellStyle name="Note 10 2 8 2 3 2" xfId="4095"/>
    <cellStyle name="Note 10 2 8 2 3 2 2" xfId="4096"/>
    <cellStyle name="Note 10 2 8 2 3 3" xfId="4097"/>
    <cellStyle name="Note 10 2 8 2 4" xfId="4098"/>
    <cellStyle name="Note 10 2 8 2 4 2" xfId="4099"/>
    <cellStyle name="Note 10 2 8 2 5" xfId="4100"/>
    <cellStyle name="Note 10 2 8 2 5 2" xfId="4101"/>
    <cellStyle name="Note 10 2 8 2 6" xfId="4102"/>
    <cellStyle name="Note 10 2 8 2 6 2" xfId="4103"/>
    <cellStyle name="Note 10 2 8 2 7" xfId="4104"/>
    <cellStyle name="Note 10 2 8 3" xfId="4105"/>
    <cellStyle name="Note 10 2 8 3 2" xfId="4106"/>
    <cellStyle name="Note 10 2 8 3 2 2" xfId="4107"/>
    <cellStyle name="Note 10 2 8 3 2 2 2" xfId="4108"/>
    <cellStyle name="Note 10 2 8 3 2 3" xfId="4109"/>
    <cellStyle name="Note 10 2 8 3 3" xfId="4110"/>
    <cellStyle name="Note 10 2 8 3 3 2" xfId="4111"/>
    <cellStyle name="Note 10 2 8 3 3 2 2" xfId="4112"/>
    <cellStyle name="Note 10 2 8 3 3 3" xfId="4113"/>
    <cellStyle name="Note 10 2 8 3 4" xfId="4114"/>
    <cellStyle name="Note 10 2 8 3 4 2" xfId="4115"/>
    <cellStyle name="Note 10 2 8 3 5" xfId="4116"/>
    <cellStyle name="Note 10 2 8 3 5 2" xfId="4117"/>
    <cellStyle name="Note 10 2 8 3 6" xfId="4118"/>
    <cellStyle name="Note 10 2 8 3 6 2" xfId="4119"/>
    <cellStyle name="Note 10 2 8 3 7" xfId="4120"/>
    <cellStyle name="Note 10 2 8 4" xfId="4121"/>
    <cellStyle name="Note 10 2 8 4 2" xfId="4122"/>
    <cellStyle name="Note 10 2 8 5" xfId="4123"/>
    <cellStyle name="Note 10 2 8 5 2" xfId="4124"/>
    <cellStyle name="Note 10 2 9" xfId="4125"/>
    <cellStyle name="Note 10 2 9 2" xfId="4126"/>
    <cellStyle name="Note 10 2 9 2 2" xfId="4127"/>
    <cellStyle name="Note 10 2 9 2 2 2" xfId="4128"/>
    <cellStyle name="Note 10 2 9 2 2 2 2" xfId="4129"/>
    <cellStyle name="Note 10 2 9 2 2 3" xfId="4130"/>
    <cellStyle name="Note 10 2 9 2 3" xfId="4131"/>
    <cellStyle name="Note 10 2 9 2 3 2" xfId="4132"/>
    <cellStyle name="Note 10 2 9 2 3 2 2" xfId="4133"/>
    <cellStyle name="Note 10 2 9 2 3 3" xfId="4134"/>
    <cellStyle name="Note 10 2 9 2 4" xfId="4135"/>
    <cellStyle name="Note 10 2 9 2 4 2" xfId="4136"/>
    <cellStyle name="Note 10 2 9 2 5" xfId="4137"/>
    <cellStyle name="Note 10 2 9 2 5 2" xfId="4138"/>
    <cellStyle name="Note 10 2 9 2 6" xfId="4139"/>
    <cellStyle name="Note 10 2 9 2 6 2" xfId="4140"/>
    <cellStyle name="Note 10 2 9 2 7" xfId="4141"/>
    <cellStyle name="Note 10 2 9 3" xfId="4142"/>
    <cellStyle name="Note 10 2 9 3 2" xfId="4143"/>
    <cellStyle name="Note 10 2 9 3 2 2" xfId="4144"/>
    <cellStyle name="Note 10 2 9 3 2 2 2" xfId="4145"/>
    <cellStyle name="Note 10 2 9 3 2 3" xfId="4146"/>
    <cellStyle name="Note 10 2 9 3 3" xfId="4147"/>
    <cellStyle name="Note 10 2 9 3 3 2" xfId="4148"/>
    <cellStyle name="Note 10 2 9 3 3 2 2" xfId="4149"/>
    <cellStyle name="Note 10 2 9 3 3 3" xfId="4150"/>
    <cellStyle name="Note 10 2 9 3 4" xfId="4151"/>
    <cellStyle name="Note 10 2 9 3 4 2" xfId="4152"/>
    <cellStyle name="Note 10 2 9 3 5" xfId="4153"/>
    <cellStyle name="Note 10 2 9 3 5 2" xfId="4154"/>
    <cellStyle name="Note 10 2 9 3 6" xfId="4155"/>
    <cellStyle name="Note 10 2 9 3 6 2" xfId="4156"/>
    <cellStyle name="Note 10 2 9 3 7" xfId="4157"/>
    <cellStyle name="Note 10 2 9 4" xfId="4158"/>
    <cellStyle name="Note 10 2 9 4 2" xfId="4159"/>
    <cellStyle name="Note 10 2 9 5" xfId="4160"/>
    <cellStyle name="Note 10 2 9 5 2" xfId="4161"/>
    <cellStyle name="Note 10 3" xfId="4162"/>
    <cellStyle name="Note 10 3 2" xfId="4163"/>
    <cellStyle name="Note 10 3 2 2" xfId="4164"/>
    <cellStyle name="Note 10 3 2 2 2" xfId="4165"/>
    <cellStyle name="Note 10 3 2 2 2 2" xfId="4166"/>
    <cellStyle name="Note 10 3 2 2 3" xfId="4167"/>
    <cellStyle name="Note 10 3 2 3" xfId="4168"/>
    <cellStyle name="Note 10 3 2 3 2" xfId="4169"/>
    <cellStyle name="Note 10 3 2 3 2 2" xfId="4170"/>
    <cellStyle name="Note 10 3 2 3 3" xfId="4171"/>
    <cellStyle name="Note 10 3 2 4" xfId="4172"/>
    <cellStyle name="Note 10 3 2 4 2" xfId="4173"/>
    <cellStyle name="Note 10 3 2 5" xfId="4174"/>
    <cellStyle name="Note 10 3 2 5 2" xfId="4175"/>
    <cellStyle name="Note 10 3 2 6" xfId="4176"/>
    <cellStyle name="Note 10 3 2 6 2" xfId="4177"/>
    <cellStyle name="Note 10 3 2 7" xfId="4178"/>
    <cellStyle name="Note 10 3 3" xfId="4179"/>
    <cellStyle name="Note 10 3 3 2" xfId="4180"/>
    <cellStyle name="Note 10 3 3 2 2" xfId="4181"/>
    <cellStyle name="Note 10 3 3 2 2 2" xfId="4182"/>
    <cellStyle name="Note 10 3 3 2 3" xfId="4183"/>
    <cellStyle name="Note 10 3 3 3" xfId="4184"/>
    <cellStyle name="Note 10 3 3 3 2" xfId="4185"/>
    <cellStyle name="Note 10 3 3 3 2 2" xfId="4186"/>
    <cellStyle name="Note 10 3 3 3 3" xfId="4187"/>
    <cellStyle name="Note 10 3 3 4" xfId="4188"/>
    <cellStyle name="Note 10 3 3 4 2" xfId="4189"/>
    <cellStyle name="Note 10 3 3 5" xfId="4190"/>
    <cellStyle name="Note 10 3 3 5 2" xfId="4191"/>
    <cellStyle name="Note 10 3 3 6" xfId="4192"/>
    <cellStyle name="Note 10 3 3 6 2" xfId="4193"/>
    <cellStyle name="Note 10 3 3 7" xfId="4194"/>
    <cellStyle name="Note 10 3 4" xfId="4195"/>
    <cellStyle name="Note 10 3 4 2" xfId="4196"/>
    <cellStyle name="Note 10 3 5" xfId="4197"/>
    <cellStyle name="Note 10 3 5 2" xfId="4198"/>
    <cellStyle name="Note 10 4" xfId="4199"/>
    <cellStyle name="Note 10 4 2" xfId="4200"/>
    <cellStyle name="Note 10 4 2 2" xfId="4201"/>
    <cellStyle name="Note 10 4 2 2 2" xfId="4202"/>
    <cellStyle name="Note 10 4 2 2 2 2" xfId="4203"/>
    <cellStyle name="Note 10 4 2 2 3" xfId="4204"/>
    <cellStyle name="Note 10 4 2 3" xfId="4205"/>
    <cellStyle name="Note 10 4 2 3 2" xfId="4206"/>
    <cellStyle name="Note 10 4 2 3 2 2" xfId="4207"/>
    <cellStyle name="Note 10 4 2 3 3" xfId="4208"/>
    <cellStyle name="Note 10 4 2 4" xfId="4209"/>
    <cellStyle name="Note 10 4 2 4 2" xfId="4210"/>
    <cellStyle name="Note 10 4 2 5" xfId="4211"/>
    <cellStyle name="Note 10 4 2 5 2" xfId="4212"/>
    <cellStyle name="Note 10 4 2 6" xfId="4213"/>
    <cellStyle name="Note 10 4 2 6 2" xfId="4214"/>
    <cellStyle name="Note 10 4 2 7" xfId="4215"/>
    <cellStyle name="Note 10 4 3" xfId="4216"/>
    <cellStyle name="Note 10 4 3 2" xfId="4217"/>
    <cellStyle name="Note 10 4 3 2 2" xfId="4218"/>
    <cellStyle name="Note 10 4 3 2 2 2" xfId="4219"/>
    <cellStyle name="Note 10 4 3 2 3" xfId="4220"/>
    <cellStyle name="Note 10 4 3 3" xfId="4221"/>
    <cellStyle name="Note 10 4 3 3 2" xfId="4222"/>
    <cellStyle name="Note 10 4 3 3 2 2" xfId="4223"/>
    <cellStyle name="Note 10 4 3 3 3" xfId="4224"/>
    <cellStyle name="Note 10 4 3 4" xfId="4225"/>
    <cellStyle name="Note 10 4 3 4 2" xfId="4226"/>
    <cellStyle name="Note 10 4 3 5" xfId="4227"/>
    <cellStyle name="Note 10 4 3 5 2" xfId="4228"/>
    <cellStyle name="Note 10 4 3 6" xfId="4229"/>
    <cellStyle name="Note 10 4 3 6 2" xfId="4230"/>
    <cellStyle name="Note 10 4 3 7" xfId="4231"/>
    <cellStyle name="Note 10 4 4" xfId="4232"/>
    <cellStyle name="Note 10 4 4 2" xfId="4233"/>
    <cellStyle name="Note 10 4 5" xfId="4234"/>
    <cellStyle name="Note 10 4 5 2" xfId="4235"/>
    <cellStyle name="Note 10 5" xfId="4236"/>
    <cellStyle name="Note 10 5 2" xfId="4237"/>
    <cellStyle name="Note 10 5 2 2" xfId="4238"/>
    <cellStyle name="Note 10 5 2 2 2" xfId="4239"/>
    <cellStyle name="Note 10 5 2 3" xfId="4240"/>
    <cellStyle name="Note 10 5 3" xfId="4241"/>
    <cellStyle name="Note 10 5 3 2" xfId="4242"/>
    <cellStyle name="Note 10 5 3 2 2" xfId="4243"/>
    <cellStyle name="Note 10 5 3 3" xfId="4244"/>
    <cellStyle name="Note 10 5 4" xfId="4245"/>
    <cellStyle name="Note 10 5 4 2" xfId="4246"/>
    <cellStyle name="Note 10 5 5" xfId="4247"/>
    <cellStyle name="Note 10 5 5 2" xfId="4248"/>
    <cellStyle name="Note 10 5 6" xfId="4249"/>
    <cellStyle name="Note 10 5 6 2" xfId="4250"/>
    <cellStyle name="Note 10 5 7" xfId="4251"/>
    <cellStyle name="Note 10 6" xfId="4252"/>
    <cellStyle name="Note 10 6 2" xfId="4253"/>
    <cellStyle name="Note 10 6 2 2" xfId="4254"/>
    <cellStyle name="Note 10 6 2 2 2" xfId="4255"/>
    <cellStyle name="Note 10 6 2 3" xfId="4256"/>
    <cellStyle name="Note 10 6 3" xfId="4257"/>
    <cellStyle name="Note 10 6 3 2" xfId="4258"/>
    <cellStyle name="Note 10 6 3 2 2" xfId="4259"/>
    <cellStyle name="Note 10 6 3 3" xfId="4260"/>
    <cellStyle name="Note 10 6 4" xfId="4261"/>
    <cellStyle name="Note 10 6 4 2" xfId="4262"/>
    <cellStyle name="Note 10 6 5" xfId="4263"/>
    <cellStyle name="Note 10 6 5 2" xfId="4264"/>
    <cellStyle name="Note 10 6 6" xfId="4265"/>
    <cellStyle name="Note 10 6 6 2" xfId="4266"/>
    <cellStyle name="Note 10 6 7" xfId="4267"/>
    <cellStyle name="Note 10 7" xfId="4268"/>
    <cellStyle name="Note 10 7 2" xfId="4269"/>
    <cellStyle name="Note 10 8" xfId="4270"/>
    <cellStyle name="Note 10 8 2" xfId="4271"/>
    <cellStyle name="Note 10 9" xfId="4272"/>
    <cellStyle name="Note 10 9 2" xfId="4273"/>
    <cellStyle name="Note 11" xfId="285"/>
    <cellStyle name="Note 11 2" xfId="4274"/>
    <cellStyle name="Note 11 2 10" xfId="4275"/>
    <cellStyle name="Note 11 2 10 2" xfId="4276"/>
    <cellStyle name="Note 11 2 10 2 2" xfId="4277"/>
    <cellStyle name="Note 11 2 10 2 2 2" xfId="4278"/>
    <cellStyle name="Note 11 2 10 2 3" xfId="4279"/>
    <cellStyle name="Note 11 2 10 3" xfId="4280"/>
    <cellStyle name="Note 11 2 10 3 2" xfId="4281"/>
    <cellStyle name="Note 11 2 10 3 2 2" xfId="4282"/>
    <cellStyle name="Note 11 2 10 3 3" xfId="4283"/>
    <cellStyle name="Note 11 2 10 4" xfId="4284"/>
    <cellStyle name="Note 11 2 10 4 2" xfId="4285"/>
    <cellStyle name="Note 11 2 10 5" xfId="4286"/>
    <cellStyle name="Note 11 2 10 5 2" xfId="4287"/>
    <cellStyle name="Note 11 2 10 6" xfId="4288"/>
    <cellStyle name="Note 11 2 10 6 2" xfId="4289"/>
    <cellStyle name="Note 11 2 10 7" xfId="4290"/>
    <cellStyle name="Note 11 2 11" xfId="4291"/>
    <cellStyle name="Note 11 2 11 2" xfId="4292"/>
    <cellStyle name="Note 11 2 11 2 2" xfId="4293"/>
    <cellStyle name="Note 11 2 11 2 2 2" xfId="4294"/>
    <cellStyle name="Note 11 2 11 2 3" xfId="4295"/>
    <cellStyle name="Note 11 2 11 3" xfId="4296"/>
    <cellStyle name="Note 11 2 11 3 2" xfId="4297"/>
    <cellStyle name="Note 11 2 11 3 2 2" xfId="4298"/>
    <cellStyle name="Note 11 2 11 3 3" xfId="4299"/>
    <cellStyle name="Note 11 2 11 4" xfId="4300"/>
    <cellStyle name="Note 11 2 11 4 2" xfId="4301"/>
    <cellStyle name="Note 11 2 11 5" xfId="4302"/>
    <cellStyle name="Note 11 2 11 5 2" xfId="4303"/>
    <cellStyle name="Note 11 2 11 6" xfId="4304"/>
    <cellStyle name="Note 11 2 11 6 2" xfId="4305"/>
    <cellStyle name="Note 11 2 11 7" xfId="4306"/>
    <cellStyle name="Note 11 2 12" xfId="4307"/>
    <cellStyle name="Note 11 2 12 2" xfId="4308"/>
    <cellStyle name="Note 11 2 13" xfId="4309"/>
    <cellStyle name="Note 11 2 13 2" xfId="4310"/>
    <cellStyle name="Note 11 2 2" xfId="4311"/>
    <cellStyle name="Note 11 2 2 2" xfId="4312"/>
    <cellStyle name="Note 11 2 2 2 2" xfId="4313"/>
    <cellStyle name="Note 11 2 2 2 2 2" xfId="4314"/>
    <cellStyle name="Note 11 2 2 2 2 2 2" xfId="4315"/>
    <cellStyle name="Note 11 2 2 2 2 2 2 2" xfId="4316"/>
    <cellStyle name="Note 11 2 2 2 2 2 3" xfId="4317"/>
    <cellStyle name="Note 11 2 2 2 2 3" xfId="4318"/>
    <cellStyle name="Note 11 2 2 2 2 3 2" xfId="4319"/>
    <cellStyle name="Note 11 2 2 2 2 3 2 2" xfId="4320"/>
    <cellStyle name="Note 11 2 2 2 2 3 3" xfId="4321"/>
    <cellStyle name="Note 11 2 2 2 2 4" xfId="4322"/>
    <cellStyle name="Note 11 2 2 2 2 4 2" xfId="4323"/>
    <cellStyle name="Note 11 2 2 2 2 5" xfId="4324"/>
    <cellStyle name="Note 11 2 2 2 2 5 2" xfId="4325"/>
    <cellStyle name="Note 11 2 2 2 2 6" xfId="4326"/>
    <cellStyle name="Note 11 2 2 2 2 6 2" xfId="4327"/>
    <cellStyle name="Note 11 2 2 2 2 7" xfId="4328"/>
    <cellStyle name="Note 11 2 2 2 3" xfId="4329"/>
    <cellStyle name="Note 11 2 2 2 3 2" xfId="4330"/>
    <cellStyle name="Note 11 2 2 2 3 2 2" xfId="4331"/>
    <cellStyle name="Note 11 2 2 2 3 2 2 2" xfId="4332"/>
    <cellStyle name="Note 11 2 2 2 3 2 3" xfId="4333"/>
    <cellStyle name="Note 11 2 2 2 3 3" xfId="4334"/>
    <cellStyle name="Note 11 2 2 2 3 3 2" xfId="4335"/>
    <cellStyle name="Note 11 2 2 2 3 3 2 2" xfId="4336"/>
    <cellStyle name="Note 11 2 2 2 3 3 3" xfId="4337"/>
    <cellStyle name="Note 11 2 2 2 3 4" xfId="4338"/>
    <cellStyle name="Note 11 2 2 2 3 4 2" xfId="4339"/>
    <cellStyle name="Note 11 2 2 2 3 5" xfId="4340"/>
    <cellStyle name="Note 11 2 2 2 3 5 2" xfId="4341"/>
    <cellStyle name="Note 11 2 2 2 3 6" xfId="4342"/>
    <cellStyle name="Note 11 2 2 2 3 6 2" xfId="4343"/>
    <cellStyle name="Note 11 2 2 2 3 7" xfId="4344"/>
    <cellStyle name="Note 11 2 2 2 4" xfId="4345"/>
    <cellStyle name="Note 11 2 2 2 4 2" xfId="4346"/>
    <cellStyle name="Note 11 2 2 2 5" xfId="4347"/>
    <cellStyle name="Note 11 2 2 2 5 2" xfId="4348"/>
    <cellStyle name="Note 11 2 2 3" xfId="4349"/>
    <cellStyle name="Note 11 2 2 3 2" xfId="4350"/>
    <cellStyle name="Note 11 2 2 3 2 2" xfId="4351"/>
    <cellStyle name="Note 11 2 2 3 2 2 2" xfId="4352"/>
    <cellStyle name="Note 11 2 2 3 2 2 2 2" xfId="4353"/>
    <cellStyle name="Note 11 2 2 3 2 2 3" xfId="4354"/>
    <cellStyle name="Note 11 2 2 3 2 3" xfId="4355"/>
    <cellStyle name="Note 11 2 2 3 2 3 2" xfId="4356"/>
    <cellStyle name="Note 11 2 2 3 2 3 2 2" xfId="4357"/>
    <cellStyle name="Note 11 2 2 3 2 3 3" xfId="4358"/>
    <cellStyle name="Note 11 2 2 3 2 4" xfId="4359"/>
    <cellStyle name="Note 11 2 2 3 2 4 2" xfId="4360"/>
    <cellStyle name="Note 11 2 2 3 2 5" xfId="4361"/>
    <cellStyle name="Note 11 2 2 3 2 5 2" xfId="4362"/>
    <cellStyle name="Note 11 2 2 3 2 6" xfId="4363"/>
    <cellStyle name="Note 11 2 2 3 2 6 2" xfId="4364"/>
    <cellStyle name="Note 11 2 2 3 2 7" xfId="4365"/>
    <cellStyle name="Note 11 2 2 3 3" xfId="4366"/>
    <cellStyle name="Note 11 2 2 3 3 2" xfId="4367"/>
    <cellStyle name="Note 11 2 2 3 3 2 2" xfId="4368"/>
    <cellStyle name="Note 11 2 2 3 3 2 2 2" xfId="4369"/>
    <cellStyle name="Note 11 2 2 3 3 2 3" xfId="4370"/>
    <cellStyle name="Note 11 2 2 3 3 3" xfId="4371"/>
    <cellStyle name="Note 11 2 2 3 3 3 2" xfId="4372"/>
    <cellStyle name="Note 11 2 2 3 3 3 2 2" xfId="4373"/>
    <cellStyle name="Note 11 2 2 3 3 3 3" xfId="4374"/>
    <cellStyle name="Note 11 2 2 3 3 4" xfId="4375"/>
    <cellStyle name="Note 11 2 2 3 3 4 2" xfId="4376"/>
    <cellStyle name="Note 11 2 2 3 3 5" xfId="4377"/>
    <cellStyle name="Note 11 2 2 3 3 5 2" xfId="4378"/>
    <cellStyle name="Note 11 2 2 3 3 6" xfId="4379"/>
    <cellStyle name="Note 11 2 2 3 3 6 2" xfId="4380"/>
    <cellStyle name="Note 11 2 2 3 3 7" xfId="4381"/>
    <cellStyle name="Note 11 2 2 3 4" xfId="4382"/>
    <cellStyle name="Note 11 2 2 3 4 2" xfId="4383"/>
    <cellStyle name="Note 11 2 2 3 5" xfId="4384"/>
    <cellStyle name="Note 11 2 2 3 5 2" xfId="4385"/>
    <cellStyle name="Note 11 2 2 4" xfId="4386"/>
    <cellStyle name="Note 11 2 2 4 2" xfId="4387"/>
    <cellStyle name="Note 11 2 2 4 2 2" xfId="4388"/>
    <cellStyle name="Note 11 2 2 4 2 2 2" xfId="4389"/>
    <cellStyle name="Note 11 2 2 4 2 3" xfId="4390"/>
    <cellStyle name="Note 11 2 2 4 3" xfId="4391"/>
    <cellStyle name="Note 11 2 2 4 3 2" xfId="4392"/>
    <cellStyle name="Note 11 2 2 4 3 2 2" xfId="4393"/>
    <cellStyle name="Note 11 2 2 4 3 3" xfId="4394"/>
    <cellStyle name="Note 11 2 2 4 4" xfId="4395"/>
    <cellStyle name="Note 11 2 2 4 4 2" xfId="4396"/>
    <cellStyle name="Note 11 2 2 4 5" xfId="4397"/>
    <cellStyle name="Note 11 2 2 4 5 2" xfId="4398"/>
    <cellStyle name="Note 11 2 2 4 6" xfId="4399"/>
    <cellStyle name="Note 11 2 2 4 6 2" xfId="4400"/>
    <cellStyle name="Note 11 2 2 4 7" xfId="4401"/>
    <cellStyle name="Note 11 2 2 5" xfId="4402"/>
    <cellStyle name="Note 11 2 2 5 2" xfId="4403"/>
    <cellStyle name="Note 11 2 2 5 2 2" xfId="4404"/>
    <cellStyle name="Note 11 2 2 5 2 2 2" xfId="4405"/>
    <cellStyle name="Note 11 2 2 5 2 3" xfId="4406"/>
    <cellStyle name="Note 11 2 2 5 3" xfId="4407"/>
    <cellStyle name="Note 11 2 2 5 3 2" xfId="4408"/>
    <cellStyle name="Note 11 2 2 5 3 2 2" xfId="4409"/>
    <cellStyle name="Note 11 2 2 5 3 3" xfId="4410"/>
    <cellStyle name="Note 11 2 2 5 4" xfId="4411"/>
    <cellStyle name="Note 11 2 2 5 4 2" xfId="4412"/>
    <cellStyle name="Note 11 2 2 5 5" xfId="4413"/>
    <cellStyle name="Note 11 2 2 5 5 2" xfId="4414"/>
    <cellStyle name="Note 11 2 2 5 6" xfId="4415"/>
    <cellStyle name="Note 11 2 2 5 6 2" xfId="4416"/>
    <cellStyle name="Note 11 2 2 5 7" xfId="4417"/>
    <cellStyle name="Note 11 2 2 6" xfId="4418"/>
    <cellStyle name="Note 11 2 2 6 2" xfId="4419"/>
    <cellStyle name="Note 11 2 2 6 2 2" xfId="4420"/>
    <cellStyle name="Note 11 2 2 6 2 2 2" xfId="4421"/>
    <cellStyle name="Note 11 2 2 6 2 3" xfId="4422"/>
    <cellStyle name="Note 11 2 2 6 3" xfId="4423"/>
    <cellStyle name="Note 11 2 2 6 3 2" xfId="4424"/>
    <cellStyle name="Note 11 2 2 6 3 2 2" xfId="4425"/>
    <cellStyle name="Note 11 2 2 6 3 3" xfId="4426"/>
    <cellStyle name="Note 11 2 2 6 4" xfId="4427"/>
    <cellStyle name="Note 11 2 2 6 4 2" xfId="4428"/>
    <cellStyle name="Note 11 2 2 6 5" xfId="4429"/>
    <cellStyle name="Note 11 2 2 6 5 2" xfId="4430"/>
    <cellStyle name="Note 11 2 2 6 6" xfId="4431"/>
    <cellStyle name="Note 11 2 2 6 6 2" xfId="4432"/>
    <cellStyle name="Note 11 2 2 6 7" xfId="4433"/>
    <cellStyle name="Note 11 2 2 7" xfId="4434"/>
    <cellStyle name="Note 11 2 2 7 2" xfId="4435"/>
    <cellStyle name="Note 11 2 2 8" xfId="4436"/>
    <cellStyle name="Note 11 2 2 8 2" xfId="4437"/>
    <cellStyle name="Note 11 2 3" xfId="4438"/>
    <cellStyle name="Note 11 2 3 2" xfId="4439"/>
    <cellStyle name="Note 11 2 3 2 2" xfId="4440"/>
    <cellStyle name="Note 11 2 3 2 2 2" xfId="4441"/>
    <cellStyle name="Note 11 2 3 2 2 2 2" xfId="4442"/>
    <cellStyle name="Note 11 2 3 2 2 2 2 2" xfId="4443"/>
    <cellStyle name="Note 11 2 3 2 2 2 3" xfId="4444"/>
    <cellStyle name="Note 11 2 3 2 2 3" xfId="4445"/>
    <cellStyle name="Note 11 2 3 2 2 3 2" xfId="4446"/>
    <cellStyle name="Note 11 2 3 2 2 3 2 2" xfId="4447"/>
    <cellStyle name="Note 11 2 3 2 2 3 3" xfId="4448"/>
    <cellStyle name="Note 11 2 3 2 2 4" xfId="4449"/>
    <cellStyle name="Note 11 2 3 2 2 4 2" xfId="4450"/>
    <cellStyle name="Note 11 2 3 2 2 5" xfId="4451"/>
    <cellStyle name="Note 11 2 3 2 2 5 2" xfId="4452"/>
    <cellStyle name="Note 11 2 3 2 2 6" xfId="4453"/>
    <cellStyle name="Note 11 2 3 2 2 6 2" xfId="4454"/>
    <cellStyle name="Note 11 2 3 2 2 7" xfId="4455"/>
    <cellStyle name="Note 11 2 3 2 3" xfId="4456"/>
    <cellStyle name="Note 11 2 3 2 3 2" xfId="4457"/>
    <cellStyle name="Note 11 2 3 2 3 2 2" xfId="4458"/>
    <cellStyle name="Note 11 2 3 2 3 2 2 2" xfId="4459"/>
    <cellStyle name="Note 11 2 3 2 3 2 3" xfId="4460"/>
    <cellStyle name="Note 11 2 3 2 3 3" xfId="4461"/>
    <cellStyle name="Note 11 2 3 2 3 3 2" xfId="4462"/>
    <cellStyle name="Note 11 2 3 2 3 3 2 2" xfId="4463"/>
    <cellStyle name="Note 11 2 3 2 3 3 3" xfId="4464"/>
    <cellStyle name="Note 11 2 3 2 3 4" xfId="4465"/>
    <cellStyle name="Note 11 2 3 2 3 4 2" xfId="4466"/>
    <cellStyle name="Note 11 2 3 2 3 5" xfId="4467"/>
    <cellStyle name="Note 11 2 3 2 3 5 2" xfId="4468"/>
    <cellStyle name="Note 11 2 3 2 3 6" xfId="4469"/>
    <cellStyle name="Note 11 2 3 2 3 6 2" xfId="4470"/>
    <cellStyle name="Note 11 2 3 2 3 7" xfId="4471"/>
    <cellStyle name="Note 11 2 3 2 4" xfId="4472"/>
    <cellStyle name="Note 11 2 3 2 4 2" xfId="4473"/>
    <cellStyle name="Note 11 2 3 2 5" xfId="4474"/>
    <cellStyle name="Note 11 2 3 2 5 2" xfId="4475"/>
    <cellStyle name="Note 11 2 3 3" xfId="4476"/>
    <cellStyle name="Note 11 2 3 3 2" xfId="4477"/>
    <cellStyle name="Note 11 2 3 3 2 2" xfId="4478"/>
    <cellStyle name="Note 11 2 3 3 2 2 2" xfId="4479"/>
    <cellStyle name="Note 11 2 3 3 2 2 2 2" xfId="4480"/>
    <cellStyle name="Note 11 2 3 3 2 2 3" xfId="4481"/>
    <cellStyle name="Note 11 2 3 3 2 3" xfId="4482"/>
    <cellStyle name="Note 11 2 3 3 2 3 2" xfId="4483"/>
    <cellStyle name="Note 11 2 3 3 2 3 2 2" xfId="4484"/>
    <cellStyle name="Note 11 2 3 3 2 3 3" xfId="4485"/>
    <cellStyle name="Note 11 2 3 3 2 4" xfId="4486"/>
    <cellStyle name="Note 11 2 3 3 2 4 2" xfId="4487"/>
    <cellStyle name="Note 11 2 3 3 2 5" xfId="4488"/>
    <cellStyle name="Note 11 2 3 3 2 5 2" xfId="4489"/>
    <cellStyle name="Note 11 2 3 3 2 6" xfId="4490"/>
    <cellStyle name="Note 11 2 3 3 2 6 2" xfId="4491"/>
    <cellStyle name="Note 11 2 3 3 2 7" xfId="4492"/>
    <cellStyle name="Note 11 2 3 3 3" xfId="4493"/>
    <cellStyle name="Note 11 2 3 3 3 2" xfId="4494"/>
    <cellStyle name="Note 11 2 3 3 3 2 2" xfId="4495"/>
    <cellStyle name="Note 11 2 3 3 3 2 2 2" xfId="4496"/>
    <cellStyle name="Note 11 2 3 3 3 2 3" xfId="4497"/>
    <cellStyle name="Note 11 2 3 3 3 3" xfId="4498"/>
    <cellStyle name="Note 11 2 3 3 3 3 2" xfId="4499"/>
    <cellStyle name="Note 11 2 3 3 3 3 2 2" xfId="4500"/>
    <cellStyle name="Note 11 2 3 3 3 3 3" xfId="4501"/>
    <cellStyle name="Note 11 2 3 3 3 4" xfId="4502"/>
    <cellStyle name="Note 11 2 3 3 3 4 2" xfId="4503"/>
    <cellStyle name="Note 11 2 3 3 3 5" xfId="4504"/>
    <cellStyle name="Note 11 2 3 3 3 5 2" xfId="4505"/>
    <cellStyle name="Note 11 2 3 3 3 6" xfId="4506"/>
    <cellStyle name="Note 11 2 3 3 3 6 2" xfId="4507"/>
    <cellStyle name="Note 11 2 3 3 3 7" xfId="4508"/>
    <cellStyle name="Note 11 2 3 3 4" xfId="4509"/>
    <cellStyle name="Note 11 2 3 3 4 2" xfId="4510"/>
    <cellStyle name="Note 11 2 3 3 5" xfId="4511"/>
    <cellStyle name="Note 11 2 3 3 5 2" xfId="4512"/>
    <cellStyle name="Note 11 2 3 4" xfId="4513"/>
    <cellStyle name="Note 11 2 3 4 2" xfId="4514"/>
    <cellStyle name="Note 11 2 3 4 2 2" xfId="4515"/>
    <cellStyle name="Note 11 2 3 4 2 2 2" xfId="4516"/>
    <cellStyle name="Note 11 2 3 4 2 3" xfId="4517"/>
    <cellStyle name="Note 11 2 3 4 3" xfId="4518"/>
    <cellStyle name="Note 11 2 3 4 3 2" xfId="4519"/>
    <cellStyle name="Note 11 2 3 4 3 2 2" xfId="4520"/>
    <cellStyle name="Note 11 2 3 4 3 3" xfId="4521"/>
    <cellStyle name="Note 11 2 3 4 4" xfId="4522"/>
    <cellStyle name="Note 11 2 3 4 4 2" xfId="4523"/>
    <cellStyle name="Note 11 2 3 4 5" xfId="4524"/>
    <cellStyle name="Note 11 2 3 4 5 2" xfId="4525"/>
    <cellStyle name="Note 11 2 3 4 6" xfId="4526"/>
    <cellStyle name="Note 11 2 3 4 6 2" xfId="4527"/>
    <cellStyle name="Note 11 2 3 4 7" xfId="4528"/>
    <cellStyle name="Note 11 2 3 5" xfId="4529"/>
    <cellStyle name="Note 11 2 3 5 2" xfId="4530"/>
    <cellStyle name="Note 11 2 3 5 2 2" xfId="4531"/>
    <cellStyle name="Note 11 2 3 5 2 2 2" xfId="4532"/>
    <cellStyle name="Note 11 2 3 5 2 3" xfId="4533"/>
    <cellStyle name="Note 11 2 3 5 3" xfId="4534"/>
    <cellStyle name="Note 11 2 3 5 3 2" xfId="4535"/>
    <cellStyle name="Note 11 2 3 5 3 2 2" xfId="4536"/>
    <cellStyle name="Note 11 2 3 5 3 3" xfId="4537"/>
    <cellStyle name="Note 11 2 3 5 4" xfId="4538"/>
    <cellStyle name="Note 11 2 3 5 4 2" xfId="4539"/>
    <cellStyle name="Note 11 2 3 5 5" xfId="4540"/>
    <cellStyle name="Note 11 2 3 5 5 2" xfId="4541"/>
    <cellStyle name="Note 11 2 3 5 6" xfId="4542"/>
    <cellStyle name="Note 11 2 3 5 6 2" xfId="4543"/>
    <cellStyle name="Note 11 2 3 5 7" xfId="4544"/>
    <cellStyle name="Note 11 2 3 6" xfId="4545"/>
    <cellStyle name="Note 11 2 3 6 2" xfId="4546"/>
    <cellStyle name="Note 11 2 3 6 2 2" xfId="4547"/>
    <cellStyle name="Note 11 2 3 6 2 2 2" xfId="4548"/>
    <cellStyle name="Note 11 2 3 6 2 3" xfId="4549"/>
    <cellStyle name="Note 11 2 3 6 3" xfId="4550"/>
    <cellStyle name="Note 11 2 3 6 3 2" xfId="4551"/>
    <cellStyle name="Note 11 2 3 6 3 2 2" xfId="4552"/>
    <cellStyle name="Note 11 2 3 6 3 3" xfId="4553"/>
    <cellStyle name="Note 11 2 3 6 4" xfId="4554"/>
    <cellStyle name="Note 11 2 3 6 4 2" xfId="4555"/>
    <cellStyle name="Note 11 2 3 6 5" xfId="4556"/>
    <cellStyle name="Note 11 2 3 6 5 2" xfId="4557"/>
    <cellStyle name="Note 11 2 3 6 6" xfId="4558"/>
    <cellStyle name="Note 11 2 3 6 6 2" xfId="4559"/>
    <cellStyle name="Note 11 2 3 6 7" xfId="4560"/>
    <cellStyle name="Note 11 2 3 7" xfId="4561"/>
    <cellStyle name="Note 11 2 3 7 2" xfId="4562"/>
    <cellStyle name="Note 11 2 3 8" xfId="4563"/>
    <cellStyle name="Note 11 2 3 8 2" xfId="4564"/>
    <cellStyle name="Note 11 2 4" xfId="4565"/>
    <cellStyle name="Note 11 2 4 2" xfId="4566"/>
    <cellStyle name="Note 11 2 4 2 2" xfId="4567"/>
    <cellStyle name="Note 11 2 4 2 2 2" xfId="4568"/>
    <cellStyle name="Note 11 2 4 2 2 2 2" xfId="4569"/>
    <cellStyle name="Note 11 2 4 2 2 2 2 2" xfId="4570"/>
    <cellStyle name="Note 11 2 4 2 2 2 3" xfId="4571"/>
    <cellStyle name="Note 11 2 4 2 2 3" xfId="4572"/>
    <cellStyle name="Note 11 2 4 2 2 3 2" xfId="4573"/>
    <cellStyle name="Note 11 2 4 2 2 3 2 2" xfId="4574"/>
    <cellStyle name="Note 11 2 4 2 2 3 3" xfId="4575"/>
    <cellStyle name="Note 11 2 4 2 2 4" xfId="4576"/>
    <cellStyle name="Note 11 2 4 2 2 4 2" xfId="4577"/>
    <cellStyle name="Note 11 2 4 2 2 5" xfId="4578"/>
    <cellStyle name="Note 11 2 4 2 2 5 2" xfId="4579"/>
    <cellStyle name="Note 11 2 4 2 2 6" xfId="4580"/>
    <cellStyle name="Note 11 2 4 2 2 6 2" xfId="4581"/>
    <cellStyle name="Note 11 2 4 2 2 7" xfId="4582"/>
    <cellStyle name="Note 11 2 4 2 3" xfId="4583"/>
    <cellStyle name="Note 11 2 4 2 3 2" xfId="4584"/>
    <cellStyle name="Note 11 2 4 2 3 2 2" xfId="4585"/>
    <cellStyle name="Note 11 2 4 2 3 2 2 2" xfId="4586"/>
    <cellStyle name="Note 11 2 4 2 3 2 3" xfId="4587"/>
    <cellStyle name="Note 11 2 4 2 3 3" xfId="4588"/>
    <cellStyle name="Note 11 2 4 2 3 3 2" xfId="4589"/>
    <cellStyle name="Note 11 2 4 2 3 3 2 2" xfId="4590"/>
    <cellStyle name="Note 11 2 4 2 3 3 3" xfId="4591"/>
    <cellStyle name="Note 11 2 4 2 3 4" xfId="4592"/>
    <cellStyle name="Note 11 2 4 2 3 4 2" xfId="4593"/>
    <cellStyle name="Note 11 2 4 2 3 5" xfId="4594"/>
    <cellStyle name="Note 11 2 4 2 3 5 2" xfId="4595"/>
    <cellStyle name="Note 11 2 4 2 3 6" xfId="4596"/>
    <cellStyle name="Note 11 2 4 2 3 6 2" xfId="4597"/>
    <cellStyle name="Note 11 2 4 2 3 7" xfId="4598"/>
    <cellStyle name="Note 11 2 4 2 4" xfId="4599"/>
    <cellStyle name="Note 11 2 4 2 4 2" xfId="4600"/>
    <cellStyle name="Note 11 2 4 2 5" xfId="4601"/>
    <cellStyle name="Note 11 2 4 2 5 2" xfId="4602"/>
    <cellStyle name="Note 11 2 4 3" xfId="4603"/>
    <cellStyle name="Note 11 2 4 3 2" xfId="4604"/>
    <cellStyle name="Note 11 2 4 3 2 2" xfId="4605"/>
    <cellStyle name="Note 11 2 4 3 2 2 2" xfId="4606"/>
    <cellStyle name="Note 11 2 4 3 2 2 2 2" xfId="4607"/>
    <cellStyle name="Note 11 2 4 3 2 2 3" xfId="4608"/>
    <cellStyle name="Note 11 2 4 3 2 3" xfId="4609"/>
    <cellStyle name="Note 11 2 4 3 2 3 2" xfId="4610"/>
    <cellStyle name="Note 11 2 4 3 2 3 2 2" xfId="4611"/>
    <cellStyle name="Note 11 2 4 3 2 3 3" xfId="4612"/>
    <cellStyle name="Note 11 2 4 3 2 4" xfId="4613"/>
    <cellStyle name="Note 11 2 4 3 2 4 2" xfId="4614"/>
    <cellStyle name="Note 11 2 4 3 2 5" xfId="4615"/>
    <cellStyle name="Note 11 2 4 3 2 5 2" xfId="4616"/>
    <cellStyle name="Note 11 2 4 3 2 6" xfId="4617"/>
    <cellStyle name="Note 11 2 4 3 2 6 2" xfId="4618"/>
    <cellStyle name="Note 11 2 4 3 2 7" xfId="4619"/>
    <cellStyle name="Note 11 2 4 3 3" xfId="4620"/>
    <cellStyle name="Note 11 2 4 3 3 2" xfId="4621"/>
    <cellStyle name="Note 11 2 4 3 3 2 2" xfId="4622"/>
    <cellStyle name="Note 11 2 4 3 3 2 2 2" xfId="4623"/>
    <cellStyle name="Note 11 2 4 3 3 2 3" xfId="4624"/>
    <cellStyle name="Note 11 2 4 3 3 3" xfId="4625"/>
    <cellStyle name="Note 11 2 4 3 3 3 2" xfId="4626"/>
    <cellStyle name="Note 11 2 4 3 3 3 2 2" xfId="4627"/>
    <cellStyle name="Note 11 2 4 3 3 3 3" xfId="4628"/>
    <cellStyle name="Note 11 2 4 3 3 4" xfId="4629"/>
    <cellStyle name="Note 11 2 4 3 3 4 2" xfId="4630"/>
    <cellStyle name="Note 11 2 4 3 3 5" xfId="4631"/>
    <cellStyle name="Note 11 2 4 3 3 5 2" xfId="4632"/>
    <cellStyle name="Note 11 2 4 3 3 6" xfId="4633"/>
    <cellStyle name="Note 11 2 4 3 3 6 2" xfId="4634"/>
    <cellStyle name="Note 11 2 4 3 3 7" xfId="4635"/>
    <cellStyle name="Note 11 2 4 3 4" xfId="4636"/>
    <cellStyle name="Note 11 2 4 3 4 2" xfId="4637"/>
    <cellStyle name="Note 11 2 4 3 5" xfId="4638"/>
    <cellStyle name="Note 11 2 4 3 5 2" xfId="4639"/>
    <cellStyle name="Note 11 2 4 4" xfId="4640"/>
    <cellStyle name="Note 11 2 4 4 2" xfId="4641"/>
    <cellStyle name="Note 11 2 4 4 2 2" xfId="4642"/>
    <cellStyle name="Note 11 2 4 4 2 2 2" xfId="4643"/>
    <cellStyle name="Note 11 2 4 4 2 3" xfId="4644"/>
    <cellStyle name="Note 11 2 4 4 3" xfId="4645"/>
    <cellStyle name="Note 11 2 4 4 3 2" xfId="4646"/>
    <cellStyle name="Note 11 2 4 4 3 2 2" xfId="4647"/>
    <cellStyle name="Note 11 2 4 4 3 3" xfId="4648"/>
    <cellStyle name="Note 11 2 4 4 4" xfId="4649"/>
    <cellStyle name="Note 11 2 4 4 4 2" xfId="4650"/>
    <cellStyle name="Note 11 2 4 4 5" xfId="4651"/>
    <cellStyle name="Note 11 2 4 4 5 2" xfId="4652"/>
    <cellStyle name="Note 11 2 4 4 6" xfId="4653"/>
    <cellStyle name="Note 11 2 4 4 6 2" xfId="4654"/>
    <cellStyle name="Note 11 2 4 4 7" xfId="4655"/>
    <cellStyle name="Note 11 2 4 5" xfId="4656"/>
    <cellStyle name="Note 11 2 4 5 2" xfId="4657"/>
    <cellStyle name="Note 11 2 4 5 2 2" xfId="4658"/>
    <cellStyle name="Note 11 2 4 5 2 2 2" xfId="4659"/>
    <cellStyle name="Note 11 2 4 5 2 3" xfId="4660"/>
    <cellStyle name="Note 11 2 4 5 3" xfId="4661"/>
    <cellStyle name="Note 11 2 4 5 3 2" xfId="4662"/>
    <cellStyle name="Note 11 2 4 5 3 2 2" xfId="4663"/>
    <cellStyle name="Note 11 2 4 5 3 3" xfId="4664"/>
    <cellStyle name="Note 11 2 4 5 4" xfId="4665"/>
    <cellStyle name="Note 11 2 4 5 4 2" xfId="4666"/>
    <cellStyle name="Note 11 2 4 5 5" xfId="4667"/>
    <cellStyle name="Note 11 2 4 5 5 2" xfId="4668"/>
    <cellStyle name="Note 11 2 4 5 6" xfId="4669"/>
    <cellStyle name="Note 11 2 4 5 6 2" xfId="4670"/>
    <cellStyle name="Note 11 2 4 5 7" xfId="4671"/>
    <cellStyle name="Note 11 2 4 6" xfId="4672"/>
    <cellStyle name="Note 11 2 4 6 2" xfId="4673"/>
    <cellStyle name="Note 11 2 4 6 2 2" xfId="4674"/>
    <cellStyle name="Note 11 2 4 6 2 2 2" xfId="4675"/>
    <cellStyle name="Note 11 2 4 6 2 3" xfId="4676"/>
    <cellStyle name="Note 11 2 4 6 3" xfId="4677"/>
    <cellStyle name="Note 11 2 4 6 3 2" xfId="4678"/>
    <cellStyle name="Note 11 2 4 6 3 2 2" xfId="4679"/>
    <cellStyle name="Note 11 2 4 6 3 3" xfId="4680"/>
    <cellStyle name="Note 11 2 4 6 4" xfId="4681"/>
    <cellStyle name="Note 11 2 4 6 4 2" xfId="4682"/>
    <cellStyle name="Note 11 2 4 6 5" xfId="4683"/>
    <cellStyle name="Note 11 2 4 6 5 2" xfId="4684"/>
    <cellStyle name="Note 11 2 4 6 6" xfId="4685"/>
    <cellStyle name="Note 11 2 4 6 6 2" xfId="4686"/>
    <cellStyle name="Note 11 2 4 6 7" xfId="4687"/>
    <cellStyle name="Note 11 2 4 7" xfId="4688"/>
    <cellStyle name="Note 11 2 4 7 2" xfId="4689"/>
    <cellStyle name="Note 11 2 4 8" xfId="4690"/>
    <cellStyle name="Note 11 2 4 8 2" xfId="4691"/>
    <cellStyle name="Note 11 2 5" xfId="4692"/>
    <cellStyle name="Note 11 2 5 2" xfId="4693"/>
    <cellStyle name="Note 11 2 5 2 2" xfId="4694"/>
    <cellStyle name="Note 11 2 5 2 2 2" xfId="4695"/>
    <cellStyle name="Note 11 2 5 2 2 2 2" xfId="4696"/>
    <cellStyle name="Note 11 2 5 2 2 2 2 2" xfId="4697"/>
    <cellStyle name="Note 11 2 5 2 2 2 3" xfId="4698"/>
    <cellStyle name="Note 11 2 5 2 2 3" xfId="4699"/>
    <cellStyle name="Note 11 2 5 2 2 3 2" xfId="4700"/>
    <cellStyle name="Note 11 2 5 2 2 3 2 2" xfId="4701"/>
    <cellStyle name="Note 11 2 5 2 2 3 3" xfId="4702"/>
    <cellStyle name="Note 11 2 5 2 2 4" xfId="4703"/>
    <cellStyle name="Note 11 2 5 2 2 4 2" xfId="4704"/>
    <cellStyle name="Note 11 2 5 2 2 5" xfId="4705"/>
    <cellStyle name="Note 11 2 5 2 2 5 2" xfId="4706"/>
    <cellStyle name="Note 11 2 5 2 2 6" xfId="4707"/>
    <cellStyle name="Note 11 2 5 2 2 6 2" xfId="4708"/>
    <cellStyle name="Note 11 2 5 2 2 7" xfId="4709"/>
    <cellStyle name="Note 11 2 5 2 3" xfId="4710"/>
    <cellStyle name="Note 11 2 5 2 3 2" xfId="4711"/>
    <cellStyle name="Note 11 2 5 2 3 2 2" xfId="4712"/>
    <cellStyle name="Note 11 2 5 2 3 2 2 2" xfId="4713"/>
    <cellStyle name="Note 11 2 5 2 3 2 3" xfId="4714"/>
    <cellStyle name="Note 11 2 5 2 3 3" xfId="4715"/>
    <cellStyle name="Note 11 2 5 2 3 3 2" xfId="4716"/>
    <cellStyle name="Note 11 2 5 2 3 3 2 2" xfId="4717"/>
    <cellStyle name="Note 11 2 5 2 3 3 3" xfId="4718"/>
    <cellStyle name="Note 11 2 5 2 3 4" xfId="4719"/>
    <cellStyle name="Note 11 2 5 2 3 4 2" xfId="4720"/>
    <cellStyle name="Note 11 2 5 2 3 5" xfId="4721"/>
    <cellStyle name="Note 11 2 5 2 3 5 2" xfId="4722"/>
    <cellStyle name="Note 11 2 5 2 3 6" xfId="4723"/>
    <cellStyle name="Note 11 2 5 2 3 6 2" xfId="4724"/>
    <cellStyle name="Note 11 2 5 2 3 7" xfId="4725"/>
    <cellStyle name="Note 11 2 5 2 4" xfId="4726"/>
    <cellStyle name="Note 11 2 5 2 4 2" xfId="4727"/>
    <cellStyle name="Note 11 2 5 2 5" xfId="4728"/>
    <cellStyle name="Note 11 2 5 2 5 2" xfId="4729"/>
    <cellStyle name="Note 11 2 5 3" xfId="4730"/>
    <cellStyle name="Note 11 2 5 3 2" xfId="4731"/>
    <cellStyle name="Note 11 2 5 3 2 2" xfId="4732"/>
    <cellStyle name="Note 11 2 5 3 2 2 2" xfId="4733"/>
    <cellStyle name="Note 11 2 5 3 2 2 2 2" xfId="4734"/>
    <cellStyle name="Note 11 2 5 3 2 2 3" xfId="4735"/>
    <cellStyle name="Note 11 2 5 3 2 3" xfId="4736"/>
    <cellStyle name="Note 11 2 5 3 2 3 2" xfId="4737"/>
    <cellStyle name="Note 11 2 5 3 2 3 2 2" xfId="4738"/>
    <cellStyle name="Note 11 2 5 3 2 3 3" xfId="4739"/>
    <cellStyle name="Note 11 2 5 3 2 4" xfId="4740"/>
    <cellStyle name="Note 11 2 5 3 2 4 2" xfId="4741"/>
    <cellStyle name="Note 11 2 5 3 2 5" xfId="4742"/>
    <cellStyle name="Note 11 2 5 3 2 5 2" xfId="4743"/>
    <cellStyle name="Note 11 2 5 3 2 6" xfId="4744"/>
    <cellStyle name="Note 11 2 5 3 2 6 2" xfId="4745"/>
    <cellStyle name="Note 11 2 5 3 2 7" xfId="4746"/>
    <cellStyle name="Note 11 2 5 3 3" xfId="4747"/>
    <cellStyle name="Note 11 2 5 3 3 2" xfId="4748"/>
    <cellStyle name="Note 11 2 5 3 3 2 2" xfId="4749"/>
    <cellStyle name="Note 11 2 5 3 3 2 2 2" xfId="4750"/>
    <cellStyle name="Note 11 2 5 3 3 2 3" xfId="4751"/>
    <cellStyle name="Note 11 2 5 3 3 3" xfId="4752"/>
    <cellStyle name="Note 11 2 5 3 3 3 2" xfId="4753"/>
    <cellStyle name="Note 11 2 5 3 3 3 2 2" xfId="4754"/>
    <cellStyle name="Note 11 2 5 3 3 3 3" xfId="4755"/>
    <cellStyle name="Note 11 2 5 3 3 4" xfId="4756"/>
    <cellStyle name="Note 11 2 5 3 3 4 2" xfId="4757"/>
    <cellStyle name="Note 11 2 5 3 3 5" xfId="4758"/>
    <cellStyle name="Note 11 2 5 3 3 5 2" xfId="4759"/>
    <cellStyle name="Note 11 2 5 3 3 6" xfId="4760"/>
    <cellStyle name="Note 11 2 5 3 3 6 2" xfId="4761"/>
    <cellStyle name="Note 11 2 5 3 3 7" xfId="4762"/>
    <cellStyle name="Note 11 2 5 3 4" xfId="4763"/>
    <cellStyle name="Note 11 2 5 3 4 2" xfId="4764"/>
    <cellStyle name="Note 11 2 5 3 5" xfId="4765"/>
    <cellStyle name="Note 11 2 5 3 5 2" xfId="4766"/>
    <cellStyle name="Note 11 2 5 4" xfId="4767"/>
    <cellStyle name="Note 11 2 5 4 2" xfId="4768"/>
    <cellStyle name="Note 11 2 5 4 2 2" xfId="4769"/>
    <cellStyle name="Note 11 2 5 4 2 2 2" xfId="4770"/>
    <cellStyle name="Note 11 2 5 4 2 3" xfId="4771"/>
    <cellStyle name="Note 11 2 5 4 3" xfId="4772"/>
    <cellStyle name="Note 11 2 5 4 3 2" xfId="4773"/>
    <cellStyle name="Note 11 2 5 4 3 2 2" xfId="4774"/>
    <cellStyle name="Note 11 2 5 4 3 3" xfId="4775"/>
    <cellStyle name="Note 11 2 5 4 4" xfId="4776"/>
    <cellStyle name="Note 11 2 5 4 4 2" xfId="4777"/>
    <cellStyle name="Note 11 2 5 4 5" xfId="4778"/>
    <cellStyle name="Note 11 2 5 4 5 2" xfId="4779"/>
    <cellStyle name="Note 11 2 5 4 6" xfId="4780"/>
    <cellStyle name="Note 11 2 5 4 6 2" xfId="4781"/>
    <cellStyle name="Note 11 2 5 4 7" xfId="4782"/>
    <cellStyle name="Note 11 2 5 5" xfId="4783"/>
    <cellStyle name="Note 11 2 5 5 2" xfId="4784"/>
    <cellStyle name="Note 11 2 5 5 2 2" xfId="4785"/>
    <cellStyle name="Note 11 2 5 5 2 2 2" xfId="4786"/>
    <cellStyle name="Note 11 2 5 5 2 3" xfId="4787"/>
    <cellStyle name="Note 11 2 5 5 3" xfId="4788"/>
    <cellStyle name="Note 11 2 5 5 3 2" xfId="4789"/>
    <cellStyle name="Note 11 2 5 5 3 2 2" xfId="4790"/>
    <cellStyle name="Note 11 2 5 5 3 3" xfId="4791"/>
    <cellStyle name="Note 11 2 5 5 4" xfId="4792"/>
    <cellStyle name="Note 11 2 5 5 4 2" xfId="4793"/>
    <cellStyle name="Note 11 2 5 5 5" xfId="4794"/>
    <cellStyle name="Note 11 2 5 5 5 2" xfId="4795"/>
    <cellStyle name="Note 11 2 5 5 6" xfId="4796"/>
    <cellStyle name="Note 11 2 5 5 6 2" xfId="4797"/>
    <cellStyle name="Note 11 2 5 5 7" xfId="4798"/>
    <cellStyle name="Note 11 2 5 6" xfId="4799"/>
    <cellStyle name="Note 11 2 5 6 2" xfId="4800"/>
    <cellStyle name="Note 11 2 5 6 2 2" xfId="4801"/>
    <cellStyle name="Note 11 2 5 6 2 2 2" xfId="4802"/>
    <cellStyle name="Note 11 2 5 6 2 3" xfId="4803"/>
    <cellStyle name="Note 11 2 5 6 3" xfId="4804"/>
    <cellStyle name="Note 11 2 5 6 3 2" xfId="4805"/>
    <cellStyle name="Note 11 2 5 6 3 2 2" xfId="4806"/>
    <cellStyle name="Note 11 2 5 6 3 3" xfId="4807"/>
    <cellStyle name="Note 11 2 5 6 4" xfId="4808"/>
    <cellStyle name="Note 11 2 5 6 4 2" xfId="4809"/>
    <cellStyle name="Note 11 2 5 6 5" xfId="4810"/>
    <cellStyle name="Note 11 2 5 6 5 2" xfId="4811"/>
    <cellStyle name="Note 11 2 5 6 6" xfId="4812"/>
    <cellStyle name="Note 11 2 5 6 6 2" xfId="4813"/>
    <cellStyle name="Note 11 2 5 6 7" xfId="4814"/>
    <cellStyle name="Note 11 2 5 7" xfId="4815"/>
    <cellStyle name="Note 11 2 5 7 2" xfId="4816"/>
    <cellStyle name="Note 11 2 5 8" xfId="4817"/>
    <cellStyle name="Note 11 2 5 8 2" xfId="4818"/>
    <cellStyle name="Note 11 2 6" xfId="4819"/>
    <cellStyle name="Note 11 2 6 2" xfId="4820"/>
    <cellStyle name="Note 11 2 6 2 2" xfId="4821"/>
    <cellStyle name="Note 11 2 6 2 2 2" xfId="4822"/>
    <cellStyle name="Note 11 2 6 2 2 2 2" xfId="4823"/>
    <cellStyle name="Note 11 2 6 2 2 2 2 2" xfId="4824"/>
    <cellStyle name="Note 11 2 6 2 2 2 3" xfId="4825"/>
    <cellStyle name="Note 11 2 6 2 2 3" xfId="4826"/>
    <cellStyle name="Note 11 2 6 2 2 3 2" xfId="4827"/>
    <cellStyle name="Note 11 2 6 2 2 3 2 2" xfId="4828"/>
    <cellStyle name="Note 11 2 6 2 2 3 3" xfId="4829"/>
    <cellStyle name="Note 11 2 6 2 2 4" xfId="4830"/>
    <cellStyle name="Note 11 2 6 2 2 4 2" xfId="4831"/>
    <cellStyle name="Note 11 2 6 2 2 5" xfId="4832"/>
    <cellStyle name="Note 11 2 6 2 2 5 2" xfId="4833"/>
    <cellStyle name="Note 11 2 6 2 2 6" xfId="4834"/>
    <cellStyle name="Note 11 2 6 2 2 6 2" xfId="4835"/>
    <cellStyle name="Note 11 2 6 2 2 7" xfId="4836"/>
    <cellStyle name="Note 11 2 6 2 3" xfId="4837"/>
    <cellStyle name="Note 11 2 6 2 3 2" xfId="4838"/>
    <cellStyle name="Note 11 2 6 2 3 2 2" xfId="4839"/>
    <cellStyle name="Note 11 2 6 2 3 2 2 2" xfId="4840"/>
    <cellStyle name="Note 11 2 6 2 3 2 3" xfId="4841"/>
    <cellStyle name="Note 11 2 6 2 3 3" xfId="4842"/>
    <cellStyle name="Note 11 2 6 2 3 3 2" xfId="4843"/>
    <cellStyle name="Note 11 2 6 2 3 3 2 2" xfId="4844"/>
    <cellStyle name="Note 11 2 6 2 3 3 3" xfId="4845"/>
    <cellStyle name="Note 11 2 6 2 3 4" xfId="4846"/>
    <cellStyle name="Note 11 2 6 2 3 4 2" xfId="4847"/>
    <cellStyle name="Note 11 2 6 2 3 5" xfId="4848"/>
    <cellStyle name="Note 11 2 6 2 3 5 2" xfId="4849"/>
    <cellStyle name="Note 11 2 6 2 3 6" xfId="4850"/>
    <cellStyle name="Note 11 2 6 2 3 6 2" xfId="4851"/>
    <cellStyle name="Note 11 2 6 2 3 7" xfId="4852"/>
    <cellStyle name="Note 11 2 6 2 4" xfId="4853"/>
    <cellStyle name="Note 11 2 6 2 4 2" xfId="4854"/>
    <cellStyle name="Note 11 2 6 2 5" xfId="4855"/>
    <cellStyle name="Note 11 2 6 2 5 2" xfId="4856"/>
    <cellStyle name="Note 11 2 6 3" xfId="4857"/>
    <cellStyle name="Note 11 2 6 3 2" xfId="4858"/>
    <cellStyle name="Note 11 2 6 3 2 2" xfId="4859"/>
    <cellStyle name="Note 11 2 6 3 2 2 2" xfId="4860"/>
    <cellStyle name="Note 11 2 6 3 2 2 2 2" xfId="4861"/>
    <cellStyle name="Note 11 2 6 3 2 2 3" xfId="4862"/>
    <cellStyle name="Note 11 2 6 3 2 3" xfId="4863"/>
    <cellStyle name="Note 11 2 6 3 2 3 2" xfId="4864"/>
    <cellStyle name="Note 11 2 6 3 2 3 2 2" xfId="4865"/>
    <cellStyle name="Note 11 2 6 3 2 3 3" xfId="4866"/>
    <cellStyle name="Note 11 2 6 3 2 4" xfId="4867"/>
    <cellStyle name="Note 11 2 6 3 2 4 2" xfId="4868"/>
    <cellStyle name="Note 11 2 6 3 2 5" xfId="4869"/>
    <cellStyle name="Note 11 2 6 3 2 5 2" xfId="4870"/>
    <cellStyle name="Note 11 2 6 3 2 6" xfId="4871"/>
    <cellStyle name="Note 11 2 6 3 2 6 2" xfId="4872"/>
    <cellStyle name="Note 11 2 6 3 2 7" xfId="4873"/>
    <cellStyle name="Note 11 2 6 3 3" xfId="4874"/>
    <cellStyle name="Note 11 2 6 3 3 2" xfId="4875"/>
    <cellStyle name="Note 11 2 6 3 3 2 2" xfId="4876"/>
    <cellStyle name="Note 11 2 6 3 3 2 2 2" xfId="4877"/>
    <cellStyle name="Note 11 2 6 3 3 2 3" xfId="4878"/>
    <cellStyle name="Note 11 2 6 3 3 3" xfId="4879"/>
    <cellStyle name="Note 11 2 6 3 3 3 2" xfId="4880"/>
    <cellStyle name="Note 11 2 6 3 3 3 2 2" xfId="4881"/>
    <cellStyle name="Note 11 2 6 3 3 3 3" xfId="4882"/>
    <cellStyle name="Note 11 2 6 3 3 4" xfId="4883"/>
    <cellStyle name="Note 11 2 6 3 3 4 2" xfId="4884"/>
    <cellStyle name="Note 11 2 6 3 3 5" xfId="4885"/>
    <cellStyle name="Note 11 2 6 3 3 5 2" xfId="4886"/>
    <cellStyle name="Note 11 2 6 3 3 6" xfId="4887"/>
    <cellStyle name="Note 11 2 6 3 3 6 2" xfId="4888"/>
    <cellStyle name="Note 11 2 6 3 3 7" xfId="4889"/>
    <cellStyle name="Note 11 2 6 3 4" xfId="4890"/>
    <cellStyle name="Note 11 2 6 3 4 2" xfId="4891"/>
    <cellStyle name="Note 11 2 6 3 5" xfId="4892"/>
    <cellStyle name="Note 11 2 6 3 5 2" xfId="4893"/>
    <cellStyle name="Note 11 2 6 4" xfId="4894"/>
    <cellStyle name="Note 11 2 6 4 2" xfId="4895"/>
    <cellStyle name="Note 11 2 6 4 2 2" xfId="4896"/>
    <cellStyle name="Note 11 2 6 4 2 2 2" xfId="4897"/>
    <cellStyle name="Note 11 2 6 4 2 3" xfId="4898"/>
    <cellStyle name="Note 11 2 6 4 3" xfId="4899"/>
    <cellStyle name="Note 11 2 6 4 3 2" xfId="4900"/>
    <cellStyle name="Note 11 2 6 4 3 2 2" xfId="4901"/>
    <cellStyle name="Note 11 2 6 4 3 3" xfId="4902"/>
    <cellStyle name="Note 11 2 6 4 4" xfId="4903"/>
    <cellStyle name="Note 11 2 6 4 4 2" xfId="4904"/>
    <cellStyle name="Note 11 2 6 4 5" xfId="4905"/>
    <cellStyle name="Note 11 2 6 4 5 2" xfId="4906"/>
    <cellStyle name="Note 11 2 6 4 6" xfId="4907"/>
    <cellStyle name="Note 11 2 6 4 6 2" xfId="4908"/>
    <cellStyle name="Note 11 2 6 4 7" xfId="4909"/>
    <cellStyle name="Note 11 2 6 5" xfId="4910"/>
    <cellStyle name="Note 11 2 6 5 2" xfId="4911"/>
    <cellStyle name="Note 11 2 6 5 2 2" xfId="4912"/>
    <cellStyle name="Note 11 2 6 5 2 2 2" xfId="4913"/>
    <cellStyle name="Note 11 2 6 5 2 3" xfId="4914"/>
    <cellStyle name="Note 11 2 6 5 3" xfId="4915"/>
    <cellStyle name="Note 11 2 6 5 3 2" xfId="4916"/>
    <cellStyle name="Note 11 2 6 5 3 2 2" xfId="4917"/>
    <cellStyle name="Note 11 2 6 5 3 3" xfId="4918"/>
    <cellStyle name="Note 11 2 6 5 4" xfId="4919"/>
    <cellStyle name="Note 11 2 6 5 4 2" xfId="4920"/>
    <cellStyle name="Note 11 2 6 5 5" xfId="4921"/>
    <cellStyle name="Note 11 2 6 5 5 2" xfId="4922"/>
    <cellStyle name="Note 11 2 6 5 6" xfId="4923"/>
    <cellStyle name="Note 11 2 6 5 6 2" xfId="4924"/>
    <cellStyle name="Note 11 2 6 5 7" xfId="4925"/>
    <cellStyle name="Note 11 2 6 6" xfId="4926"/>
    <cellStyle name="Note 11 2 6 6 2" xfId="4927"/>
    <cellStyle name="Note 11 2 6 6 2 2" xfId="4928"/>
    <cellStyle name="Note 11 2 6 6 2 2 2" xfId="4929"/>
    <cellStyle name="Note 11 2 6 6 2 3" xfId="4930"/>
    <cellStyle name="Note 11 2 6 6 3" xfId="4931"/>
    <cellStyle name="Note 11 2 6 6 3 2" xfId="4932"/>
    <cellStyle name="Note 11 2 6 6 3 2 2" xfId="4933"/>
    <cellStyle name="Note 11 2 6 6 3 3" xfId="4934"/>
    <cellStyle name="Note 11 2 6 6 4" xfId="4935"/>
    <cellStyle name="Note 11 2 6 6 4 2" xfId="4936"/>
    <cellStyle name="Note 11 2 6 6 5" xfId="4937"/>
    <cellStyle name="Note 11 2 6 6 5 2" xfId="4938"/>
    <cellStyle name="Note 11 2 6 6 6" xfId="4939"/>
    <cellStyle name="Note 11 2 6 6 6 2" xfId="4940"/>
    <cellStyle name="Note 11 2 6 6 7" xfId="4941"/>
    <cellStyle name="Note 11 2 6 7" xfId="4942"/>
    <cellStyle name="Note 11 2 6 7 2" xfId="4943"/>
    <cellStyle name="Note 11 2 6 8" xfId="4944"/>
    <cellStyle name="Note 11 2 6 8 2" xfId="4945"/>
    <cellStyle name="Note 11 2 7" xfId="4946"/>
    <cellStyle name="Note 11 2 7 2" xfId="4947"/>
    <cellStyle name="Note 11 2 7 2 2" xfId="4948"/>
    <cellStyle name="Note 11 2 7 2 2 2" xfId="4949"/>
    <cellStyle name="Note 11 2 7 2 2 2 2" xfId="4950"/>
    <cellStyle name="Note 11 2 7 2 2 2 2 2" xfId="4951"/>
    <cellStyle name="Note 11 2 7 2 2 2 3" xfId="4952"/>
    <cellStyle name="Note 11 2 7 2 2 3" xfId="4953"/>
    <cellStyle name="Note 11 2 7 2 2 3 2" xfId="4954"/>
    <cellStyle name="Note 11 2 7 2 2 3 2 2" xfId="4955"/>
    <cellStyle name="Note 11 2 7 2 2 3 3" xfId="4956"/>
    <cellStyle name="Note 11 2 7 2 2 4" xfId="4957"/>
    <cellStyle name="Note 11 2 7 2 2 4 2" xfId="4958"/>
    <cellStyle name="Note 11 2 7 2 2 5" xfId="4959"/>
    <cellStyle name="Note 11 2 7 2 2 5 2" xfId="4960"/>
    <cellStyle name="Note 11 2 7 2 2 6" xfId="4961"/>
    <cellStyle name="Note 11 2 7 2 2 6 2" xfId="4962"/>
    <cellStyle name="Note 11 2 7 2 2 7" xfId="4963"/>
    <cellStyle name="Note 11 2 7 2 3" xfId="4964"/>
    <cellStyle name="Note 11 2 7 2 3 2" xfId="4965"/>
    <cellStyle name="Note 11 2 7 2 3 2 2" xfId="4966"/>
    <cellStyle name="Note 11 2 7 2 3 2 2 2" xfId="4967"/>
    <cellStyle name="Note 11 2 7 2 3 2 3" xfId="4968"/>
    <cellStyle name="Note 11 2 7 2 3 3" xfId="4969"/>
    <cellStyle name="Note 11 2 7 2 3 3 2" xfId="4970"/>
    <cellStyle name="Note 11 2 7 2 3 3 2 2" xfId="4971"/>
    <cellStyle name="Note 11 2 7 2 3 3 3" xfId="4972"/>
    <cellStyle name="Note 11 2 7 2 3 4" xfId="4973"/>
    <cellStyle name="Note 11 2 7 2 3 4 2" xfId="4974"/>
    <cellStyle name="Note 11 2 7 2 3 5" xfId="4975"/>
    <cellStyle name="Note 11 2 7 2 3 5 2" xfId="4976"/>
    <cellStyle name="Note 11 2 7 2 3 6" xfId="4977"/>
    <cellStyle name="Note 11 2 7 2 3 6 2" xfId="4978"/>
    <cellStyle name="Note 11 2 7 2 3 7" xfId="4979"/>
    <cellStyle name="Note 11 2 7 2 4" xfId="4980"/>
    <cellStyle name="Note 11 2 7 2 4 2" xfId="4981"/>
    <cellStyle name="Note 11 2 7 2 5" xfId="4982"/>
    <cellStyle name="Note 11 2 7 2 5 2" xfId="4983"/>
    <cellStyle name="Note 11 2 7 3" xfId="4984"/>
    <cellStyle name="Note 11 2 7 3 2" xfId="4985"/>
    <cellStyle name="Note 11 2 7 3 2 2" xfId="4986"/>
    <cellStyle name="Note 11 2 7 3 2 2 2" xfId="4987"/>
    <cellStyle name="Note 11 2 7 3 2 2 2 2" xfId="4988"/>
    <cellStyle name="Note 11 2 7 3 2 2 3" xfId="4989"/>
    <cellStyle name="Note 11 2 7 3 2 3" xfId="4990"/>
    <cellStyle name="Note 11 2 7 3 2 3 2" xfId="4991"/>
    <cellStyle name="Note 11 2 7 3 2 3 2 2" xfId="4992"/>
    <cellStyle name="Note 11 2 7 3 2 3 3" xfId="4993"/>
    <cellStyle name="Note 11 2 7 3 2 4" xfId="4994"/>
    <cellStyle name="Note 11 2 7 3 2 4 2" xfId="4995"/>
    <cellStyle name="Note 11 2 7 3 2 5" xfId="4996"/>
    <cellStyle name="Note 11 2 7 3 2 5 2" xfId="4997"/>
    <cellStyle name="Note 11 2 7 3 2 6" xfId="4998"/>
    <cellStyle name="Note 11 2 7 3 2 6 2" xfId="4999"/>
    <cellStyle name="Note 11 2 7 3 2 7" xfId="5000"/>
    <cellStyle name="Note 11 2 7 3 3" xfId="5001"/>
    <cellStyle name="Note 11 2 7 3 3 2" xfId="5002"/>
    <cellStyle name="Note 11 2 7 3 3 2 2" xfId="5003"/>
    <cellStyle name="Note 11 2 7 3 3 2 2 2" xfId="5004"/>
    <cellStyle name="Note 11 2 7 3 3 2 3" xfId="5005"/>
    <cellStyle name="Note 11 2 7 3 3 3" xfId="5006"/>
    <cellStyle name="Note 11 2 7 3 3 3 2" xfId="5007"/>
    <cellStyle name="Note 11 2 7 3 3 3 2 2" xfId="5008"/>
    <cellStyle name="Note 11 2 7 3 3 3 3" xfId="5009"/>
    <cellStyle name="Note 11 2 7 3 3 4" xfId="5010"/>
    <cellStyle name="Note 11 2 7 3 3 4 2" xfId="5011"/>
    <cellStyle name="Note 11 2 7 3 3 5" xfId="5012"/>
    <cellStyle name="Note 11 2 7 3 3 5 2" xfId="5013"/>
    <cellStyle name="Note 11 2 7 3 3 6" xfId="5014"/>
    <cellStyle name="Note 11 2 7 3 3 6 2" xfId="5015"/>
    <cellStyle name="Note 11 2 7 3 3 7" xfId="5016"/>
    <cellStyle name="Note 11 2 7 3 4" xfId="5017"/>
    <cellStyle name="Note 11 2 7 3 4 2" xfId="5018"/>
    <cellStyle name="Note 11 2 7 3 5" xfId="5019"/>
    <cellStyle name="Note 11 2 7 3 5 2" xfId="5020"/>
    <cellStyle name="Note 11 2 7 4" xfId="5021"/>
    <cellStyle name="Note 11 2 7 4 2" xfId="5022"/>
    <cellStyle name="Note 11 2 7 4 2 2" xfId="5023"/>
    <cellStyle name="Note 11 2 7 4 2 2 2" xfId="5024"/>
    <cellStyle name="Note 11 2 7 4 2 3" xfId="5025"/>
    <cellStyle name="Note 11 2 7 4 3" xfId="5026"/>
    <cellStyle name="Note 11 2 7 4 3 2" xfId="5027"/>
    <cellStyle name="Note 11 2 7 4 3 2 2" xfId="5028"/>
    <cellStyle name="Note 11 2 7 4 3 3" xfId="5029"/>
    <cellStyle name="Note 11 2 7 4 4" xfId="5030"/>
    <cellStyle name="Note 11 2 7 4 4 2" xfId="5031"/>
    <cellStyle name="Note 11 2 7 4 5" xfId="5032"/>
    <cellStyle name="Note 11 2 7 4 5 2" xfId="5033"/>
    <cellStyle name="Note 11 2 7 4 6" xfId="5034"/>
    <cellStyle name="Note 11 2 7 4 6 2" xfId="5035"/>
    <cellStyle name="Note 11 2 7 4 7" xfId="5036"/>
    <cellStyle name="Note 11 2 7 5" xfId="5037"/>
    <cellStyle name="Note 11 2 7 5 2" xfId="5038"/>
    <cellStyle name="Note 11 2 7 5 2 2" xfId="5039"/>
    <cellStyle name="Note 11 2 7 5 2 2 2" xfId="5040"/>
    <cellStyle name="Note 11 2 7 5 2 3" xfId="5041"/>
    <cellStyle name="Note 11 2 7 5 3" xfId="5042"/>
    <cellStyle name="Note 11 2 7 5 3 2" xfId="5043"/>
    <cellStyle name="Note 11 2 7 5 3 2 2" xfId="5044"/>
    <cellStyle name="Note 11 2 7 5 3 3" xfId="5045"/>
    <cellStyle name="Note 11 2 7 5 4" xfId="5046"/>
    <cellStyle name="Note 11 2 7 5 4 2" xfId="5047"/>
    <cellStyle name="Note 11 2 7 5 5" xfId="5048"/>
    <cellStyle name="Note 11 2 7 5 5 2" xfId="5049"/>
    <cellStyle name="Note 11 2 7 5 6" xfId="5050"/>
    <cellStyle name="Note 11 2 7 5 6 2" xfId="5051"/>
    <cellStyle name="Note 11 2 7 5 7" xfId="5052"/>
    <cellStyle name="Note 11 2 7 6" xfId="5053"/>
    <cellStyle name="Note 11 2 7 6 2" xfId="5054"/>
    <cellStyle name="Note 11 2 7 7" xfId="5055"/>
    <cellStyle name="Note 11 2 7 7 2" xfId="5056"/>
    <cellStyle name="Note 11 2 8" xfId="5057"/>
    <cellStyle name="Note 11 2 8 2" xfId="5058"/>
    <cellStyle name="Note 11 2 8 2 2" xfId="5059"/>
    <cellStyle name="Note 11 2 8 2 2 2" xfId="5060"/>
    <cellStyle name="Note 11 2 8 2 2 2 2" xfId="5061"/>
    <cellStyle name="Note 11 2 8 2 2 3" xfId="5062"/>
    <cellStyle name="Note 11 2 8 2 3" xfId="5063"/>
    <cellStyle name="Note 11 2 8 2 3 2" xfId="5064"/>
    <cellStyle name="Note 11 2 8 2 3 2 2" xfId="5065"/>
    <cellStyle name="Note 11 2 8 2 3 3" xfId="5066"/>
    <cellStyle name="Note 11 2 8 2 4" xfId="5067"/>
    <cellStyle name="Note 11 2 8 2 4 2" xfId="5068"/>
    <cellStyle name="Note 11 2 8 2 5" xfId="5069"/>
    <cellStyle name="Note 11 2 8 2 5 2" xfId="5070"/>
    <cellStyle name="Note 11 2 8 2 6" xfId="5071"/>
    <cellStyle name="Note 11 2 8 2 6 2" xfId="5072"/>
    <cellStyle name="Note 11 2 8 2 7" xfId="5073"/>
    <cellStyle name="Note 11 2 8 3" xfId="5074"/>
    <cellStyle name="Note 11 2 8 3 2" xfId="5075"/>
    <cellStyle name="Note 11 2 8 3 2 2" xfId="5076"/>
    <cellStyle name="Note 11 2 8 3 2 2 2" xfId="5077"/>
    <cellStyle name="Note 11 2 8 3 2 3" xfId="5078"/>
    <cellStyle name="Note 11 2 8 3 3" xfId="5079"/>
    <cellStyle name="Note 11 2 8 3 3 2" xfId="5080"/>
    <cellStyle name="Note 11 2 8 3 3 2 2" xfId="5081"/>
    <cellStyle name="Note 11 2 8 3 3 3" xfId="5082"/>
    <cellStyle name="Note 11 2 8 3 4" xfId="5083"/>
    <cellStyle name="Note 11 2 8 3 4 2" xfId="5084"/>
    <cellStyle name="Note 11 2 8 3 5" xfId="5085"/>
    <cellStyle name="Note 11 2 8 3 5 2" xfId="5086"/>
    <cellStyle name="Note 11 2 8 3 6" xfId="5087"/>
    <cellStyle name="Note 11 2 8 3 6 2" xfId="5088"/>
    <cellStyle name="Note 11 2 8 3 7" xfId="5089"/>
    <cellStyle name="Note 11 2 8 4" xfId="5090"/>
    <cellStyle name="Note 11 2 8 4 2" xfId="5091"/>
    <cellStyle name="Note 11 2 8 5" xfId="5092"/>
    <cellStyle name="Note 11 2 8 5 2" xfId="5093"/>
    <cellStyle name="Note 11 2 9" xfId="5094"/>
    <cellStyle name="Note 11 2 9 2" xfId="5095"/>
    <cellStyle name="Note 11 2 9 2 2" xfId="5096"/>
    <cellStyle name="Note 11 2 9 2 2 2" xfId="5097"/>
    <cellStyle name="Note 11 2 9 2 2 2 2" xfId="5098"/>
    <cellStyle name="Note 11 2 9 2 2 3" xfId="5099"/>
    <cellStyle name="Note 11 2 9 2 3" xfId="5100"/>
    <cellStyle name="Note 11 2 9 2 3 2" xfId="5101"/>
    <cellStyle name="Note 11 2 9 2 3 2 2" xfId="5102"/>
    <cellStyle name="Note 11 2 9 2 3 3" xfId="5103"/>
    <cellStyle name="Note 11 2 9 2 4" xfId="5104"/>
    <cellStyle name="Note 11 2 9 2 4 2" xfId="5105"/>
    <cellStyle name="Note 11 2 9 2 5" xfId="5106"/>
    <cellStyle name="Note 11 2 9 2 5 2" xfId="5107"/>
    <cellStyle name="Note 11 2 9 2 6" xfId="5108"/>
    <cellStyle name="Note 11 2 9 2 6 2" xfId="5109"/>
    <cellStyle name="Note 11 2 9 2 7" xfId="5110"/>
    <cellStyle name="Note 11 2 9 3" xfId="5111"/>
    <cellStyle name="Note 11 2 9 3 2" xfId="5112"/>
    <cellStyle name="Note 11 2 9 3 2 2" xfId="5113"/>
    <cellStyle name="Note 11 2 9 3 2 2 2" xfId="5114"/>
    <cellStyle name="Note 11 2 9 3 2 3" xfId="5115"/>
    <cellStyle name="Note 11 2 9 3 3" xfId="5116"/>
    <cellStyle name="Note 11 2 9 3 3 2" xfId="5117"/>
    <cellStyle name="Note 11 2 9 3 3 2 2" xfId="5118"/>
    <cellStyle name="Note 11 2 9 3 3 3" xfId="5119"/>
    <cellStyle name="Note 11 2 9 3 4" xfId="5120"/>
    <cellStyle name="Note 11 2 9 3 4 2" xfId="5121"/>
    <cellStyle name="Note 11 2 9 3 5" xfId="5122"/>
    <cellStyle name="Note 11 2 9 3 5 2" xfId="5123"/>
    <cellStyle name="Note 11 2 9 3 6" xfId="5124"/>
    <cellStyle name="Note 11 2 9 3 6 2" xfId="5125"/>
    <cellStyle name="Note 11 2 9 3 7" xfId="5126"/>
    <cellStyle name="Note 11 2 9 4" xfId="5127"/>
    <cellStyle name="Note 11 2 9 4 2" xfId="5128"/>
    <cellStyle name="Note 11 2 9 5" xfId="5129"/>
    <cellStyle name="Note 11 2 9 5 2" xfId="5130"/>
    <cellStyle name="Note 11 3" xfId="5131"/>
    <cellStyle name="Note 11 3 2" xfId="5132"/>
    <cellStyle name="Note 11 3 2 2" xfId="5133"/>
    <cellStyle name="Note 11 3 2 2 2" xfId="5134"/>
    <cellStyle name="Note 11 3 2 2 2 2" xfId="5135"/>
    <cellStyle name="Note 11 3 2 2 3" xfId="5136"/>
    <cellStyle name="Note 11 3 2 3" xfId="5137"/>
    <cellStyle name="Note 11 3 2 3 2" xfId="5138"/>
    <cellStyle name="Note 11 3 2 3 2 2" xfId="5139"/>
    <cellStyle name="Note 11 3 2 3 3" xfId="5140"/>
    <cellStyle name="Note 11 3 2 4" xfId="5141"/>
    <cellStyle name="Note 11 3 2 4 2" xfId="5142"/>
    <cellStyle name="Note 11 3 2 5" xfId="5143"/>
    <cellStyle name="Note 11 3 2 5 2" xfId="5144"/>
    <cellStyle name="Note 11 3 2 6" xfId="5145"/>
    <cellStyle name="Note 11 3 2 6 2" xfId="5146"/>
    <cellStyle name="Note 11 3 2 7" xfId="5147"/>
    <cellStyle name="Note 11 3 3" xfId="5148"/>
    <cellStyle name="Note 11 3 3 2" xfId="5149"/>
    <cellStyle name="Note 11 3 3 2 2" xfId="5150"/>
    <cellStyle name="Note 11 3 3 2 2 2" xfId="5151"/>
    <cellStyle name="Note 11 3 3 2 3" xfId="5152"/>
    <cellStyle name="Note 11 3 3 3" xfId="5153"/>
    <cellStyle name="Note 11 3 3 3 2" xfId="5154"/>
    <cellStyle name="Note 11 3 3 3 2 2" xfId="5155"/>
    <cellStyle name="Note 11 3 3 3 3" xfId="5156"/>
    <cellStyle name="Note 11 3 3 4" xfId="5157"/>
    <cellStyle name="Note 11 3 3 4 2" xfId="5158"/>
    <cellStyle name="Note 11 3 3 5" xfId="5159"/>
    <cellStyle name="Note 11 3 3 5 2" xfId="5160"/>
    <cellStyle name="Note 11 3 3 6" xfId="5161"/>
    <cellStyle name="Note 11 3 3 6 2" xfId="5162"/>
    <cellStyle name="Note 11 3 3 7" xfId="5163"/>
    <cellStyle name="Note 11 3 4" xfId="5164"/>
    <cellStyle name="Note 11 3 4 2" xfId="5165"/>
    <cellStyle name="Note 11 3 5" xfId="5166"/>
    <cellStyle name="Note 11 3 5 2" xfId="5167"/>
    <cellStyle name="Note 11 4" xfId="5168"/>
    <cellStyle name="Note 11 4 2" xfId="5169"/>
    <cellStyle name="Note 11 4 2 2" xfId="5170"/>
    <cellStyle name="Note 11 4 2 2 2" xfId="5171"/>
    <cellStyle name="Note 11 4 2 2 2 2" xfId="5172"/>
    <cellStyle name="Note 11 4 2 2 3" xfId="5173"/>
    <cellStyle name="Note 11 4 2 3" xfId="5174"/>
    <cellStyle name="Note 11 4 2 3 2" xfId="5175"/>
    <cellStyle name="Note 11 4 2 3 2 2" xfId="5176"/>
    <cellStyle name="Note 11 4 2 3 3" xfId="5177"/>
    <cellStyle name="Note 11 4 2 4" xfId="5178"/>
    <cellStyle name="Note 11 4 2 4 2" xfId="5179"/>
    <cellStyle name="Note 11 4 2 5" xfId="5180"/>
    <cellStyle name="Note 11 4 2 5 2" xfId="5181"/>
    <cellStyle name="Note 11 4 2 6" xfId="5182"/>
    <cellStyle name="Note 11 4 2 6 2" xfId="5183"/>
    <cellStyle name="Note 11 4 2 7" xfId="5184"/>
    <cellStyle name="Note 11 4 3" xfId="5185"/>
    <cellStyle name="Note 11 4 3 2" xfId="5186"/>
    <cellStyle name="Note 11 4 3 2 2" xfId="5187"/>
    <cellStyle name="Note 11 4 3 2 2 2" xfId="5188"/>
    <cellStyle name="Note 11 4 3 2 3" xfId="5189"/>
    <cellStyle name="Note 11 4 3 3" xfId="5190"/>
    <cellStyle name="Note 11 4 3 3 2" xfId="5191"/>
    <cellStyle name="Note 11 4 3 3 2 2" xfId="5192"/>
    <cellStyle name="Note 11 4 3 3 3" xfId="5193"/>
    <cellStyle name="Note 11 4 3 4" xfId="5194"/>
    <cellStyle name="Note 11 4 3 4 2" xfId="5195"/>
    <cellStyle name="Note 11 4 3 5" xfId="5196"/>
    <cellStyle name="Note 11 4 3 5 2" xfId="5197"/>
    <cellStyle name="Note 11 4 3 6" xfId="5198"/>
    <cellStyle name="Note 11 4 3 6 2" xfId="5199"/>
    <cellStyle name="Note 11 4 3 7" xfId="5200"/>
    <cellStyle name="Note 11 4 4" xfId="5201"/>
    <cellStyle name="Note 11 4 4 2" xfId="5202"/>
    <cellStyle name="Note 11 4 5" xfId="5203"/>
    <cellStyle name="Note 11 4 5 2" xfId="5204"/>
    <cellStyle name="Note 11 5" xfId="5205"/>
    <cellStyle name="Note 11 5 2" xfId="5206"/>
    <cellStyle name="Note 11 5 2 2" xfId="5207"/>
    <cellStyle name="Note 11 5 2 2 2" xfId="5208"/>
    <cellStyle name="Note 11 5 2 3" xfId="5209"/>
    <cellStyle name="Note 11 5 3" xfId="5210"/>
    <cellStyle name="Note 11 5 3 2" xfId="5211"/>
    <cellStyle name="Note 11 5 3 2 2" xfId="5212"/>
    <cellStyle name="Note 11 5 3 3" xfId="5213"/>
    <cellStyle name="Note 11 5 4" xfId="5214"/>
    <cellStyle name="Note 11 5 4 2" xfId="5215"/>
    <cellStyle name="Note 11 5 5" xfId="5216"/>
    <cellStyle name="Note 11 5 5 2" xfId="5217"/>
    <cellStyle name="Note 11 5 6" xfId="5218"/>
    <cellStyle name="Note 11 5 6 2" xfId="5219"/>
    <cellStyle name="Note 11 5 7" xfId="5220"/>
    <cellStyle name="Note 11 6" xfId="5221"/>
    <cellStyle name="Note 11 6 2" xfId="5222"/>
    <cellStyle name="Note 11 6 2 2" xfId="5223"/>
    <cellStyle name="Note 11 6 2 2 2" xfId="5224"/>
    <cellStyle name="Note 11 6 2 3" xfId="5225"/>
    <cellStyle name="Note 11 6 3" xfId="5226"/>
    <cellStyle name="Note 11 6 3 2" xfId="5227"/>
    <cellStyle name="Note 11 6 3 2 2" xfId="5228"/>
    <cellStyle name="Note 11 6 3 3" xfId="5229"/>
    <cellStyle name="Note 11 6 4" xfId="5230"/>
    <cellStyle name="Note 11 6 4 2" xfId="5231"/>
    <cellStyle name="Note 11 6 5" xfId="5232"/>
    <cellStyle name="Note 11 6 5 2" xfId="5233"/>
    <cellStyle name="Note 11 6 6" xfId="5234"/>
    <cellStyle name="Note 11 6 6 2" xfId="5235"/>
    <cellStyle name="Note 11 6 7" xfId="5236"/>
    <cellStyle name="Note 11 7" xfId="5237"/>
    <cellStyle name="Note 11 7 2" xfId="5238"/>
    <cellStyle name="Note 11 8" xfId="5239"/>
    <cellStyle name="Note 11 8 2" xfId="5240"/>
    <cellStyle name="Note 11 9" xfId="5241"/>
    <cellStyle name="Note 11 9 2" xfId="5242"/>
    <cellStyle name="Note 12" xfId="286"/>
    <cellStyle name="Note 12 2" xfId="5243"/>
    <cellStyle name="Note 12 2 10" xfId="5244"/>
    <cellStyle name="Note 12 2 10 2" xfId="5245"/>
    <cellStyle name="Note 12 2 10 2 2" xfId="5246"/>
    <cellStyle name="Note 12 2 10 2 2 2" xfId="5247"/>
    <cellStyle name="Note 12 2 10 2 3" xfId="5248"/>
    <cellStyle name="Note 12 2 10 3" xfId="5249"/>
    <cellStyle name="Note 12 2 10 3 2" xfId="5250"/>
    <cellStyle name="Note 12 2 10 3 2 2" xfId="5251"/>
    <cellStyle name="Note 12 2 10 3 3" xfId="5252"/>
    <cellStyle name="Note 12 2 10 4" xfId="5253"/>
    <cellStyle name="Note 12 2 10 4 2" xfId="5254"/>
    <cellStyle name="Note 12 2 10 5" xfId="5255"/>
    <cellStyle name="Note 12 2 10 5 2" xfId="5256"/>
    <cellStyle name="Note 12 2 10 6" xfId="5257"/>
    <cellStyle name="Note 12 2 10 6 2" xfId="5258"/>
    <cellStyle name="Note 12 2 10 7" xfId="5259"/>
    <cellStyle name="Note 12 2 11" xfId="5260"/>
    <cellStyle name="Note 12 2 11 2" xfId="5261"/>
    <cellStyle name="Note 12 2 11 2 2" xfId="5262"/>
    <cellStyle name="Note 12 2 11 2 2 2" xfId="5263"/>
    <cellStyle name="Note 12 2 11 2 3" xfId="5264"/>
    <cellStyle name="Note 12 2 11 3" xfId="5265"/>
    <cellStyle name="Note 12 2 11 3 2" xfId="5266"/>
    <cellStyle name="Note 12 2 11 3 2 2" xfId="5267"/>
    <cellStyle name="Note 12 2 11 3 3" xfId="5268"/>
    <cellStyle name="Note 12 2 11 4" xfId="5269"/>
    <cellStyle name="Note 12 2 11 4 2" xfId="5270"/>
    <cellStyle name="Note 12 2 11 5" xfId="5271"/>
    <cellStyle name="Note 12 2 11 5 2" xfId="5272"/>
    <cellStyle name="Note 12 2 11 6" xfId="5273"/>
    <cellStyle name="Note 12 2 11 6 2" xfId="5274"/>
    <cellStyle name="Note 12 2 11 7" xfId="5275"/>
    <cellStyle name="Note 12 2 12" xfId="5276"/>
    <cellStyle name="Note 12 2 12 2" xfId="5277"/>
    <cellStyle name="Note 12 2 13" xfId="5278"/>
    <cellStyle name="Note 12 2 13 2" xfId="5279"/>
    <cellStyle name="Note 12 2 2" xfId="5280"/>
    <cellStyle name="Note 12 2 2 2" xfId="5281"/>
    <cellStyle name="Note 12 2 2 2 2" xfId="5282"/>
    <cellStyle name="Note 12 2 2 2 2 2" xfId="5283"/>
    <cellStyle name="Note 12 2 2 2 2 2 2" xfId="5284"/>
    <cellStyle name="Note 12 2 2 2 2 2 2 2" xfId="5285"/>
    <cellStyle name="Note 12 2 2 2 2 2 3" xfId="5286"/>
    <cellStyle name="Note 12 2 2 2 2 3" xfId="5287"/>
    <cellStyle name="Note 12 2 2 2 2 3 2" xfId="5288"/>
    <cellStyle name="Note 12 2 2 2 2 3 2 2" xfId="5289"/>
    <cellStyle name="Note 12 2 2 2 2 3 3" xfId="5290"/>
    <cellStyle name="Note 12 2 2 2 2 4" xfId="5291"/>
    <cellStyle name="Note 12 2 2 2 2 4 2" xfId="5292"/>
    <cellStyle name="Note 12 2 2 2 2 5" xfId="5293"/>
    <cellStyle name="Note 12 2 2 2 2 5 2" xfId="5294"/>
    <cellStyle name="Note 12 2 2 2 2 6" xfId="5295"/>
    <cellStyle name="Note 12 2 2 2 2 6 2" xfId="5296"/>
    <cellStyle name="Note 12 2 2 2 2 7" xfId="5297"/>
    <cellStyle name="Note 12 2 2 2 3" xfId="5298"/>
    <cellStyle name="Note 12 2 2 2 3 2" xfId="5299"/>
    <cellStyle name="Note 12 2 2 2 3 2 2" xfId="5300"/>
    <cellStyle name="Note 12 2 2 2 3 2 2 2" xfId="5301"/>
    <cellStyle name="Note 12 2 2 2 3 2 3" xfId="5302"/>
    <cellStyle name="Note 12 2 2 2 3 3" xfId="5303"/>
    <cellStyle name="Note 12 2 2 2 3 3 2" xfId="5304"/>
    <cellStyle name="Note 12 2 2 2 3 3 2 2" xfId="5305"/>
    <cellStyle name="Note 12 2 2 2 3 3 3" xfId="5306"/>
    <cellStyle name="Note 12 2 2 2 3 4" xfId="5307"/>
    <cellStyle name="Note 12 2 2 2 3 4 2" xfId="5308"/>
    <cellStyle name="Note 12 2 2 2 3 5" xfId="5309"/>
    <cellStyle name="Note 12 2 2 2 3 5 2" xfId="5310"/>
    <cellStyle name="Note 12 2 2 2 3 6" xfId="5311"/>
    <cellStyle name="Note 12 2 2 2 3 6 2" xfId="5312"/>
    <cellStyle name="Note 12 2 2 2 3 7" xfId="5313"/>
    <cellStyle name="Note 12 2 2 2 4" xfId="5314"/>
    <cellStyle name="Note 12 2 2 2 4 2" xfId="5315"/>
    <cellStyle name="Note 12 2 2 2 5" xfId="5316"/>
    <cellStyle name="Note 12 2 2 2 5 2" xfId="5317"/>
    <cellStyle name="Note 12 2 2 3" xfId="5318"/>
    <cellStyle name="Note 12 2 2 3 2" xfId="5319"/>
    <cellStyle name="Note 12 2 2 3 2 2" xfId="5320"/>
    <cellStyle name="Note 12 2 2 3 2 2 2" xfId="5321"/>
    <cellStyle name="Note 12 2 2 3 2 2 2 2" xfId="5322"/>
    <cellStyle name="Note 12 2 2 3 2 2 3" xfId="5323"/>
    <cellStyle name="Note 12 2 2 3 2 3" xfId="5324"/>
    <cellStyle name="Note 12 2 2 3 2 3 2" xfId="5325"/>
    <cellStyle name="Note 12 2 2 3 2 3 2 2" xfId="5326"/>
    <cellStyle name="Note 12 2 2 3 2 3 3" xfId="5327"/>
    <cellStyle name="Note 12 2 2 3 2 4" xfId="5328"/>
    <cellStyle name="Note 12 2 2 3 2 4 2" xfId="5329"/>
    <cellStyle name="Note 12 2 2 3 2 5" xfId="5330"/>
    <cellStyle name="Note 12 2 2 3 2 5 2" xfId="5331"/>
    <cellStyle name="Note 12 2 2 3 2 6" xfId="5332"/>
    <cellStyle name="Note 12 2 2 3 2 6 2" xfId="5333"/>
    <cellStyle name="Note 12 2 2 3 2 7" xfId="5334"/>
    <cellStyle name="Note 12 2 2 3 3" xfId="5335"/>
    <cellStyle name="Note 12 2 2 3 3 2" xfId="5336"/>
    <cellStyle name="Note 12 2 2 3 3 2 2" xfId="5337"/>
    <cellStyle name="Note 12 2 2 3 3 2 2 2" xfId="5338"/>
    <cellStyle name="Note 12 2 2 3 3 2 3" xfId="5339"/>
    <cellStyle name="Note 12 2 2 3 3 3" xfId="5340"/>
    <cellStyle name="Note 12 2 2 3 3 3 2" xfId="5341"/>
    <cellStyle name="Note 12 2 2 3 3 3 2 2" xfId="5342"/>
    <cellStyle name="Note 12 2 2 3 3 3 3" xfId="5343"/>
    <cellStyle name="Note 12 2 2 3 3 4" xfId="5344"/>
    <cellStyle name="Note 12 2 2 3 3 4 2" xfId="5345"/>
    <cellStyle name="Note 12 2 2 3 3 5" xfId="5346"/>
    <cellStyle name="Note 12 2 2 3 3 5 2" xfId="5347"/>
    <cellStyle name="Note 12 2 2 3 3 6" xfId="5348"/>
    <cellStyle name="Note 12 2 2 3 3 6 2" xfId="5349"/>
    <cellStyle name="Note 12 2 2 3 3 7" xfId="5350"/>
    <cellStyle name="Note 12 2 2 3 4" xfId="5351"/>
    <cellStyle name="Note 12 2 2 3 4 2" xfId="5352"/>
    <cellStyle name="Note 12 2 2 3 5" xfId="5353"/>
    <cellStyle name="Note 12 2 2 3 5 2" xfId="5354"/>
    <cellStyle name="Note 12 2 2 4" xfId="5355"/>
    <cellStyle name="Note 12 2 2 4 2" xfId="5356"/>
    <cellStyle name="Note 12 2 2 4 2 2" xfId="5357"/>
    <cellStyle name="Note 12 2 2 4 2 2 2" xfId="5358"/>
    <cellStyle name="Note 12 2 2 4 2 3" xfId="5359"/>
    <cellStyle name="Note 12 2 2 4 3" xfId="5360"/>
    <cellStyle name="Note 12 2 2 4 3 2" xfId="5361"/>
    <cellStyle name="Note 12 2 2 4 3 2 2" xfId="5362"/>
    <cellStyle name="Note 12 2 2 4 3 3" xfId="5363"/>
    <cellStyle name="Note 12 2 2 4 4" xfId="5364"/>
    <cellStyle name="Note 12 2 2 4 4 2" xfId="5365"/>
    <cellStyle name="Note 12 2 2 4 5" xfId="5366"/>
    <cellStyle name="Note 12 2 2 4 5 2" xfId="5367"/>
    <cellStyle name="Note 12 2 2 4 6" xfId="5368"/>
    <cellStyle name="Note 12 2 2 4 6 2" xfId="5369"/>
    <cellStyle name="Note 12 2 2 4 7" xfId="5370"/>
    <cellStyle name="Note 12 2 2 5" xfId="5371"/>
    <cellStyle name="Note 12 2 2 5 2" xfId="5372"/>
    <cellStyle name="Note 12 2 2 5 2 2" xfId="5373"/>
    <cellStyle name="Note 12 2 2 5 2 2 2" xfId="5374"/>
    <cellStyle name="Note 12 2 2 5 2 3" xfId="5375"/>
    <cellStyle name="Note 12 2 2 5 3" xfId="5376"/>
    <cellStyle name="Note 12 2 2 5 3 2" xfId="5377"/>
    <cellStyle name="Note 12 2 2 5 3 2 2" xfId="5378"/>
    <cellStyle name="Note 12 2 2 5 3 3" xfId="5379"/>
    <cellStyle name="Note 12 2 2 5 4" xfId="5380"/>
    <cellStyle name="Note 12 2 2 5 4 2" xfId="5381"/>
    <cellStyle name="Note 12 2 2 5 5" xfId="5382"/>
    <cellStyle name="Note 12 2 2 5 5 2" xfId="5383"/>
    <cellStyle name="Note 12 2 2 5 6" xfId="5384"/>
    <cellStyle name="Note 12 2 2 5 6 2" xfId="5385"/>
    <cellStyle name="Note 12 2 2 5 7" xfId="5386"/>
    <cellStyle name="Note 12 2 2 6" xfId="5387"/>
    <cellStyle name="Note 12 2 2 6 2" xfId="5388"/>
    <cellStyle name="Note 12 2 2 6 2 2" xfId="5389"/>
    <cellStyle name="Note 12 2 2 6 2 2 2" xfId="5390"/>
    <cellStyle name="Note 12 2 2 6 2 3" xfId="5391"/>
    <cellStyle name="Note 12 2 2 6 3" xfId="5392"/>
    <cellStyle name="Note 12 2 2 6 3 2" xfId="5393"/>
    <cellStyle name="Note 12 2 2 6 3 2 2" xfId="5394"/>
    <cellStyle name="Note 12 2 2 6 3 3" xfId="5395"/>
    <cellStyle name="Note 12 2 2 6 4" xfId="5396"/>
    <cellStyle name="Note 12 2 2 6 4 2" xfId="5397"/>
    <cellStyle name="Note 12 2 2 6 5" xfId="5398"/>
    <cellStyle name="Note 12 2 2 6 5 2" xfId="5399"/>
    <cellStyle name="Note 12 2 2 6 6" xfId="5400"/>
    <cellStyle name="Note 12 2 2 6 6 2" xfId="5401"/>
    <cellStyle name="Note 12 2 2 6 7" xfId="5402"/>
    <cellStyle name="Note 12 2 2 7" xfId="5403"/>
    <cellStyle name="Note 12 2 2 7 2" xfId="5404"/>
    <cellStyle name="Note 12 2 2 8" xfId="5405"/>
    <cellStyle name="Note 12 2 2 8 2" xfId="5406"/>
    <cellStyle name="Note 12 2 3" xfId="5407"/>
    <cellStyle name="Note 12 2 3 2" xfId="5408"/>
    <cellStyle name="Note 12 2 3 2 2" xfId="5409"/>
    <cellStyle name="Note 12 2 3 2 2 2" xfId="5410"/>
    <cellStyle name="Note 12 2 3 2 2 2 2" xfId="5411"/>
    <cellStyle name="Note 12 2 3 2 2 2 2 2" xfId="5412"/>
    <cellStyle name="Note 12 2 3 2 2 2 3" xfId="5413"/>
    <cellStyle name="Note 12 2 3 2 2 3" xfId="5414"/>
    <cellStyle name="Note 12 2 3 2 2 3 2" xfId="5415"/>
    <cellStyle name="Note 12 2 3 2 2 3 2 2" xfId="5416"/>
    <cellStyle name="Note 12 2 3 2 2 3 3" xfId="5417"/>
    <cellStyle name="Note 12 2 3 2 2 4" xfId="5418"/>
    <cellStyle name="Note 12 2 3 2 2 4 2" xfId="5419"/>
    <cellStyle name="Note 12 2 3 2 2 5" xfId="5420"/>
    <cellStyle name="Note 12 2 3 2 2 5 2" xfId="5421"/>
    <cellStyle name="Note 12 2 3 2 2 6" xfId="5422"/>
    <cellStyle name="Note 12 2 3 2 2 6 2" xfId="5423"/>
    <cellStyle name="Note 12 2 3 2 2 7" xfId="5424"/>
    <cellStyle name="Note 12 2 3 2 3" xfId="5425"/>
    <cellStyle name="Note 12 2 3 2 3 2" xfId="5426"/>
    <cellStyle name="Note 12 2 3 2 3 2 2" xfId="5427"/>
    <cellStyle name="Note 12 2 3 2 3 2 2 2" xfId="5428"/>
    <cellStyle name="Note 12 2 3 2 3 2 3" xfId="5429"/>
    <cellStyle name="Note 12 2 3 2 3 3" xfId="5430"/>
    <cellStyle name="Note 12 2 3 2 3 3 2" xfId="5431"/>
    <cellStyle name="Note 12 2 3 2 3 3 2 2" xfId="5432"/>
    <cellStyle name="Note 12 2 3 2 3 3 3" xfId="5433"/>
    <cellStyle name="Note 12 2 3 2 3 4" xfId="5434"/>
    <cellStyle name="Note 12 2 3 2 3 4 2" xfId="5435"/>
    <cellStyle name="Note 12 2 3 2 3 5" xfId="5436"/>
    <cellStyle name="Note 12 2 3 2 3 5 2" xfId="5437"/>
    <cellStyle name="Note 12 2 3 2 3 6" xfId="5438"/>
    <cellStyle name="Note 12 2 3 2 3 6 2" xfId="5439"/>
    <cellStyle name="Note 12 2 3 2 3 7" xfId="5440"/>
    <cellStyle name="Note 12 2 3 2 4" xfId="5441"/>
    <cellStyle name="Note 12 2 3 2 4 2" xfId="5442"/>
    <cellStyle name="Note 12 2 3 2 5" xfId="5443"/>
    <cellStyle name="Note 12 2 3 2 5 2" xfId="5444"/>
    <cellStyle name="Note 12 2 3 3" xfId="5445"/>
    <cellStyle name="Note 12 2 3 3 2" xfId="5446"/>
    <cellStyle name="Note 12 2 3 3 2 2" xfId="5447"/>
    <cellStyle name="Note 12 2 3 3 2 2 2" xfId="5448"/>
    <cellStyle name="Note 12 2 3 3 2 2 2 2" xfId="5449"/>
    <cellStyle name="Note 12 2 3 3 2 2 3" xfId="5450"/>
    <cellStyle name="Note 12 2 3 3 2 3" xfId="5451"/>
    <cellStyle name="Note 12 2 3 3 2 3 2" xfId="5452"/>
    <cellStyle name="Note 12 2 3 3 2 3 2 2" xfId="5453"/>
    <cellStyle name="Note 12 2 3 3 2 3 3" xfId="5454"/>
    <cellStyle name="Note 12 2 3 3 2 4" xfId="5455"/>
    <cellStyle name="Note 12 2 3 3 2 4 2" xfId="5456"/>
    <cellStyle name="Note 12 2 3 3 2 5" xfId="5457"/>
    <cellStyle name="Note 12 2 3 3 2 5 2" xfId="5458"/>
    <cellStyle name="Note 12 2 3 3 2 6" xfId="5459"/>
    <cellStyle name="Note 12 2 3 3 2 6 2" xfId="5460"/>
    <cellStyle name="Note 12 2 3 3 2 7" xfId="5461"/>
    <cellStyle name="Note 12 2 3 3 3" xfId="5462"/>
    <cellStyle name="Note 12 2 3 3 3 2" xfId="5463"/>
    <cellStyle name="Note 12 2 3 3 3 2 2" xfId="5464"/>
    <cellStyle name="Note 12 2 3 3 3 2 2 2" xfId="5465"/>
    <cellStyle name="Note 12 2 3 3 3 2 3" xfId="5466"/>
    <cellStyle name="Note 12 2 3 3 3 3" xfId="5467"/>
    <cellStyle name="Note 12 2 3 3 3 3 2" xfId="5468"/>
    <cellStyle name="Note 12 2 3 3 3 3 2 2" xfId="5469"/>
    <cellStyle name="Note 12 2 3 3 3 3 3" xfId="5470"/>
    <cellStyle name="Note 12 2 3 3 3 4" xfId="5471"/>
    <cellStyle name="Note 12 2 3 3 3 4 2" xfId="5472"/>
    <cellStyle name="Note 12 2 3 3 3 5" xfId="5473"/>
    <cellStyle name="Note 12 2 3 3 3 5 2" xfId="5474"/>
    <cellStyle name="Note 12 2 3 3 3 6" xfId="5475"/>
    <cellStyle name="Note 12 2 3 3 3 6 2" xfId="5476"/>
    <cellStyle name="Note 12 2 3 3 3 7" xfId="5477"/>
    <cellStyle name="Note 12 2 3 3 4" xfId="5478"/>
    <cellStyle name="Note 12 2 3 3 4 2" xfId="5479"/>
    <cellStyle name="Note 12 2 3 3 5" xfId="5480"/>
    <cellStyle name="Note 12 2 3 3 5 2" xfId="5481"/>
    <cellStyle name="Note 12 2 3 4" xfId="5482"/>
    <cellStyle name="Note 12 2 3 4 2" xfId="5483"/>
    <cellStyle name="Note 12 2 3 4 2 2" xfId="5484"/>
    <cellStyle name="Note 12 2 3 4 2 2 2" xfId="5485"/>
    <cellStyle name="Note 12 2 3 4 2 3" xfId="5486"/>
    <cellStyle name="Note 12 2 3 4 3" xfId="5487"/>
    <cellStyle name="Note 12 2 3 4 3 2" xfId="5488"/>
    <cellStyle name="Note 12 2 3 4 3 2 2" xfId="5489"/>
    <cellStyle name="Note 12 2 3 4 3 3" xfId="5490"/>
    <cellStyle name="Note 12 2 3 4 4" xfId="5491"/>
    <cellStyle name="Note 12 2 3 4 4 2" xfId="5492"/>
    <cellStyle name="Note 12 2 3 4 5" xfId="5493"/>
    <cellStyle name="Note 12 2 3 4 5 2" xfId="5494"/>
    <cellStyle name="Note 12 2 3 4 6" xfId="5495"/>
    <cellStyle name="Note 12 2 3 4 6 2" xfId="5496"/>
    <cellStyle name="Note 12 2 3 4 7" xfId="5497"/>
    <cellStyle name="Note 12 2 3 5" xfId="5498"/>
    <cellStyle name="Note 12 2 3 5 2" xfId="5499"/>
    <cellStyle name="Note 12 2 3 5 2 2" xfId="5500"/>
    <cellStyle name="Note 12 2 3 5 2 2 2" xfId="5501"/>
    <cellStyle name="Note 12 2 3 5 2 3" xfId="5502"/>
    <cellStyle name="Note 12 2 3 5 3" xfId="5503"/>
    <cellStyle name="Note 12 2 3 5 3 2" xfId="5504"/>
    <cellStyle name="Note 12 2 3 5 3 2 2" xfId="5505"/>
    <cellStyle name="Note 12 2 3 5 3 3" xfId="5506"/>
    <cellStyle name="Note 12 2 3 5 4" xfId="5507"/>
    <cellStyle name="Note 12 2 3 5 4 2" xfId="5508"/>
    <cellStyle name="Note 12 2 3 5 5" xfId="5509"/>
    <cellStyle name="Note 12 2 3 5 5 2" xfId="5510"/>
    <cellStyle name="Note 12 2 3 5 6" xfId="5511"/>
    <cellStyle name="Note 12 2 3 5 6 2" xfId="5512"/>
    <cellStyle name="Note 12 2 3 5 7" xfId="5513"/>
    <cellStyle name="Note 12 2 3 6" xfId="5514"/>
    <cellStyle name="Note 12 2 3 6 2" xfId="5515"/>
    <cellStyle name="Note 12 2 3 6 2 2" xfId="5516"/>
    <cellStyle name="Note 12 2 3 6 2 2 2" xfId="5517"/>
    <cellStyle name="Note 12 2 3 6 2 3" xfId="5518"/>
    <cellStyle name="Note 12 2 3 6 3" xfId="5519"/>
    <cellStyle name="Note 12 2 3 6 3 2" xfId="5520"/>
    <cellStyle name="Note 12 2 3 6 3 2 2" xfId="5521"/>
    <cellStyle name="Note 12 2 3 6 3 3" xfId="5522"/>
    <cellStyle name="Note 12 2 3 6 4" xfId="5523"/>
    <cellStyle name="Note 12 2 3 6 4 2" xfId="5524"/>
    <cellStyle name="Note 12 2 3 6 5" xfId="5525"/>
    <cellStyle name="Note 12 2 3 6 5 2" xfId="5526"/>
    <cellStyle name="Note 12 2 3 6 6" xfId="5527"/>
    <cellStyle name="Note 12 2 3 6 6 2" xfId="5528"/>
    <cellStyle name="Note 12 2 3 6 7" xfId="5529"/>
    <cellStyle name="Note 12 2 3 7" xfId="5530"/>
    <cellStyle name="Note 12 2 3 7 2" xfId="5531"/>
    <cellStyle name="Note 12 2 3 8" xfId="5532"/>
    <cellStyle name="Note 12 2 3 8 2" xfId="5533"/>
    <cellStyle name="Note 12 2 4" xfId="5534"/>
    <cellStyle name="Note 12 2 4 2" xfId="5535"/>
    <cellStyle name="Note 12 2 4 2 2" xfId="5536"/>
    <cellStyle name="Note 12 2 4 2 2 2" xfId="5537"/>
    <cellStyle name="Note 12 2 4 2 2 2 2" xfId="5538"/>
    <cellStyle name="Note 12 2 4 2 2 2 2 2" xfId="5539"/>
    <cellStyle name="Note 12 2 4 2 2 2 3" xfId="5540"/>
    <cellStyle name="Note 12 2 4 2 2 3" xfId="5541"/>
    <cellStyle name="Note 12 2 4 2 2 3 2" xfId="5542"/>
    <cellStyle name="Note 12 2 4 2 2 3 2 2" xfId="5543"/>
    <cellStyle name="Note 12 2 4 2 2 3 3" xfId="5544"/>
    <cellStyle name="Note 12 2 4 2 2 4" xfId="5545"/>
    <cellStyle name="Note 12 2 4 2 2 4 2" xfId="5546"/>
    <cellStyle name="Note 12 2 4 2 2 5" xfId="5547"/>
    <cellStyle name="Note 12 2 4 2 2 5 2" xfId="5548"/>
    <cellStyle name="Note 12 2 4 2 2 6" xfId="5549"/>
    <cellStyle name="Note 12 2 4 2 2 6 2" xfId="5550"/>
    <cellStyle name="Note 12 2 4 2 2 7" xfId="5551"/>
    <cellStyle name="Note 12 2 4 2 3" xfId="5552"/>
    <cellStyle name="Note 12 2 4 2 3 2" xfId="5553"/>
    <cellStyle name="Note 12 2 4 2 3 2 2" xfId="5554"/>
    <cellStyle name="Note 12 2 4 2 3 2 2 2" xfId="5555"/>
    <cellStyle name="Note 12 2 4 2 3 2 3" xfId="5556"/>
    <cellStyle name="Note 12 2 4 2 3 3" xfId="5557"/>
    <cellStyle name="Note 12 2 4 2 3 3 2" xfId="5558"/>
    <cellStyle name="Note 12 2 4 2 3 3 2 2" xfId="5559"/>
    <cellStyle name="Note 12 2 4 2 3 3 3" xfId="5560"/>
    <cellStyle name="Note 12 2 4 2 3 4" xfId="5561"/>
    <cellStyle name="Note 12 2 4 2 3 4 2" xfId="5562"/>
    <cellStyle name="Note 12 2 4 2 3 5" xfId="5563"/>
    <cellStyle name="Note 12 2 4 2 3 5 2" xfId="5564"/>
    <cellStyle name="Note 12 2 4 2 3 6" xfId="5565"/>
    <cellStyle name="Note 12 2 4 2 3 6 2" xfId="5566"/>
    <cellStyle name="Note 12 2 4 2 3 7" xfId="5567"/>
    <cellStyle name="Note 12 2 4 2 4" xfId="5568"/>
    <cellStyle name="Note 12 2 4 2 4 2" xfId="5569"/>
    <cellStyle name="Note 12 2 4 2 5" xfId="5570"/>
    <cellStyle name="Note 12 2 4 2 5 2" xfId="5571"/>
    <cellStyle name="Note 12 2 4 3" xfId="5572"/>
    <cellStyle name="Note 12 2 4 3 2" xfId="5573"/>
    <cellStyle name="Note 12 2 4 3 2 2" xfId="5574"/>
    <cellStyle name="Note 12 2 4 3 2 2 2" xfId="5575"/>
    <cellStyle name="Note 12 2 4 3 2 2 2 2" xfId="5576"/>
    <cellStyle name="Note 12 2 4 3 2 2 3" xfId="5577"/>
    <cellStyle name="Note 12 2 4 3 2 3" xfId="5578"/>
    <cellStyle name="Note 12 2 4 3 2 3 2" xfId="5579"/>
    <cellStyle name="Note 12 2 4 3 2 3 2 2" xfId="5580"/>
    <cellStyle name="Note 12 2 4 3 2 3 3" xfId="5581"/>
    <cellStyle name="Note 12 2 4 3 2 4" xfId="5582"/>
    <cellStyle name="Note 12 2 4 3 2 4 2" xfId="5583"/>
    <cellStyle name="Note 12 2 4 3 2 5" xfId="5584"/>
    <cellStyle name="Note 12 2 4 3 2 5 2" xfId="5585"/>
    <cellStyle name="Note 12 2 4 3 2 6" xfId="5586"/>
    <cellStyle name="Note 12 2 4 3 2 6 2" xfId="5587"/>
    <cellStyle name="Note 12 2 4 3 2 7" xfId="5588"/>
    <cellStyle name="Note 12 2 4 3 3" xfId="5589"/>
    <cellStyle name="Note 12 2 4 3 3 2" xfId="5590"/>
    <cellStyle name="Note 12 2 4 3 3 2 2" xfId="5591"/>
    <cellStyle name="Note 12 2 4 3 3 2 2 2" xfId="5592"/>
    <cellStyle name="Note 12 2 4 3 3 2 3" xfId="5593"/>
    <cellStyle name="Note 12 2 4 3 3 3" xfId="5594"/>
    <cellStyle name="Note 12 2 4 3 3 3 2" xfId="5595"/>
    <cellStyle name="Note 12 2 4 3 3 3 2 2" xfId="5596"/>
    <cellStyle name="Note 12 2 4 3 3 3 3" xfId="5597"/>
    <cellStyle name="Note 12 2 4 3 3 4" xfId="5598"/>
    <cellStyle name="Note 12 2 4 3 3 4 2" xfId="5599"/>
    <cellStyle name="Note 12 2 4 3 3 5" xfId="5600"/>
    <cellStyle name="Note 12 2 4 3 3 5 2" xfId="5601"/>
    <cellStyle name="Note 12 2 4 3 3 6" xfId="5602"/>
    <cellStyle name="Note 12 2 4 3 3 6 2" xfId="5603"/>
    <cellStyle name="Note 12 2 4 3 3 7" xfId="5604"/>
    <cellStyle name="Note 12 2 4 3 4" xfId="5605"/>
    <cellStyle name="Note 12 2 4 3 4 2" xfId="5606"/>
    <cellStyle name="Note 12 2 4 3 5" xfId="5607"/>
    <cellStyle name="Note 12 2 4 3 5 2" xfId="5608"/>
    <cellStyle name="Note 12 2 4 4" xfId="5609"/>
    <cellStyle name="Note 12 2 4 4 2" xfId="5610"/>
    <cellStyle name="Note 12 2 4 4 2 2" xfId="5611"/>
    <cellStyle name="Note 12 2 4 4 2 2 2" xfId="5612"/>
    <cellStyle name="Note 12 2 4 4 2 3" xfId="5613"/>
    <cellStyle name="Note 12 2 4 4 3" xfId="5614"/>
    <cellStyle name="Note 12 2 4 4 3 2" xfId="5615"/>
    <cellStyle name="Note 12 2 4 4 3 2 2" xfId="5616"/>
    <cellStyle name="Note 12 2 4 4 3 3" xfId="5617"/>
    <cellStyle name="Note 12 2 4 4 4" xfId="5618"/>
    <cellStyle name="Note 12 2 4 4 4 2" xfId="5619"/>
    <cellStyle name="Note 12 2 4 4 5" xfId="5620"/>
    <cellStyle name="Note 12 2 4 4 5 2" xfId="5621"/>
    <cellStyle name="Note 12 2 4 4 6" xfId="5622"/>
    <cellStyle name="Note 12 2 4 4 6 2" xfId="5623"/>
    <cellStyle name="Note 12 2 4 4 7" xfId="5624"/>
    <cellStyle name="Note 12 2 4 5" xfId="5625"/>
    <cellStyle name="Note 12 2 4 5 2" xfId="5626"/>
    <cellStyle name="Note 12 2 4 5 2 2" xfId="5627"/>
    <cellStyle name="Note 12 2 4 5 2 2 2" xfId="5628"/>
    <cellStyle name="Note 12 2 4 5 2 3" xfId="5629"/>
    <cellStyle name="Note 12 2 4 5 3" xfId="5630"/>
    <cellStyle name="Note 12 2 4 5 3 2" xfId="5631"/>
    <cellStyle name="Note 12 2 4 5 3 2 2" xfId="5632"/>
    <cellStyle name="Note 12 2 4 5 3 3" xfId="5633"/>
    <cellStyle name="Note 12 2 4 5 4" xfId="5634"/>
    <cellStyle name="Note 12 2 4 5 4 2" xfId="5635"/>
    <cellStyle name="Note 12 2 4 5 5" xfId="5636"/>
    <cellStyle name="Note 12 2 4 5 5 2" xfId="5637"/>
    <cellStyle name="Note 12 2 4 5 6" xfId="5638"/>
    <cellStyle name="Note 12 2 4 5 6 2" xfId="5639"/>
    <cellStyle name="Note 12 2 4 5 7" xfId="5640"/>
    <cellStyle name="Note 12 2 4 6" xfId="5641"/>
    <cellStyle name="Note 12 2 4 6 2" xfId="5642"/>
    <cellStyle name="Note 12 2 4 6 2 2" xfId="5643"/>
    <cellStyle name="Note 12 2 4 6 2 2 2" xfId="5644"/>
    <cellStyle name="Note 12 2 4 6 2 3" xfId="5645"/>
    <cellStyle name="Note 12 2 4 6 3" xfId="5646"/>
    <cellStyle name="Note 12 2 4 6 3 2" xfId="5647"/>
    <cellStyle name="Note 12 2 4 6 3 2 2" xfId="5648"/>
    <cellStyle name="Note 12 2 4 6 3 3" xfId="5649"/>
    <cellStyle name="Note 12 2 4 6 4" xfId="5650"/>
    <cellStyle name="Note 12 2 4 6 4 2" xfId="5651"/>
    <cellStyle name="Note 12 2 4 6 5" xfId="5652"/>
    <cellStyle name="Note 12 2 4 6 5 2" xfId="5653"/>
    <cellStyle name="Note 12 2 4 6 6" xfId="5654"/>
    <cellStyle name="Note 12 2 4 6 6 2" xfId="5655"/>
    <cellStyle name="Note 12 2 4 6 7" xfId="5656"/>
    <cellStyle name="Note 12 2 4 7" xfId="5657"/>
    <cellStyle name="Note 12 2 4 7 2" xfId="5658"/>
    <cellStyle name="Note 12 2 4 8" xfId="5659"/>
    <cellStyle name="Note 12 2 4 8 2" xfId="5660"/>
    <cellStyle name="Note 12 2 5" xfId="5661"/>
    <cellStyle name="Note 12 2 5 2" xfId="5662"/>
    <cellStyle name="Note 12 2 5 2 2" xfId="5663"/>
    <cellStyle name="Note 12 2 5 2 2 2" xfId="5664"/>
    <cellStyle name="Note 12 2 5 2 2 2 2" xfId="5665"/>
    <cellStyle name="Note 12 2 5 2 2 2 2 2" xfId="5666"/>
    <cellStyle name="Note 12 2 5 2 2 2 3" xfId="5667"/>
    <cellStyle name="Note 12 2 5 2 2 3" xfId="5668"/>
    <cellStyle name="Note 12 2 5 2 2 3 2" xfId="5669"/>
    <cellStyle name="Note 12 2 5 2 2 3 2 2" xfId="5670"/>
    <cellStyle name="Note 12 2 5 2 2 3 3" xfId="5671"/>
    <cellStyle name="Note 12 2 5 2 2 4" xfId="5672"/>
    <cellStyle name="Note 12 2 5 2 2 4 2" xfId="5673"/>
    <cellStyle name="Note 12 2 5 2 2 5" xfId="5674"/>
    <cellStyle name="Note 12 2 5 2 2 5 2" xfId="5675"/>
    <cellStyle name="Note 12 2 5 2 2 6" xfId="5676"/>
    <cellStyle name="Note 12 2 5 2 2 6 2" xfId="5677"/>
    <cellStyle name="Note 12 2 5 2 2 7" xfId="5678"/>
    <cellStyle name="Note 12 2 5 2 3" xfId="5679"/>
    <cellStyle name="Note 12 2 5 2 3 2" xfId="5680"/>
    <cellStyle name="Note 12 2 5 2 3 2 2" xfId="5681"/>
    <cellStyle name="Note 12 2 5 2 3 2 2 2" xfId="5682"/>
    <cellStyle name="Note 12 2 5 2 3 2 3" xfId="5683"/>
    <cellStyle name="Note 12 2 5 2 3 3" xfId="5684"/>
    <cellStyle name="Note 12 2 5 2 3 3 2" xfId="5685"/>
    <cellStyle name="Note 12 2 5 2 3 3 2 2" xfId="5686"/>
    <cellStyle name="Note 12 2 5 2 3 3 3" xfId="5687"/>
    <cellStyle name="Note 12 2 5 2 3 4" xfId="5688"/>
    <cellStyle name="Note 12 2 5 2 3 4 2" xfId="5689"/>
    <cellStyle name="Note 12 2 5 2 3 5" xfId="5690"/>
    <cellStyle name="Note 12 2 5 2 3 5 2" xfId="5691"/>
    <cellStyle name="Note 12 2 5 2 3 6" xfId="5692"/>
    <cellStyle name="Note 12 2 5 2 3 6 2" xfId="5693"/>
    <cellStyle name="Note 12 2 5 2 3 7" xfId="5694"/>
    <cellStyle name="Note 12 2 5 2 4" xfId="5695"/>
    <cellStyle name="Note 12 2 5 2 4 2" xfId="5696"/>
    <cellStyle name="Note 12 2 5 2 5" xfId="5697"/>
    <cellStyle name="Note 12 2 5 2 5 2" xfId="5698"/>
    <cellStyle name="Note 12 2 5 3" xfId="5699"/>
    <cellStyle name="Note 12 2 5 3 2" xfId="5700"/>
    <cellStyle name="Note 12 2 5 3 2 2" xfId="5701"/>
    <cellStyle name="Note 12 2 5 3 2 2 2" xfId="5702"/>
    <cellStyle name="Note 12 2 5 3 2 2 2 2" xfId="5703"/>
    <cellStyle name="Note 12 2 5 3 2 2 3" xfId="5704"/>
    <cellStyle name="Note 12 2 5 3 2 3" xfId="5705"/>
    <cellStyle name="Note 12 2 5 3 2 3 2" xfId="5706"/>
    <cellStyle name="Note 12 2 5 3 2 3 2 2" xfId="5707"/>
    <cellStyle name="Note 12 2 5 3 2 3 3" xfId="5708"/>
    <cellStyle name="Note 12 2 5 3 2 4" xfId="5709"/>
    <cellStyle name="Note 12 2 5 3 2 4 2" xfId="5710"/>
    <cellStyle name="Note 12 2 5 3 2 5" xfId="5711"/>
    <cellStyle name="Note 12 2 5 3 2 5 2" xfId="5712"/>
    <cellStyle name="Note 12 2 5 3 2 6" xfId="5713"/>
    <cellStyle name="Note 12 2 5 3 2 6 2" xfId="5714"/>
    <cellStyle name="Note 12 2 5 3 2 7" xfId="5715"/>
    <cellStyle name="Note 12 2 5 3 3" xfId="5716"/>
    <cellStyle name="Note 12 2 5 3 3 2" xfId="5717"/>
    <cellStyle name="Note 12 2 5 3 3 2 2" xfId="5718"/>
    <cellStyle name="Note 12 2 5 3 3 2 2 2" xfId="5719"/>
    <cellStyle name="Note 12 2 5 3 3 2 3" xfId="5720"/>
    <cellStyle name="Note 12 2 5 3 3 3" xfId="5721"/>
    <cellStyle name="Note 12 2 5 3 3 3 2" xfId="5722"/>
    <cellStyle name="Note 12 2 5 3 3 3 2 2" xfId="5723"/>
    <cellStyle name="Note 12 2 5 3 3 3 3" xfId="5724"/>
    <cellStyle name="Note 12 2 5 3 3 4" xfId="5725"/>
    <cellStyle name="Note 12 2 5 3 3 4 2" xfId="5726"/>
    <cellStyle name="Note 12 2 5 3 3 5" xfId="5727"/>
    <cellStyle name="Note 12 2 5 3 3 5 2" xfId="5728"/>
    <cellStyle name="Note 12 2 5 3 3 6" xfId="5729"/>
    <cellStyle name="Note 12 2 5 3 3 6 2" xfId="5730"/>
    <cellStyle name="Note 12 2 5 3 3 7" xfId="5731"/>
    <cellStyle name="Note 12 2 5 3 4" xfId="5732"/>
    <cellStyle name="Note 12 2 5 3 4 2" xfId="5733"/>
    <cellStyle name="Note 12 2 5 3 5" xfId="5734"/>
    <cellStyle name="Note 12 2 5 3 5 2" xfId="5735"/>
    <cellStyle name="Note 12 2 5 4" xfId="5736"/>
    <cellStyle name="Note 12 2 5 4 2" xfId="5737"/>
    <cellStyle name="Note 12 2 5 4 2 2" xfId="5738"/>
    <cellStyle name="Note 12 2 5 4 2 2 2" xfId="5739"/>
    <cellStyle name="Note 12 2 5 4 2 3" xfId="5740"/>
    <cellStyle name="Note 12 2 5 4 3" xfId="5741"/>
    <cellStyle name="Note 12 2 5 4 3 2" xfId="5742"/>
    <cellStyle name="Note 12 2 5 4 3 2 2" xfId="5743"/>
    <cellStyle name="Note 12 2 5 4 3 3" xfId="5744"/>
    <cellStyle name="Note 12 2 5 4 4" xfId="5745"/>
    <cellStyle name="Note 12 2 5 4 4 2" xfId="5746"/>
    <cellStyle name="Note 12 2 5 4 5" xfId="5747"/>
    <cellStyle name="Note 12 2 5 4 5 2" xfId="5748"/>
    <cellStyle name="Note 12 2 5 4 6" xfId="5749"/>
    <cellStyle name="Note 12 2 5 4 6 2" xfId="5750"/>
    <cellStyle name="Note 12 2 5 4 7" xfId="5751"/>
    <cellStyle name="Note 12 2 5 5" xfId="5752"/>
    <cellStyle name="Note 12 2 5 5 2" xfId="5753"/>
    <cellStyle name="Note 12 2 5 5 2 2" xfId="5754"/>
    <cellStyle name="Note 12 2 5 5 2 2 2" xfId="5755"/>
    <cellStyle name="Note 12 2 5 5 2 3" xfId="5756"/>
    <cellStyle name="Note 12 2 5 5 3" xfId="5757"/>
    <cellStyle name="Note 12 2 5 5 3 2" xfId="5758"/>
    <cellStyle name="Note 12 2 5 5 3 2 2" xfId="5759"/>
    <cellStyle name="Note 12 2 5 5 3 3" xfId="5760"/>
    <cellStyle name="Note 12 2 5 5 4" xfId="5761"/>
    <cellStyle name="Note 12 2 5 5 4 2" xfId="5762"/>
    <cellStyle name="Note 12 2 5 5 5" xfId="5763"/>
    <cellStyle name="Note 12 2 5 5 5 2" xfId="5764"/>
    <cellStyle name="Note 12 2 5 5 6" xfId="5765"/>
    <cellStyle name="Note 12 2 5 5 6 2" xfId="5766"/>
    <cellStyle name="Note 12 2 5 5 7" xfId="5767"/>
    <cellStyle name="Note 12 2 5 6" xfId="5768"/>
    <cellStyle name="Note 12 2 5 6 2" xfId="5769"/>
    <cellStyle name="Note 12 2 5 6 2 2" xfId="5770"/>
    <cellStyle name="Note 12 2 5 6 2 2 2" xfId="5771"/>
    <cellStyle name="Note 12 2 5 6 2 3" xfId="5772"/>
    <cellStyle name="Note 12 2 5 6 3" xfId="5773"/>
    <cellStyle name="Note 12 2 5 6 3 2" xfId="5774"/>
    <cellStyle name="Note 12 2 5 6 3 2 2" xfId="5775"/>
    <cellStyle name="Note 12 2 5 6 3 3" xfId="5776"/>
    <cellStyle name="Note 12 2 5 6 4" xfId="5777"/>
    <cellStyle name="Note 12 2 5 6 4 2" xfId="5778"/>
    <cellStyle name="Note 12 2 5 6 5" xfId="5779"/>
    <cellStyle name="Note 12 2 5 6 5 2" xfId="5780"/>
    <cellStyle name="Note 12 2 5 6 6" xfId="5781"/>
    <cellStyle name="Note 12 2 5 6 6 2" xfId="5782"/>
    <cellStyle name="Note 12 2 5 6 7" xfId="5783"/>
    <cellStyle name="Note 12 2 5 7" xfId="5784"/>
    <cellStyle name="Note 12 2 5 7 2" xfId="5785"/>
    <cellStyle name="Note 12 2 5 8" xfId="5786"/>
    <cellStyle name="Note 12 2 5 8 2" xfId="5787"/>
    <cellStyle name="Note 12 2 6" xfId="5788"/>
    <cellStyle name="Note 12 2 6 2" xfId="5789"/>
    <cellStyle name="Note 12 2 6 2 2" xfId="5790"/>
    <cellStyle name="Note 12 2 6 2 2 2" xfId="5791"/>
    <cellStyle name="Note 12 2 6 2 2 2 2" xfId="5792"/>
    <cellStyle name="Note 12 2 6 2 2 2 2 2" xfId="5793"/>
    <cellStyle name="Note 12 2 6 2 2 2 3" xfId="5794"/>
    <cellStyle name="Note 12 2 6 2 2 3" xfId="5795"/>
    <cellStyle name="Note 12 2 6 2 2 3 2" xfId="5796"/>
    <cellStyle name="Note 12 2 6 2 2 3 2 2" xfId="5797"/>
    <cellStyle name="Note 12 2 6 2 2 3 3" xfId="5798"/>
    <cellStyle name="Note 12 2 6 2 2 4" xfId="5799"/>
    <cellStyle name="Note 12 2 6 2 2 4 2" xfId="5800"/>
    <cellStyle name="Note 12 2 6 2 2 5" xfId="5801"/>
    <cellStyle name="Note 12 2 6 2 2 5 2" xfId="5802"/>
    <cellStyle name="Note 12 2 6 2 2 6" xfId="5803"/>
    <cellStyle name="Note 12 2 6 2 2 6 2" xfId="5804"/>
    <cellStyle name="Note 12 2 6 2 2 7" xfId="5805"/>
    <cellStyle name="Note 12 2 6 2 3" xfId="5806"/>
    <cellStyle name="Note 12 2 6 2 3 2" xfId="5807"/>
    <cellStyle name="Note 12 2 6 2 3 2 2" xfId="5808"/>
    <cellStyle name="Note 12 2 6 2 3 2 2 2" xfId="5809"/>
    <cellStyle name="Note 12 2 6 2 3 2 3" xfId="5810"/>
    <cellStyle name="Note 12 2 6 2 3 3" xfId="5811"/>
    <cellStyle name="Note 12 2 6 2 3 3 2" xfId="5812"/>
    <cellStyle name="Note 12 2 6 2 3 3 2 2" xfId="5813"/>
    <cellStyle name="Note 12 2 6 2 3 3 3" xfId="5814"/>
    <cellStyle name="Note 12 2 6 2 3 4" xfId="5815"/>
    <cellStyle name="Note 12 2 6 2 3 4 2" xfId="5816"/>
    <cellStyle name="Note 12 2 6 2 3 5" xfId="5817"/>
    <cellStyle name="Note 12 2 6 2 3 5 2" xfId="5818"/>
    <cellStyle name="Note 12 2 6 2 3 6" xfId="5819"/>
    <cellStyle name="Note 12 2 6 2 3 6 2" xfId="5820"/>
    <cellStyle name="Note 12 2 6 2 3 7" xfId="5821"/>
    <cellStyle name="Note 12 2 6 2 4" xfId="5822"/>
    <cellStyle name="Note 12 2 6 2 4 2" xfId="5823"/>
    <cellStyle name="Note 12 2 6 2 5" xfId="5824"/>
    <cellStyle name="Note 12 2 6 2 5 2" xfId="5825"/>
    <cellStyle name="Note 12 2 6 3" xfId="5826"/>
    <cellStyle name="Note 12 2 6 3 2" xfId="5827"/>
    <cellStyle name="Note 12 2 6 3 2 2" xfId="5828"/>
    <cellStyle name="Note 12 2 6 3 2 2 2" xfId="5829"/>
    <cellStyle name="Note 12 2 6 3 2 2 2 2" xfId="5830"/>
    <cellStyle name="Note 12 2 6 3 2 2 3" xfId="5831"/>
    <cellStyle name="Note 12 2 6 3 2 3" xfId="5832"/>
    <cellStyle name="Note 12 2 6 3 2 3 2" xfId="5833"/>
    <cellStyle name="Note 12 2 6 3 2 3 2 2" xfId="5834"/>
    <cellStyle name="Note 12 2 6 3 2 3 3" xfId="5835"/>
    <cellStyle name="Note 12 2 6 3 2 4" xfId="5836"/>
    <cellStyle name="Note 12 2 6 3 2 4 2" xfId="5837"/>
    <cellStyle name="Note 12 2 6 3 2 5" xfId="5838"/>
    <cellStyle name="Note 12 2 6 3 2 5 2" xfId="5839"/>
    <cellStyle name="Note 12 2 6 3 2 6" xfId="5840"/>
    <cellStyle name="Note 12 2 6 3 2 6 2" xfId="5841"/>
    <cellStyle name="Note 12 2 6 3 2 7" xfId="5842"/>
    <cellStyle name="Note 12 2 6 3 3" xfId="5843"/>
    <cellStyle name="Note 12 2 6 3 3 2" xfId="5844"/>
    <cellStyle name="Note 12 2 6 3 3 2 2" xfId="5845"/>
    <cellStyle name="Note 12 2 6 3 3 2 2 2" xfId="5846"/>
    <cellStyle name="Note 12 2 6 3 3 2 3" xfId="5847"/>
    <cellStyle name="Note 12 2 6 3 3 3" xfId="5848"/>
    <cellStyle name="Note 12 2 6 3 3 3 2" xfId="5849"/>
    <cellStyle name="Note 12 2 6 3 3 3 2 2" xfId="5850"/>
    <cellStyle name="Note 12 2 6 3 3 3 3" xfId="5851"/>
    <cellStyle name="Note 12 2 6 3 3 4" xfId="5852"/>
    <cellStyle name="Note 12 2 6 3 3 4 2" xfId="5853"/>
    <cellStyle name="Note 12 2 6 3 3 5" xfId="5854"/>
    <cellStyle name="Note 12 2 6 3 3 5 2" xfId="5855"/>
    <cellStyle name="Note 12 2 6 3 3 6" xfId="5856"/>
    <cellStyle name="Note 12 2 6 3 3 6 2" xfId="5857"/>
    <cellStyle name="Note 12 2 6 3 3 7" xfId="5858"/>
    <cellStyle name="Note 12 2 6 3 4" xfId="5859"/>
    <cellStyle name="Note 12 2 6 3 4 2" xfId="5860"/>
    <cellStyle name="Note 12 2 6 3 5" xfId="5861"/>
    <cellStyle name="Note 12 2 6 3 5 2" xfId="5862"/>
    <cellStyle name="Note 12 2 6 4" xfId="5863"/>
    <cellStyle name="Note 12 2 6 4 2" xfId="5864"/>
    <cellStyle name="Note 12 2 6 4 2 2" xfId="5865"/>
    <cellStyle name="Note 12 2 6 4 2 2 2" xfId="5866"/>
    <cellStyle name="Note 12 2 6 4 2 3" xfId="5867"/>
    <cellStyle name="Note 12 2 6 4 3" xfId="5868"/>
    <cellStyle name="Note 12 2 6 4 3 2" xfId="5869"/>
    <cellStyle name="Note 12 2 6 4 3 2 2" xfId="5870"/>
    <cellStyle name="Note 12 2 6 4 3 3" xfId="5871"/>
    <cellStyle name="Note 12 2 6 4 4" xfId="5872"/>
    <cellStyle name="Note 12 2 6 4 4 2" xfId="5873"/>
    <cellStyle name="Note 12 2 6 4 5" xfId="5874"/>
    <cellStyle name="Note 12 2 6 4 5 2" xfId="5875"/>
    <cellStyle name="Note 12 2 6 4 6" xfId="5876"/>
    <cellStyle name="Note 12 2 6 4 6 2" xfId="5877"/>
    <cellStyle name="Note 12 2 6 4 7" xfId="5878"/>
    <cellStyle name="Note 12 2 6 5" xfId="5879"/>
    <cellStyle name="Note 12 2 6 5 2" xfId="5880"/>
    <cellStyle name="Note 12 2 6 5 2 2" xfId="5881"/>
    <cellStyle name="Note 12 2 6 5 2 2 2" xfId="5882"/>
    <cellStyle name="Note 12 2 6 5 2 3" xfId="5883"/>
    <cellStyle name="Note 12 2 6 5 3" xfId="5884"/>
    <cellStyle name="Note 12 2 6 5 3 2" xfId="5885"/>
    <cellStyle name="Note 12 2 6 5 3 2 2" xfId="5886"/>
    <cellStyle name="Note 12 2 6 5 3 3" xfId="5887"/>
    <cellStyle name="Note 12 2 6 5 4" xfId="5888"/>
    <cellStyle name="Note 12 2 6 5 4 2" xfId="5889"/>
    <cellStyle name="Note 12 2 6 5 5" xfId="5890"/>
    <cellStyle name="Note 12 2 6 5 5 2" xfId="5891"/>
    <cellStyle name="Note 12 2 6 5 6" xfId="5892"/>
    <cellStyle name="Note 12 2 6 5 6 2" xfId="5893"/>
    <cellStyle name="Note 12 2 6 5 7" xfId="5894"/>
    <cellStyle name="Note 12 2 6 6" xfId="5895"/>
    <cellStyle name="Note 12 2 6 6 2" xfId="5896"/>
    <cellStyle name="Note 12 2 6 6 2 2" xfId="5897"/>
    <cellStyle name="Note 12 2 6 6 2 2 2" xfId="5898"/>
    <cellStyle name="Note 12 2 6 6 2 3" xfId="5899"/>
    <cellStyle name="Note 12 2 6 6 3" xfId="5900"/>
    <cellStyle name="Note 12 2 6 6 3 2" xfId="5901"/>
    <cellStyle name="Note 12 2 6 6 3 2 2" xfId="5902"/>
    <cellStyle name="Note 12 2 6 6 3 3" xfId="5903"/>
    <cellStyle name="Note 12 2 6 6 4" xfId="5904"/>
    <cellStyle name="Note 12 2 6 6 4 2" xfId="5905"/>
    <cellStyle name="Note 12 2 6 6 5" xfId="5906"/>
    <cellStyle name="Note 12 2 6 6 5 2" xfId="5907"/>
    <cellStyle name="Note 12 2 6 6 6" xfId="5908"/>
    <cellStyle name="Note 12 2 6 6 6 2" xfId="5909"/>
    <cellStyle name="Note 12 2 6 6 7" xfId="5910"/>
    <cellStyle name="Note 12 2 6 7" xfId="5911"/>
    <cellStyle name="Note 12 2 6 7 2" xfId="5912"/>
    <cellStyle name="Note 12 2 6 8" xfId="5913"/>
    <cellStyle name="Note 12 2 6 8 2" xfId="5914"/>
    <cellStyle name="Note 12 2 7" xfId="5915"/>
    <cellStyle name="Note 12 2 7 2" xfId="5916"/>
    <cellStyle name="Note 12 2 7 2 2" xfId="5917"/>
    <cellStyle name="Note 12 2 7 2 2 2" xfId="5918"/>
    <cellStyle name="Note 12 2 7 2 2 2 2" xfId="5919"/>
    <cellStyle name="Note 12 2 7 2 2 2 2 2" xfId="5920"/>
    <cellStyle name="Note 12 2 7 2 2 2 3" xfId="5921"/>
    <cellStyle name="Note 12 2 7 2 2 3" xfId="5922"/>
    <cellStyle name="Note 12 2 7 2 2 3 2" xfId="5923"/>
    <cellStyle name="Note 12 2 7 2 2 3 2 2" xfId="5924"/>
    <cellStyle name="Note 12 2 7 2 2 3 3" xfId="5925"/>
    <cellStyle name="Note 12 2 7 2 2 4" xfId="5926"/>
    <cellStyle name="Note 12 2 7 2 2 4 2" xfId="5927"/>
    <cellStyle name="Note 12 2 7 2 2 5" xfId="5928"/>
    <cellStyle name="Note 12 2 7 2 2 5 2" xfId="5929"/>
    <cellStyle name="Note 12 2 7 2 2 6" xfId="5930"/>
    <cellStyle name="Note 12 2 7 2 2 6 2" xfId="5931"/>
    <cellStyle name="Note 12 2 7 2 2 7" xfId="5932"/>
    <cellStyle name="Note 12 2 7 2 3" xfId="5933"/>
    <cellStyle name="Note 12 2 7 2 3 2" xfId="5934"/>
    <cellStyle name="Note 12 2 7 2 3 2 2" xfId="5935"/>
    <cellStyle name="Note 12 2 7 2 3 2 2 2" xfId="5936"/>
    <cellStyle name="Note 12 2 7 2 3 2 3" xfId="5937"/>
    <cellStyle name="Note 12 2 7 2 3 3" xfId="5938"/>
    <cellStyle name="Note 12 2 7 2 3 3 2" xfId="5939"/>
    <cellStyle name="Note 12 2 7 2 3 3 2 2" xfId="5940"/>
    <cellStyle name="Note 12 2 7 2 3 3 3" xfId="5941"/>
    <cellStyle name="Note 12 2 7 2 3 4" xfId="5942"/>
    <cellStyle name="Note 12 2 7 2 3 4 2" xfId="5943"/>
    <cellStyle name="Note 12 2 7 2 3 5" xfId="5944"/>
    <cellStyle name="Note 12 2 7 2 3 5 2" xfId="5945"/>
    <cellStyle name="Note 12 2 7 2 3 6" xfId="5946"/>
    <cellStyle name="Note 12 2 7 2 3 6 2" xfId="5947"/>
    <cellStyle name="Note 12 2 7 2 3 7" xfId="5948"/>
    <cellStyle name="Note 12 2 7 2 4" xfId="5949"/>
    <cellStyle name="Note 12 2 7 2 4 2" xfId="5950"/>
    <cellStyle name="Note 12 2 7 2 5" xfId="5951"/>
    <cellStyle name="Note 12 2 7 2 5 2" xfId="5952"/>
    <cellStyle name="Note 12 2 7 3" xfId="5953"/>
    <cellStyle name="Note 12 2 7 3 2" xfId="5954"/>
    <cellStyle name="Note 12 2 7 3 2 2" xfId="5955"/>
    <cellStyle name="Note 12 2 7 3 2 2 2" xfId="5956"/>
    <cellStyle name="Note 12 2 7 3 2 2 2 2" xfId="5957"/>
    <cellStyle name="Note 12 2 7 3 2 2 3" xfId="5958"/>
    <cellStyle name="Note 12 2 7 3 2 3" xfId="5959"/>
    <cellStyle name="Note 12 2 7 3 2 3 2" xfId="5960"/>
    <cellStyle name="Note 12 2 7 3 2 3 2 2" xfId="5961"/>
    <cellStyle name="Note 12 2 7 3 2 3 3" xfId="5962"/>
    <cellStyle name="Note 12 2 7 3 2 4" xfId="5963"/>
    <cellStyle name="Note 12 2 7 3 2 4 2" xfId="5964"/>
    <cellStyle name="Note 12 2 7 3 2 5" xfId="5965"/>
    <cellStyle name="Note 12 2 7 3 2 5 2" xfId="5966"/>
    <cellStyle name="Note 12 2 7 3 2 6" xfId="5967"/>
    <cellStyle name="Note 12 2 7 3 2 6 2" xfId="5968"/>
    <cellStyle name="Note 12 2 7 3 2 7" xfId="5969"/>
    <cellStyle name="Note 12 2 7 3 3" xfId="5970"/>
    <cellStyle name="Note 12 2 7 3 3 2" xfId="5971"/>
    <cellStyle name="Note 12 2 7 3 3 2 2" xfId="5972"/>
    <cellStyle name="Note 12 2 7 3 3 2 2 2" xfId="5973"/>
    <cellStyle name="Note 12 2 7 3 3 2 3" xfId="5974"/>
    <cellStyle name="Note 12 2 7 3 3 3" xfId="5975"/>
    <cellStyle name="Note 12 2 7 3 3 3 2" xfId="5976"/>
    <cellStyle name="Note 12 2 7 3 3 3 2 2" xfId="5977"/>
    <cellStyle name="Note 12 2 7 3 3 3 3" xfId="5978"/>
    <cellStyle name="Note 12 2 7 3 3 4" xfId="5979"/>
    <cellStyle name="Note 12 2 7 3 3 4 2" xfId="5980"/>
    <cellStyle name="Note 12 2 7 3 3 5" xfId="5981"/>
    <cellStyle name="Note 12 2 7 3 3 5 2" xfId="5982"/>
    <cellStyle name="Note 12 2 7 3 3 6" xfId="5983"/>
    <cellStyle name="Note 12 2 7 3 3 6 2" xfId="5984"/>
    <cellStyle name="Note 12 2 7 3 3 7" xfId="5985"/>
    <cellStyle name="Note 12 2 7 3 4" xfId="5986"/>
    <cellStyle name="Note 12 2 7 3 4 2" xfId="5987"/>
    <cellStyle name="Note 12 2 7 3 5" xfId="5988"/>
    <cellStyle name="Note 12 2 7 3 5 2" xfId="5989"/>
    <cellStyle name="Note 12 2 7 4" xfId="5990"/>
    <cellStyle name="Note 12 2 7 4 2" xfId="5991"/>
    <cellStyle name="Note 12 2 7 4 2 2" xfId="5992"/>
    <cellStyle name="Note 12 2 7 4 2 2 2" xfId="5993"/>
    <cellStyle name="Note 12 2 7 4 2 3" xfId="5994"/>
    <cellStyle name="Note 12 2 7 4 3" xfId="5995"/>
    <cellStyle name="Note 12 2 7 4 3 2" xfId="5996"/>
    <cellStyle name="Note 12 2 7 4 3 2 2" xfId="5997"/>
    <cellStyle name="Note 12 2 7 4 3 3" xfId="5998"/>
    <cellStyle name="Note 12 2 7 4 4" xfId="5999"/>
    <cellStyle name="Note 12 2 7 4 4 2" xfId="6000"/>
    <cellStyle name="Note 12 2 7 4 5" xfId="6001"/>
    <cellStyle name="Note 12 2 7 4 5 2" xfId="6002"/>
    <cellStyle name="Note 12 2 7 4 6" xfId="6003"/>
    <cellStyle name="Note 12 2 7 4 6 2" xfId="6004"/>
    <cellStyle name="Note 12 2 7 4 7" xfId="6005"/>
    <cellStyle name="Note 12 2 7 5" xfId="6006"/>
    <cellStyle name="Note 12 2 7 5 2" xfId="6007"/>
    <cellStyle name="Note 12 2 7 5 2 2" xfId="6008"/>
    <cellStyle name="Note 12 2 7 5 2 2 2" xfId="6009"/>
    <cellStyle name="Note 12 2 7 5 2 3" xfId="6010"/>
    <cellStyle name="Note 12 2 7 5 3" xfId="6011"/>
    <cellStyle name="Note 12 2 7 5 3 2" xfId="6012"/>
    <cellStyle name="Note 12 2 7 5 3 2 2" xfId="6013"/>
    <cellStyle name="Note 12 2 7 5 3 3" xfId="6014"/>
    <cellStyle name="Note 12 2 7 5 4" xfId="6015"/>
    <cellStyle name="Note 12 2 7 5 4 2" xfId="6016"/>
    <cellStyle name="Note 12 2 7 5 5" xfId="6017"/>
    <cellStyle name="Note 12 2 7 5 5 2" xfId="6018"/>
    <cellStyle name="Note 12 2 7 5 6" xfId="6019"/>
    <cellStyle name="Note 12 2 7 5 6 2" xfId="6020"/>
    <cellStyle name="Note 12 2 7 5 7" xfId="6021"/>
    <cellStyle name="Note 12 2 7 6" xfId="6022"/>
    <cellStyle name="Note 12 2 7 6 2" xfId="6023"/>
    <cellStyle name="Note 12 2 7 7" xfId="6024"/>
    <cellStyle name="Note 12 2 7 7 2" xfId="6025"/>
    <cellStyle name="Note 12 2 8" xfId="6026"/>
    <cellStyle name="Note 12 2 8 2" xfId="6027"/>
    <cellStyle name="Note 12 2 8 2 2" xfId="6028"/>
    <cellStyle name="Note 12 2 8 2 2 2" xfId="6029"/>
    <cellStyle name="Note 12 2 8 2 2 2 2" xfId="6030"/>
    <cellStyle name="Note 12 2 8 2 2 3" xfId="6031"/>
    <cellStyle name="Note 12 2 8 2 3" xfId="6032"/>
    <cellStyle name="Note 12 2 8 2 3 2" xfId="6033"/>
    <cellStyle name="Note 12 2 8 2 3 2 2" xfId="6034"/>
    <cellStyle name="Note 12 2 8 2 3 3" xfId="6035"/>
    <cellStyle name="Note 12 2 8 2 4" xfId="6036"/>
    <cellStyle name="Note 12 2 8 2 4 2" xfId="6037"/>
    <cellStyle name="Note 12 2 8 2 5" xfId="6038"/>
    <cellStyle name="Note 12 2 8 2 5 2" xfId="6039"/>
    <cellStyle name="Note 12 2 8 2 6" xfId="6040"/>
    <cellStyle name="Note 12 2 8 2 6 2" xfId="6041"/>
    <cellStyle name="Note 12 2 8 2 7" xfId="6042"/>
    <cellStyle name="Note 12 2 8 3" xfId="6043"/>
    <cellStyle name="Note 12 2 8 3 2" xfId="6044"/>
    <cellStyle name="Note 12 2 8 3 2 2" xfId="6045"/>
    <cellStyle name="Note 12 2 8 3 2 2 2" xfId="6046"/>
    <cellStyle name="Note 12 2 8 3 2 3" xfId="6047"/>
    <cellStyle name="Note 12 2 8 3 3" xfId="6048"/>
    <cellStyle name="Note 12 2 8 3 3 2" xfId="6049"/>
    <cellStyle name="Note 12 2 8 3 3 2 2" xfId="6050"/>
    <cellStyle name="Note 12 2 8 3 3 3" xfId="6051"/>
    <cellStyle name="Note 12 2 8 3 4" xfId="6052"/>
    <cellStyle name="Note 12 2 8 3 4 2" xfId="6053"/>
    <cellStyle name="Note 12 2 8 3 5" xfId="6054"/>
    <cellStyle name="Note 12 2 8 3 5 2" xfId="6055"/>
    <cellStyle name="Note 12 2 8 3 6" xfId="6056"/>
    <cellStyle name="Note 12 2 8 3 6 2" xfId="6057"/>
    <cellStyle name="Note 12 2 8 3 7" xfId="6058"/>
    <cellStyle name="Note 12 2 8 4" xfId="6059"/>
    <cellStyle name="Note 12 2 8 4 2" xfId="6060"/>
    <cellStyle name="Note 12 2 8 5" xfId="6061"/>
    <cellStyle name="Note 12 2 8 5 2" xfId="6062"/>
    <cellStyle name="Note 12 2 9" xfId="6063"/>
    <cellStyle name="Note 12 2 9 2" xfId="6064"/>
    <cellStyle name="Note 12 2 9 2 2" xfId="6065"/>
    <cellStyle name="Note 12 2 9 2 2 2" xfId="6066"/>
    <cellStyle name="Note 12 2 9 2 2 2 2" xfId="6067"/>
    <cellStyle name="Note 12 2 9 2 2 3" xfId="6068"/>
    <cellStyle name="Note 12 2 9 2 3" xfId="6069"/>
    <cellStyle name="Note 12 2 9 2 3 2" xfId="6070"/>
    <cellStyle name="Note 12 2 9 2 3 2 2" xfId="6071"/>
    <cellStyle name="Note 12 2 9 2 3 3" xfId="6072"/>
    <cellStyle name="Note 12 2 9 2 4" xfId="6073"/>
    <cellStyle name="Note 12 2 9 2 4 2" xfId="6074"/>
    <cellStyle name="Note 12 2 9 2 5" xfId="6075"/>
    <cellStyle name="Note 12 2 9 2 5 2" xfId="6076"/>
    <cellStyle name="Note 12 2 9 2 6" xfId="6077"/>
    <cellStyle name="Note 12 2 9 2 6 2" xfId="6078"/>
    <cellStyle name="Note 12 2 9 2 7" xfId="6079"/>
    <cellStyle name="Note 12 2 9 3" xfId="6080"/>
    <cellStyle name="Note 12 2 9 3 2" xfId="6081"/>
    <cellStyle name="Note 12 2 9 3 2 2" xfId="6082"/>
    <cellStyle name="Note 12 2 9 3 2 2 2" xfId="6083"/>
    <cellStyle name="Note 12 2 9 3 2 3" xfId="6084"/>
    <cellStyle name="Note 12 2 9 3 3" xfId="6085"/>
    <cellStyle name="Note 12 2 9 3 3 2" xfId="6086"/>
    <cellStyle name="Note 12 2 9 3 3 2 2" xfId="6087"/>
    <cellStyle name="Note 12 2 9 3 3 3" xfId="6088"/>
    <cellStyle name="Note 12 2 9 3 4" xfId="6089"/>
    <cellStyle name="Note 12 2 9 3 4 2" xfId="6090"/>
    <cellStyle name="Note 12 2 9 3 5" xfId="6091"/>
    <cellStyle name="Note 12 2 9 3 5 2" xfId="6092"/>
    <cellStyle name="Note 12 2 9 3 6" xfId="6093"/>
    <cellStyle name="Note 12 2 9 3 6 2" xfId="6094"/>
    <cellStyle name="Note 12 2 9 3 7" xfId="6095"/>
    <cellStyle name="Note 12 2 9 4" xfId="6096"/>
    <cellStyle name="Note 12 2 9 4 2" xfId="6097"/>
    <cellStyle name="Note 12 2 9 5" xfId="6098"/>
    <cellStyle name="Note 12 2 9 5 2" xfId="6099"/>
    <cellStyle name="Note 12 3" xfId="6100"/>
    <cellStyle name="Note 12 3 2" xfId="6101"/>
    <cellStyle name="Note 12 3 2 2" xfId="6102"/>
    <cellStyle name="Note 12 3 2 2 2" xfId="6103"/>
    <cellStyle name="Note 12 3 2 2 2 2" xfId="6104"/>
    <cellStyle name="Note 12 3 2 2 3" xfId="6105"/>
    <cellStyle name="Note 12 3 2 3" xfId="6106"/>
    <cellStyle name="Note 12 3 2 3 2" xfId="6107"/>
    <cellStyle name="Note 12 3 2 3 2 2" xfId="6108"/>
    <cellStyle name="Note 12 3 2 3 3" xfId="6109"/>
    <cellStyle name="Note 12 3 2 4" xfId="6110"/>
    <cellStyle name="Note 12 3 2 4 2" xfId="6111"/>
    <cellStyle name="Note 12 3 2 5" xfId="6112"/>
    <cellStyle name="Note 12 3 2 5 2" xfId="6113"/>
    <cellStyle name="Note 12 3 2 6" xfId="6114"/>
    <cellStyle name="Note 12 3 2 6 2" xfId="6115"/>
    <cellStyle name="Note 12 3 2 7" xfId="6116"/>
    <cellStyle name="Note 12 3 3" xfId="6117"/>
    <cellStyle name="Note 12 3 3 2" xfId="6118"/>
    <cellStyle name="Note 12 3 3 2 2" xfId="6119"/>
    <cellStyle name="Note 12 3 3 2 2 2" xfId="6120"/>
    <cellStyle name="Note 12 3 3 2 3" xfId="6121"/>
    <cellStyle name="Note 12 3 3 3" xfId="6122"/>
    <cellStyle name="Note 12 3 3 3 2" xfId="6123"/>
    <cellStyle name="Note 12 3 3 3 2 2" xfId="6124"/>
    <cellStyle name="Note 12 3 3 3 3" xfId="6125"/>
    <cellStyle name="Note 12 3 3 4" xfId="6126"/>
    <cellStyle name="Note 12 3 3 4 2" xfId="6127"/>
    <cellStyle name="Note 12 3 3 5" xfId="6128"/>
    <cellStyle name="Note 12 3 3 5 2" xfId="6129"/>
    <cellStyle name="Note 12 3 3 6" xfId="6130"/>
    <cellStyle name="Note 12 3 3 6 2" xfId="6131"/>
    <cellStyle name="Note 12 3 3 7" xfId="6132"/>
    <cellStyle name="Note 12 3 4" xfId="6133"/>
    <cellStyle name="Note 12 3 4 2" xfId="6134"/>
    <cellStyle name="Note 12 3 5" xfId="6135"/>
    <cellStyle name="Note 12 3 5 2" xfId="6136"/>
    <cellStyle name="Note 12 4" xfId="6137"/>
    <cellStyle name="Note 12 4 2" xfId="6138"/>
    <cellStyle name="Note 12 4 2 2" xfId="6139"/>
    <cellStyle name="Note 12 4 2 2 2" xfId="6140"/>
    <cellStyle name="Note 12 4 2 2 2 2" xfId="6141"/>
    <cellStyle name="Note 12 4 2 2 3" xfId="6142"/>
    <cellStyle name="Note 12 4 2 3" xfId="6143"/>
    <cellStyle name="Note 12 4 2 3 2" xfId="6144"/>
    <cellStyle name="Note 12 4 2 3 2 2" xfId="6145"/>
    <cellStyle name="Note 12 4 2 3 3" xfId="6146"/>
    <cellStyle name="Note 12 4 2 4" xfId="6147"/>
    <cellStyle name="Note 12 4 2 4 2" xfId="6148"/>
    <cellStyle name="Note 12 4 2 5" xfId="6149"/>
    <cellStyle name="Note 12 4 2 5 2" xfId="6150"/>
    <cellStyle name="Note 12 4 2 6" xfId="6151"/>
    <cellStyle name="Note 12 4 2 6 2" xfId="6152"/>
    <cellStyle name="Note 12 4 2 7" xfId="6153"/>
    <cellStyle name="Note 12 4 3" xfId="6154"/>
    <cellStyle name="Note 12 4 3 2" xfId="6155"/>
    <cellStyle name="Note 12 4 3 2 2" xfId="6156"/>
    <cellStyle name="Note 12 4 3 2 2 2" xfId="6157"/>
    <cellStyle name="Note 12 4 3 2 3" xfId="6158"/>
    <cellStyle name="Note 12 4 3 3" xfId="6159"/>
    <cellStyle name="Note 12 4 3 3 2" xfId="6160"/>
    <cellStyle name="Note 12 4 3 3 2 2" xfId="6161"/>
    <cellStyle name="Note 12 4 3 3 3" xfId="6162"/>
    <cellStyle name="Note 12 4 3 4" xfId="6163"/>
    <cellStyle name="Note 12 4 3 4 2" xfId="6164"/>
    <cellStyle name="Note 12 4 3 5" xfId="6165"/>
    <cellStyle name="Note 12 4 3 5 2" xfId="6166"/>
    <cellStyle name="Note 12 4 3 6" xfId="6167"/>
    <cellStyle name="Note 12 4 3 6 2" xfId="6168"/>
    <cellStyle name="Note 12 4 3 7" xfId="6169"/>
    <cellStyle name="Note 12 4 4" xfId="6170"/>
    <cellStyle name="Note 12 4 4 2" xfId="6171"/>
    <cellStyle name="Note 12 4 5" xfId="6172"/>
    <cellStyle name="Note 12 4 5 2" xfId="6173"/>
    <cellStyle name="Note 12 5" xfId="6174"/>
    <cellStyle name="Note 12 5 2" xfId="6175"/>
    <cellStyle name="Note 12 5 2 2" xfId="6176"/>
    <cellStyle name="Note 12 5 2 2 2" xfId="6177"/>
    <cellStyle name="Note 12 5 2 3" xfId="6178"/>
    <cellStyle name="Note 12 5 3" xfId="6179"/>
    <cellStyle name="Note 12 5 3 2" xfId="6180"/>
    <cellStyle name="Note 12 5 3 2 2" xfId="6181"/>
    <cellStyle name="Note 12 5 3 3" xfId="6182"/>
    <cellStyle name="Note 12 5 4" xfId="6183"/>
    <cellStyle name="Note 12 5 4 2" xfId="6184"/>
    <cellStyle name="Note 12 5 5" xfId="6185"/>
    <cellStyle name="Note 12 5 5 2" xfId="6186"/>
    <cellStyle name="Note 12 5 6" xfId="6187"/>
    <cellStyle name="Note 12 5 6 2" xfId="6188"/>
    <cellStyle name="Note 12 5 7" xfId="6189"/>
    <cellStyle name="Note 12 6" xfId="6190"/>
    <cellStyle name="Note 12 6 2" xfId="6191"/>
    <cellStyle name="Note 12 6 2 2" xfId="6192"/>
    <cellStyle name="Note 12 6 2 2 2" xfId="6193"/>
    <cellStyle name="Note 12 6 2 3" xfId="6194"/>
    <cellStyle name="Note 12 6 3" xfId="6195"/>
    <cellStyle name="Note 12 6 3 2" xfId="6196"/>
    <cellStyle name="Note 12 6 3 2 2" xfId="6197"/>
    <cellStyle name="Note 12 6 3 3" xfId="6198"/>
    <cellStyle name="Note 12 6 4" xfId="6199"/>
    <cellStyle name="Note 12 6 4 2" xfId="6200"/>
    <cellStyle name="Note 12 6 5" xfId="6201"/>
    <cellStyle name="Note 12 6 5 2" xfId="6202"/>
    <cellStyle name="Note 12 6 6" xfId="6203"/>
    <cellStyle name="Note 12 6 6 2" xfId="6204"/>
    <cellStyle name="Note 12 6 7" xfId="6205"/>
    <cellStyle name="Note 12 7" xfId="6206"/>
    <cellStyle name="Note 12 7 2" xfId="6207"/>
    <cellStyle name="Note 12 8" xfId="6208"/>
    <cellStyle name="Note 12 8 2" xfId="6209"/>
    <cellStyle name="Note 12 9" xfId="6210"/>
    <cellStyle name="Note 12 9 2" xfId="6211"/>
    <cellStyle name="Note 13" xfId="287"/>
    <cellStyle name="Note 13 2" xfId="6212"/>
    <cellStyle name="Note 13 2 10" xfId="6213"/>
    <cellStyle name="Note 13 2 10 2" xfId="6214"/>
    <cellStyle name="Note 13 2 10 2 2" xfId="6215"/>
    <cellStyle name="Note 13 2 10 2 2 2" xfId="6216"/>
    <cellStyle name="Note 13 2 10 2 3" xfId="6217"/>
    <cellStyle name="Note 13 2 10 3" xfId="6218"/>
    <cellStyle name="Note 13 2 10 3 2" xfId="6219"/>
    <cellStyle name="Note 13 2 10 3 2 2" xfId="6220"/>
    <cellStyle name="Note 13 2 10 3 3" xfId="6221"/>
    <cellStyle name="Note 13 2 10 4" xfId="6222"/>
    <cellStyle name="Note 13 2 10 4 2" xfId="6223"/>
    <cellStyle name="Note 13 2 10 5" xfId="6224"/>
    <cellStyle name="Note 13 2 10 5 2" xfId="6225"/>
    <cellStyle name="Note 13 2 10 6" xfId="6226"/>
    <cellStyle name="Note 13 2 10 6 2" xfId="6227"/>
    <cellStyle name="Note 13 2 10 7" xfId="6228"/>
    <cellStyle name="Note 13 2 11" xfId="6229"/>
    <cellStyle name="Note 13 2 11 2" xfId="6230"/>
    <cellStyle name="Note 13 2 11 2 2" xfId="6231"/>
    <cellStyle name="Note 13 2 11 2 2 2" xfId="6232"/>
    <cellStyle name="Note 13 2 11 2 3" xfId="6233"/>
    <cellStyle name="Note 13 2 11 3" xfId="6234"/>
    <cellStyle name="Note 13 2 11 3 2" xfId="6235"/>
    <cellStyle name="Note 13 2 11 3 2 2" xfId="6236"/>
    <cellStyle name="Note 13 2 11 3 3" xfId="6237"/>
    <cellStyle name="Note 13 2 11 4" xfId="6238"/>
    <cellStyle name="Note 13 2 11 4 2" xfId="6239"/>
    <cellStyle name="Note 13 2 11 5" xfId="6240"/>
    <cellStyle name="Note 13 2 11 5 2" xfId="6241"/>
    <cellStyle name="Note 13 2 11 6" xfId="6242"/>
    <cellStyle name="Note 13 2 11 6 2" xfId="6243"/>
    <cellStyle name="Note 13 2 11 7" xfId="6244"/>
    <cellStyle name="Note 13 2 12" xfId="6245"/>
    <cellStyle name="Note 13 2 12 2" xfId="6246"/>
    <cellStyle name="Note 13 2 13" xfId="6247"/>
    <cellStyle name="Note 13 2 13 2" xfId="6248"/>
    <cellStyle name="Note 13 2 2" xfId="6249"/>
    <cellStyle name="Note 13 2 2 2" xfId="6250"/>
    <cellStyle name="Note 13 2 2 2 2" xfId="6251"/>
    <cellStyle name="Note 13 2 2 2 2 2" xfId="6252"/>
    <cellStyle name="Note 13 2 2 2 2 2 2" xfId="6253"/>
    <cellStyle name="Note 13 2 2 2 2 2 2 2" xfId="6254"/>
    <cellStyle name="Note 13 2 2 2 2 2 3" xfId="6255"/>
    <cellStyle name="Note 13 2 2 2 2 3" xfId="6256"/>
    <cellStyle name="Note 13 2 2 2 2 3 2" xfId="6257"/>
    <cellStyle name="Note 13 2 2 2 2 3 2 2" xfId="6258"/>
    <cellStyle name="Note 13 2 2 2 2 3 3" xfId="6259"/>
    <cellStyle name="Note 13 2 2 2 2 4" xfId="6260"/>
    <cellStyle name="Note 13 2 2 2 2 4 2" xfId="6261"/>
    <cellStyle name="Note 13 2 2 2 2 5" xfId="6262"/>
    <cellStyle name="Note 13 2 2 2 2 5 2" xfId="6263"/>
    <cellStyle name="Note 13 2 2 2 2 6" xfId="6264"/>
    <cellStyle name="Note 13 2 2 2 2 6 2" xfId="6265"/>
    <cellStyle name="Note 13 2 2 2 2 7" xfId="6266"/>
    <cellStyle name="Note 13 2 2 2 3" xfId="6267"/>
    <cellStyle name="Note 13 2 2 2 3 2" xfId="6268"/>
    <cellStyle name="Note 13 2 2 2 3 2 2" xfId="6269"/>
    <cellStyle name="Note 13 2 2 2 3 2 2 2" xfId="6270"/>
    <cellStyle name="Note 13 2 2 2 3 2 3" xfId="6271"/>
    <cellStyle name="Note 13 2 2 2 3 3" xfId="6272"/>
    <cellStyle name="Note 13 2 2 2 3 3 2" xfId="6273"/>
    <cellStyle name="Note 13 2 2 2 3 3 2 2" xfId="6274"/>
    <cellStyle name="Note 13 2 2 2 3 3 3" xfId="6275"/>
    <cellStyle name="Note 13 2 2 2 3 4" xfId="6276"/>
    <cellStyle name="Note 13 2 2 2 3 4 2" xfId="6277"/>
    <cellStyle name="Note 13 2 2 2 3 5" xfId="6278"/>
    <cellStyle name="Note 13 2 2 2 3 5 2" xfId="6279"/>
    <cellStyle name="Note 13 2 2 2 3 6" xfId="6280"/>
    <cellStyle name="Note 13 2 2 2 3 6 2" xfId="6281"/>
    <cellStyle name="Note 13 2 2 2 3 7" xfId="6282"/>
    <cellStyle name="Note 13 2 2 2 4" xfId="6283"/>
    <cellStyle name="Note 13 2 2 2 4 2" xfId="6284"/>
    <cellStyle name="Note 13 2 2 2 5" xfId="6285"/>
    <cellStyle name="Note 13 2 2 2 5 2" xfId="6286"/>
    <cellStyle name="Note 13 2 2 3" xfId="6287"/>
    <cellStyle name="Note 13 2 2 3 2" xfId="6288"/>
    <cellStyle name="Note 13 2 2 3 2 2" xfId="6289"/>
    <cellStyle name="Note 13 2 2 3 2 2 2" xfId="6290"/>
    <cellStyle name="Note 13 2 2 3 2 2 2 2" xfId="6291"/>
    <cellStyle name="Note 13 2 2 3 2 2 3" xfId="6292"/>
    <cellStyle name="Note 13 2 2 3 2 3" xfId="6293"/>
    <cellStyle name="Note 13 2 2 3 2 3 2" xfId="6294"/>
    <cellStyle name="Note 13 2 2 3 2 3 2 2" xfId="6295"/>
    <cellStyle name="Note 13 2 2 3 2 3 3" xfId="6296"/>
    <cellStyle name="Note 13 2 2 3 2 4" xfId="6297"/>
    <cellStyle name="Note 13 2 2 3 2 4 2" xfId="6298"/>
    <cellStyle name="Note 13 2 2 3 2 5" xfId="6299"/>
    <cellStyle name="Note 13 2 2 3 2 5 2" xfId="6300"/>
    <cellStyle name="Note 13 2 2 3 2 6" xfId="6301"/>
    <cellStyle name="Note 13 2 2 3 2 6 2" xfId="6302"/>
    <cellStyle name="Note 13 2 2 3 2 7" xfId="6303"/>
    <cellStyle name="Note 13 2 2 3 3" xfId="6304"/>
    <cellStyle name="Note 13 2 2 3 3 2" xfId="6305"/>
    <cellStyle name="Note 13 2 2 3 3 2 2" xfId="6306"/>
    <cellStyle name="Note 13 2 2 3 3 2 2 2" xfId="6307"/>
    <cellStyle name="Note 13 2 2 3 3 2 3" xfId="6308"/>
    <cellStyle name="Note 13 2 2 3 3 3" xfId="6309"/>
    <cellStyle name="Note 13 2 2 3 3 3 2" xfId="6310"/>
    <cellStyle name="Note 13 2 2 3 3 3 2 2" xfId="6311"/>
    <cellStyle name="Note 13 2 2 3 3 3 3" xfId="6312"/>
    <cellStyle name="Note 13 2 2 3 3 4" xfId="6313"/>
    <cellStyle name="Note 13 2 2 3 3 4 2" xfId="6314"/>
    <cellStyle name="Note 13 2 2 3 3 5" xfId="6315"/>
    <cellStyle name="Note 13 2 2 3 3 5 2" xfId="6316"/>
    <cellStyle name="Note 13 2 2 3 3 6" xfId="6317"/>
    <cellStyle name="Note 13 2 2 3 3 6 2" xfId="6318"/>
    <cellStyle name="Note 13 2 2 3 3 7" xfId="6319"/>
    <cellStyle name="Note 13 2 2 3 4" xfId="6320"/>
    <cellStyle name="Note 13 2 2 3 4 2" xfId="6321"/>
    <cellStyle name="Note 13 2 2 3 5" xfId="6322"/>
    <cellStyle name="Note 13 2 2 3 5 2" xfId="6323"/>
    <cellStyle name="Note 13 2 2 4" xfId="6324"/>
    <cellStyle name="Note 13 2 2 4 2" xfId="6325"/>
    <cellStyle name="Note 13 2 2 4 2 2" xfId="6326"/>
    <cellStyle name="Note 13 2 2 4 2 2 2" xfId="6327"/>
    <cellStyle name="Note 13 2 2 4 2 3" xfId="6328"/>
    <cellStyle name="Note 13 2 2 4 3" xfId="6329"/>
    <cellStyle name="Note 13 2 2 4 3 2" xfId="6330"/>
    <cellStyle name="Note 13 2 2 4 3 2 2" xfId="6331"/>
    <cellStyle name="Note 13 2 2 4 3 3" xfId="6332"/>
    <cellStyle name="Note 13 2 2 4 4" xfId="6333"/>
    <cellStyle name="Note 13 2 2 4 4 2" xfId="6334"/>
    <cellStyle name="Note 13 2 2 4 5" xfId="6335"/>
    <cellStyle name="Note 13 2 2 4 5 2" xfId="6336"/>
    <cellStyle name="Note 13 2 2 4 6" xfId="6337"/>
    <cellStyle name="Note 13 2 2 4 6 2" xfId="6338"/>
    <cellStyle name="Note 13 2 2 4 7" xfId="6339"/>
    <cellStyle name="Note 13 2 2 5" xfId="6340"/>
    <cellStyle name="Note 13 2 2 5 2" xfId="6341"/>
    <cellStyle name="Note 13 2 2 5 2 2" xfId="6342"/>
    <cellStyle name="Note 13 2 2 5 2 2 2" xfId="6343"/>
    <cellStyle name="Note 13 2 2 5 2 3" xfId="6344"/>
    <cellStyle name="Note 13 2 2 5 3" xfId="6345"/>
    <cellStyle name="Note 13 2 2 5 3 2" xfId="6346"/>
    <cellStyle name="Note 13 2 2 5 3 2 2" xfId="6347"/>
    <cellStyle name="Note 13 2 2 5 3 3" xfId="6348"/>
    <cellStyle name="Note 13 2 2 5 4" xfId="6349"/>
    <cellStyle name="Note 13 2 2 5 4 2" xfId="6350"/>
    <cellStyle name="Note 13 2 2 5 5" xfId="6351"/>
    <cellStyle name="Note 13 2 2 5 5 2" xfId="6352"/>
    <cellStyle name="Note 13 2 2 5 6" xfId="6353"/>
    <cellStyle name="Note 13 2 2 5 6 2" xfId="6354"/>
    <cellStyle name="Note 13 2 2 5 7" xfId="6355"/>
    <cellStyle name="Note 13 2 2 6" xfId="6356"/>
    <cellStyle name="Note 13 2 2 6 2" xfId="6357"/>
    <cellStyle name="Note 13 2 2 6 2 2" xfId="6358"/>
    <cellStyle name="Note 13 2 2 6 2 2 2" xfId="6359"/>
    <cellStyle name="Note 13 2 2 6 2 3" xfId="6360"/>
    <cellStyle name="Note 13 2 2 6 3" xfId="6361"/>
    <cellStyle name="Note 13 2 2 6 3 2" xfId="6362"/>
    <cellStyle name="Note 13 2 2 6 3 2 2" xfId="6363"/>
    <cellStyle name="Note 13 2 2 6 3 3" xfId="6364"/>
    <cellStyle name="Note 13 2 2 6 4" xfId="6365"/>
    <cellStyle name="Note 13 2 2 6 4 2" xfId="6366"/>
    <cellStyle name="Note 13 2 2 6 5" xfId="6367"/>
    <cellStyle name="Note 13 2 2 6 5 2" xfId="6368"/>
    <cellStyle name="Note 13 2 2 6 6" xfId="6369"/>
    <cellStyle name="Note 13 2 2 6 6 2" xfId="6370"/>
    <cellStyle name="Note 13 2 2 6 7" xfId="6371"/>
    <cellStyle name="Note 13 2 2 7" xfId="6372"/>
    <cellStyle name="Note 13 2 2 7 2" xfId="6373"/>
    <cellStyle name="Note 13 2 2 8" xfId="6374"/>
    <cellStyle name="Note 13 2 2 8 2" xfId="6375"/>
    <cellStyle name="Note 13 2 3" xfId="6376"/>
    <cellStyle name="Note 13 2 3 2" xfId="6377"/>
    <cellStyle name="Note 13 2 3 2 2" xfId="6378"/>
    <cellStyle name="Note 13 2 3 2 2 2" xfId="6379"/>
    <cellStyle name="Note 13 2 3 2 2 2 2" xfId="6380"/>
    <cellStyle name="Note 13 2 3 2 2 2 2 2" xfId="6381"/>
    <cellStyle name="Note 13 2 3 2 2 2 3" xfId="6382"/>
    <cellStyle name="Note 13 2 3 2 2 3" xfId="6383"/>
    <cellStyle name="Note 13 2 3 2 2 3 2" xfId="6384"/>
    <cellStyle name="Note 13 2 3 2 2 3 2 2" xfId="6385"/>
    <cellStyle name="Note 13 2 3 2 2 3 3" xfId="6386"/>
    <cellStyle name="Note 13 2 3 2 2 4" xfId="6387"/>
    <cellStyle name="Note 13 2 3 2 2 4 2" xfId="6388"/>
    <cellStyle name="Note 13 2 3 2 2 5" xfId="6389"/>
    <cellStyle name="Note 13 2 3 2 2 5 2" xfId="6390"/>
    <cellStyle name="Note 13 2 3 2 2 6" xfId="6391"/>
    <cellStyle name="Note 13 2 3 2 2 6 2" xfId="6392"/>
    <cellStyle name="Note 13 2 3 2 2 7" xfId="6393"/>
    <cellStyle name="Note 13 2 3 2 3" xfId="6394"/>
    <cellStyle name="Note 13 2 3 2 3 2" xfId="6395"/>
    <cellStyle name="Note 13 2 3 2 3 2 2" xfId="6396"/>
    <cellStyle name="Note 13 2 3 2 3 2 2 2" xfId="6397"/>
    <cellStyle name="Note 13 2 3 2 3 2 3" xfId="6398"/>
    <cellStyle name="Note 13 2 3 2 3 3" xfId="6399"/>
    <cellStyle name="Note 13 2 3 2 3 3 2" xfId="6400"/>
    <cellStyle name="Note 13 2 3 2 3 3 2 2" xfId="6401"/>
    <cellStyle name="Note 13 2 3 2 3 3 3" xfId="6402"/>
    <cellStyle name="Note 13 2 3 2 3 4" xfId="6403"/>
    <cellStyle name="Note 13 2 3 2 3 4 2" xfId="6404"/>
    <cellStyle name="Note 13 2 3 2 3 5" xfId="6405"/>
    <cellStyle name="Note 13 2 3 2 3 5 2" xfId="6406"/>
    <cellStyle name="Note 13 2 3 2 3 6" xfId="6407"/>
    <cellStyle name="Note 13 2 3 2 3 6 2" xfId="6408"/>
    <cellStyle name="Note 13 2 3 2 3 7" xfId="6409"/>
    <cellStyle name="Note 13 2 3 2 4" xfId="6410"/>
    <cellStyle name="Note 13 2 3 2 4 2" xfId="6411"/>
    <cellStyle name="Note 13 2 3 2 5" xfId="6412"/>
    <cellStyle name="Note 13 2 3 2 5 2" xfId="6413"/>
    <cellStyle name="Note 13 2 3 3" xfId="6414"/>
    <cellStyle name="Note 13 2 3 3 2" xfId="6415"/>
    <cellStyle name="Note 13 2 3 3 2 2" xfId="6416"/>
    <cellStyle name="Note 13 2 3 3 2 2 2" xfId="6417"/>
    <cellStyle name="Note 13 2 3 3 2 2 2 2" xfId="6418"/>
    <cellStyle name="Note 13 2 3 3 2 2 3" xfId="6419"/>
    <cellStyle name="Note 13 2 3 3 2 3" xfId="6420"/>
    <cellStyle name="Note 13 2 3 3 2 3 2" xfId="6421"/>
    <cellStyle name="Note 13 2 3 3 2 3 2 2" xfId="6422"/>
    <cellStyle name="Note 13 2 3 3 2 3 3" xfId="6423"/>
    <cellStyle name="Note 13 2 3 3 2 4" xfId="6424"/>
    <cellStyle name="Note 13 2 3 3 2 4 2" xfId="6425"/>
    <cellStyle name="Note 13 2 3 3 2 5" xfId="6426"/>
    <cellStyle name="Note 13 2 3 3 2 5 2" xfId="6427"/>
    <cellStyle name="Note 13 2 3 3 2 6" xfId="6428"/>
    <cellStyle name="Note 13 2 3 3 2 6 2" xfId="6429"/>
    <cellStyle name="Note 13 2 3 3 2 7" xfId="6430"/>
    <cellStyle name="Note 13 2 3 3 3" xfId="6431"/>
    <cellStyle name="Note 13 2 3 3 3 2" xfId="6432"/>
    <cellStyle name="Note 13 2 3 3 3 2 2" xfId="6433"/>
    <cellStyle name="Note 13 2 3 3 3 2 2 2" xfId="6434"/>
    <cellStyle name="Note 13 2 3 3 3 2 3" xfId="6435"/>
    <cellStyle name="Note 13 2 3 3 3 3" xfId="6436"/>
    <cellStyle name="Note 13 2 3 3 3 3 2" xfId="6437"/>
    <cellStyle name="Note 13 2 3 3 3 3 2 2" xfId="6438"/>
    <cellStyle name="Note 13 2 3 3 3 3 3" xfId="6439"/>
    <cellStyle name="Note 13 2 3 3 3 4" xfId="6440"/>
    <cellStyle name="Note 13 2 3 3 3 4 2" xfId="6441"/>
    <cellStyle name="Note 13 2 3 3 3 5" xfId="6442"/>
    <cellStyle name="Note 13 2 3 3 3 5 2" xfId="6443"/>
    <cellStyle name="Note 13 2 3 3 3 6" xfId="6444"/>
    <cellStyle name="Note 13 2 3 3 3 6 2" xfId="6445"/>
    <cellStyle name="Note 13 2 3 3 3 7" xfId="6446"/>
    <cellStyle name="Note 13 2 3 3 4" xfId="6447"/>
    <cellStyle name="Note 13 2 3 3 4 2" xfId="6448"/>
    <cellStyle name="Note 13 2 3 3 5" xfId="6449"/>
    <cellStyle name="Note 13 2 3 3 5 2" xfId="6450"/>
    <cellStyle name="Note 13 2 3 4" xfId="6451"/>
    <cellStyle name="Note 13 2 3 4 2" xfId="6452"/>
    <cellStyle name="Note 13 2 3 4 2 2" xfId="6453"/>
    <cellStyle name="Note 13 2 3 4 2 2 2" xfId="6454"/>
    <cellStyle name="Note 13 2 3 4 2 3" xfId="6455"/>
    <cellStyle name="Note 13 2 3 4 3" xfId="6456"/>
    <cellStyle name="Note 13 2 3 4 3 2" xfId="6457"/>
    <cellStyle name="Note 13 2 3 4 3 2 2" xfId="6458"/>
    <cellStyle name="Note 13 2 3 4 3 3" xfId="6459"/>
    <cellStyle name="Note 13 2 3 4 4" xfId="6460"/>
    <cellStyle name="Note 13 2 3 4 4 2" xfId="6461"/>
    <cellStyle name="Note 13 2 3 4 5" xfId="6462"/>
    <cellStyle name="Note 13 2 3 4 5 2" xfId="6463"/>
    <cellStyle name="Note 13 2 3 4 6" xfId="6464"/>
    <cellStyle name="Note 13 2 3 4 6 2" xfId="6465"/>
    <cellStyle name="Note 13 2 3 4 7" xfId="6466"/>
    <cellStyle name="Note 13 2 3 5" xfId="6467"/>
    <cellStyle name="Note 13 2 3 5 2" xfId="6468"/>
    <cellStyle name="Note 13 2 3 5 2 2" xfId="6469"/>
    <cellStyle name="Note 13 2 3 5 2 2 2" xfId="6470"/>
    <cellStyle name="Note 13 2 3 5 2 3" xfId="6471"/>
    <cellStyle name="Note 13 2 3 5 3" xfId="6472"/>
    <cellStyle name="Note 13 2 3 5 3 2" xfId="6473"/>
    <cellStyle name="Note 13 2 3 5 3 2 2" xfId="6474"/>
    <cellStyle name="Note 13 2 3 5 3 3" xfId="6475"/>
    <cellStyle name="Note 13 2 3 5 4" xfId="6476"/>
    <cellStyle name="Note 13 2 3 5 4 2" xfId="6477"/>
    <cellStyle name="Note 13 2 3 5 5" xfId="6478"/>
    <cellStyle name="Note 13 2 3 5 5 2" xfId="6479"/>
    <cellStyle name="Note 13 2 3 5 6" xfId="6480"/>
    <cellStyle name="Note 13 2 3 5 6 2" xfId="6481"/>
    <cellStyle name="Note 13 2 3 5 7" xfId="6482"/>
    <cellStyle name="Note 13 2 3 6" xfId="6483"/>
    <cellStyle name="Note 13 2 3 6 2" xfId="6484"/>
    <cellStyle name="Note 13 2 3 6 2 2" xfId="6485"/>
    <cellStyle name="Note 13 2 3 6 2 2 2" xfId="6486"/>
    <cellStyle name="Note 13 2 3 6 2 3" xfId="6487"/>
    <cellStyle name="Note 13 2 3 6 3" xfId="6488"/>
    <cellStyle name="Note 13 2 3 6 3 2" xfId="6489"/>
    <cellStyle name="Note 13 2 3 6 3 2 2" xfId="6490"/>
    <cellStyle name="Note 13 2 3 6 3 3" xfId="6491"/>
    <cellStyle name="Note 13 2 3 6 4" xfId="6492"/>
    <cellStyle name="Note 13 2 3 6 4 2" xfId="6493"/>
    <cellStyle name="Note 13 2 3 6 5" xfId="6494"/>
    <cellStyle name="Note 13 2 3 6 5 2" xfId="6495"/>
    <cellStyle name="Note 13 2 3 6 6" xfId="6496"/>
    <cellStyle name="Note 13 2 3 6 6 2" xfId="6497"/>
    <cellStyle name="Note 13 2 3 6 7" xfId="6498"/>
    <cellStyle name="Note 13 2 3 7" xfId="6499"/>
    <cellStyle name="Note 13 2 3 7 2" xfId="6500"/>
    <cellStyle name="Note 13 2 3 8" xfId="6501"/>
    <cellStyle name="Note 13 2 3 8 2" xfId="6502"/>
    <cellStyle name="Note 13 2 4" xfId="6503"/>
    <cellStyle name="Note 13 2 4 2" xfId="6504"/>
    <cellStyle name="Note 13 2 4 2 2" xfId="6505"/>
    <cellStyle name="Note 13 2 4 2 2 2" xfId="6506"/>
    <cellStyle name="Note 13 2 4 2 2 2 2" xfId="6507"/>
    <cellStyle name="Note 13 2 4 2 2 2 2 2" xfId="6508"/>
    <cellStyle name="Note 13 2 4 2 2 2 3" xfId="6509"/>
    <cellStyle name="Note 13 2 4 2 2 3" xfId="6510"/>
    <cellStyle name="Note 13 2 4 2 2 3 2" xfId="6511"/>
    <cellStyle name="Note 13 2 4 2 2 3 2 2" xfId="6512"/>
    <cellStyle name="Note 13 2 4 2 2 3 3" xfId="6513"/>
    <cellStyle name="Note 13 2 4 2 2 4" xfId="6514"/>
    <cellStyle name="Note 13 2 4 2 2 4 2" xfId="6515"/>
    <cellStyle name="Note 13 2 4 2 2 5" xfId="6516"/>
    <cellStyle name="Note 13 2 4 2 2 5 2" xfId="6517"/>
    <cellStyle name="Note 13 2 4 2 2 6" xfId="6518"/>
    <cellStyle name="Note 13 2 4 2 2 6 2" xfId="6519"/>
    <cellStyle name="Note 13 2 4 2 2 7" xfId="6520"/>
    <cellStyle name="Note 13 2 4 2 3" xfId="6521"/>
    <cellStyle name="Note 13 2 4 2 3 2" xfId="6522"/>
    <cellStyle name="Note 13 2 4 2 3 2 2" xfId="6523"/>
    <cellStyle name="Note 13 2 4 2 3 2 2 2" xfId="6524"/>
    <cellStyle name="Note 13 2 4 2 3 2 3" xfId="6525"/>
    <cellStyle name="Note 13 2 4 2 3 3" xfId="6526"/>
    <cellStyle name="Note 13 2 4 2 3 3 2" xfId="6527"/>
    <cellStyle name="Note 13 2 4 2 3 3 2 2" xfId="6528"/>
    <cellStyle name="Note 13 2 4 2 3 3 3" xfId="6529"/>
    <cellStyle name="Note 13 2 4 2 3 4" xfId="6530"/>
    <cellStyle name="Note 13 2 4 2 3 4 2" xfId="6531"/>
    <cellStyle name="Note 13 2 4 2 3 5" xfId="6532"/>
    <cellStyle name="Note 13 2 4 2 3 5 2" xfId="6533"/>
    <cellStyle name="Note 13 2 4 2 3 6" xfId="6534"/>
    <cellStyle name="Note 13 2 4 2 3 6 2" xfId="6535"/>
    <cellStyle name="Note 13 2 4 2 3 7" xfId="6536"/>
    <cellStyle name="Note 13 2 4 2 4" xfId="6537"/>
    <cellStyle name="Note 13 2 4 2 4 2" xfId="6538"/>
    <cellStyle name="Note 13 2 4 2 5" xfId="6539"/>
    <cellStyle name="Note 13 2 4 2 5 2" xfId="6540"/>
    <cellStyle name="Note 13 2 4 3" xfId="6541"/>
    <cellStyle name="Note 13 2 4 3 2" xfId="6542"/>
    <cellStyle name="Note 13 2 4 3 2 2" xfId="6543"/>
    <cellStyle name="Note 13 2 4 3 2 2 2" xfId="6544"/>
    <cellStyle name="Note 13 2 4 3 2 2 2 2" xfId="6545"/>
    <cellStyle name="Note 13 2 4 3 2 2 3" xfId="6546"/>
    <cellStyle name="Note 13 2 4 3 2 3" xfId="6547"/>
    <cellStyle name="Note 13 2 4 3 2 3 2" xfId="6548"/>
    <cellStyle name="Note 13 2 4 3 2 3 2 2" xfId="6549"/>
    <cellStyle name="Note 13 2 4 3 2 3 3" xfId="6550"/>
    <cellStyle name="Note 13 2 4 3 2 4" xfId="6551"/>
    <cellStyle name="Note 13 2 4 3 2 4 2" xfId="6552"/>
    <cellStyle name="Note 13 2 4 3 2 5" xfId="6553"/>
    <cellStyle name="Note 13 2 4 3 2 5 2" xfId="6554"/>
    <cellStyle name="Note 13 2 4 3 2 6" xfId="6555"/>
    <cellStyle name="Note 13 2 4 3 2 6 2" xfId="6556"/>
    <cellStyle name="Note 13 2 4 3 2 7" xfId="6557"/>
    <cellStyle name="Note 13 2 4 3 3" xfId="6558"/>
    <cellStyle name="Note 13 2 4 3 3 2" xfId="6559"/>
    <cellStyle name="Note 13 2 4 3 3 2 2" xfId="6560"/>
    <cellStyle name="Note 13 2 4 3 3 2 2 2" xfId="6561"/>
    <cellStyle name="Note 13 2 4 3 3 2 3" xfId="6562"/>
    <cellStyle name="Note 13 2 4 3 3 3" xfId="6563"/>
    <cellStyle name="Note 13 2 4 3 3 3 2" xfId="6564"/>
    <cellStyle name="Note 13 2 4 3 3 3 2 2" xfId="6565"/>
    <cellStyle name="Note 13 2 4 3 3 3 3" xfId="6566"/>
    <cellStyle name="Note 13 2 4 3 3 4" xfId="6567"/>
    <cellStyle name="Note 13 2 4 3 3 4 2" xfId="6568"/>
    <cellStyle name="Note 13 2 4 3 3 5" xfId="6569"/>
    <cellStyle name="Note 13 2 4 3 3 5 2" xfId="6570"/>
    <cellStyle name="Note 13 2 4 3 3 6" xfId="6571"/>
    <cellStyle name="Note 13 2 4 3 3 6 2" xfId="6572"/>
    <cellStyle name="Note 13 2 4 3 3 7" xfId="6573"/>
    <cellStyle name="Note 13 2 4 3 4" xfId="6574"/>
    <cellStyle name="Note 13 2 4 3 4 2" xfId="6575"/>
    <cellStyle name="Note 13 2 4 3 5" xfId="6576"/>
    <cellStyle name="Note 13 2 4 3 5 2" xfId="6577"/>
    <cellStyle name="Note 13 2 4 4" xfId="6578"/>
    <cellStyle name="Note 13 2 4 4 2" xfId="6579"/>
    <cellStyle name="Note 13 2 4 4 2 2" xfId="6580"/>
    <cellStyle name="Note 13 2 4 4 2 2 2" xfId="6581"/>
    <cellStyle name="Note 13 2 4 4 2 3" xfId="6582"/>
    <cellStyle name="Note 13 2 4 4 3" xfId="6583"/>
    <cellStyle name="Note 13 2 4 4 3 2" xfId="6584"/>
    <cellStyle name="Note 13 2 4 4 3 2 2" xfId="6585"/>
    <cellStyle name="Note 13 2 4 4 3 3" xfId="6586"/>
    <cellStyle name="Note 13 2 4 4 4" xfId="6587"/>
    <cellStyle name="Note 13 2 4 4 4 2" xfId="6588"/>
    <cellStyle name="Note 13 2 4 4 5" xfId="6589"/>
    <cellStyle name="Note 13 2 4 4 5 2" xfId="6590"/>
    <cellStyle name="Note 13 2 4 4 6" xfId="6591"/>
    <cellStyle name="Note 13 2 4 4 6 2" xfId="6592"/>
    <cellStyle name="Note 13 2 4 4 7" xfId="6593"/>
    <cellStyle name="Note 13 2 4 5" xfId="6594"/>
    <cellStyle name="Note 13 2 4 5 2" xfId="6595"/>
    <cellStyle name="Note 13 2 4 5 2 2" xfId="6596"/>
    <cellStyle name="Note 13 2 4 5 2 2 2" xfId="6597"/>
    <cellStyle name="Note 13 2 4 5 2 3" xfId="6598"/>
    <cellStyle name="Note 13 2 4 5 3" xfId="6599"/>
    <cellStyle name="Note 13 2 4 5 3 2" xfId="6600"/>
    <cellStyle name="Note 13 2 4 5 3 2 2" xfId="6601"/>
    <cellStyle name="Note 13 2 4 5 3 3" xfId="6602"/>
    <cellStyle name="Note 13 2 4 5 4" xfId="6603"/>
    <cellStyle name="Note 13 2 4 5 4 2" xfId="6604"/>
    <cellStyle name="Note 13 2 4 5 5" xfId="6605"/>
    <cellStyle name="Note 13 2 4 5 5 2" xfId="6606"/>
    <cellStyle name="Note 13 2 4 5 6" xfId="6607"/>
    <cellStyle name="Note 13 2 4 5 6 2" xfId="6608"/>
    <cellStyle name="Note 13 2 4 5 7" xfId="6609"/>
    <cellStyle name="Note 13 2 4 6" xfId="6610"/>
    <cellStyle name="Note 13 2 4 6 2" xfId="6611"/>
    <cellStyle name="Note 13 2 4 6 2 2" xfId="6612"/>
    <cellStyle name="Note 13 2 4 6 2 2 2" xfId="6613"/>
    <cellStyle name="Note 13 2 4 6 2 3" xfId="6614"/>
    <cellStyle name="Note 13 2 4 6 3" xfId="6615"/>
    <cellStyle name="Note 13 2 4 6 3 2" xfId="6616"/>
    <cellStyle name="Note 13 2 4 6 3 2 2" xfId="6617"/>
    <cellStyle name="Note 13 2 4 6 3 3" xfId="6618"/>
    <cellStyle name="Note 13 2 4 6 4" xfId="6619"/>
    <cellStyle name="Note 13 2 4 6 4 2" xfId="6620"/>
    <cellStyle name="Note 13 2 4 6 5" xfId="6621"/>
    <cellStyle name="Note 13 2 4 6 5 2" xfId="6622"/>
    <cellStyle name="Note 13 2 4 6 6" xfId="6623"/>
    <cellStyle name="Note 13 2 4 6 6 2" xfId="6624"/>
    <cellStyle name="Note 13 2 4 6 7" xfId="6625"/>
    <cellStyle name="Note 13 2 4 7" xfId="6626"/>
    <cellStyle name="Note 13 2 4 7 2" xfId="6627"/>
    <cellStyle name="Note 13 2 4 8" xfId="6628"/>
    <cellStyle name="Note 13 2 4 8 2" xfId="6629"/>
    <cellStyle name="Note 13 2 5" xfId="6630"/>
    <cellStyle name="Note 13 2 5 2" xfId="6631"/>
    <cellStyle name="Note 13 2 5 2 2" xfId="6632"/>
    <cellStyle name="Note 13 2 5 2 2 2" xfId="6633"/>
    <cellStyle name="Note 13 2 5 2 2 2 2" xfId="6634"/>
    <cellStyle name="Note 13 2 5 2 2 2 2 2" xfId="6635"/>
    <cellStyle name="Note 13 2 5 2 2 2 3" xfId="6636"/>
    <cellStyle name="Note 13 2 5 2 2 3" xfId="6637"/>
    <cellStyle name="Note 13 2 5 2 2 3 2" xfId="6638"/>
    <cellStyle name="Note 13 2 5 2 2 3 2 2" xfId="6639"/>
    <cellStyle name="Note 13 2 5 2 2 3 3" xfId="6640"/>
    <cellStyle name="Note 13 2 5 2 2 4" xfId="6641"/>
    <cellStyle name="Note 13 2 5 2 2 4 2" xfId="6642"/>
    <cellStyle name="Note 13 2 5 2 2 5" xfId="6643"/>
    <cellStyle name="Note 13 2 5 2 2 5 2" xfId="6644"/>
    <cellStyle name="Note 13 2 5 2 2 6" xfId="6645"/>
    <cellStyle name="Note 13 2 5 2 2 6 2" xfId="6646"/>
    <cellStyle name="Note 13 2 5 2 2 7" xfId="6647"/>
    <cellStyle name="Note 13 2 5 2 3" xfId="6648"/>
    <cellStyle name="Note 13 2 5 2 3 2" xfId="6649"/>
    <cellStyle name="Note 13 2 5 2 3 2 2" xfId="6650"/>
    <cellStyle name="Note 13 2 5 2 3 2 2 2" xfId="6651"/>
    <cellStyle name="Note 13 2 5 2 3 2 3" xfId="6652"/>
    <cellStyle name="Note 13 2 5 2 3 3" xfId="6653"/>
    <cellStyle name="Note 13 2 5 2 3 3 2" xfId="6654"/>
    <cellStyle name="Note 13 2 5 2 3 3 2 2" xfId="6655"/>
    <cellStyle name="Note 13 2 5 2 3 3 3" xfId="6656"/>
    <cellStyle name="Note 13 2 5 2 3 4" xfId="6657"/>
    <cellStyle name="Note 13 2 5 2 3 4 2" xfId="6658"/>
    <cellStyle name="Note 13 2 5 2 3 5" xfId="6659"/>
    <cellStyle name="Note 13 2 5 2 3 5 2" xfId="6660"/>
    <cellStyle name="Note 13 2 5 2 3 6" xfId="6661"/>
    <cellStyle name="Note 13 2 5 2 3 6 2" xfId="6662"/>
    <cellStyle name="Note 13 2 5 2 3 7" xfId="6663"/>
    <cellStyle name="Note 13 2 5 2 4" xfId="6664"/>
    <cellStyle name="Note 13 2 5 2 4 2" xfId="6665"/>
    <cellStyle name="Note 13 2 5 2 5" xfId="6666"/>
    <cellStyle name="Note 13 2 5 2 5 2" xfId="6667"/>
    <cellStyle name="Note 13 2 5 3" xfId="6668"/>
    <cellStyle name="Note 13 2 5 3 2" xfId="6669"/>
    <cellStyle name="Note 13 2 5 3 2 2" xfId="6670"/>
    <cellStyle name="Note 13 2 5 3 2 2 2" xfId="6671"/>
    <cellStyle name="Note 13 2 5 3 2 2 2 2" xfId="6672"/>
    <cellStyle name="Note 13 2 5 3 2 2 3" xfId="6673"/>
    <cellStyle name="Note 13 2 5 3 2 3" xfId="6674"/>
    <cellStyle name="Note 13 2 5 3 2 3 2" xfId="6675"/>
    <cellStyle name="Note 13 2 5 3 2 3 2 2" xfId="6676"/>
    <cellStyle name="Note 13 2 5 3 2 3 3" xfId="6677"/>
    <cellStyle name="Note 13 2 5 3 2 4" xfId="6678"/>
    <cellStyle name="Note 13 2 5 3 2 4 2" xfId="6679"/>
    <cellStyle name="Note 13 2 5 3 2 5" xfId="6680"/>
    <cellStyle name="Note 13 2 5 3 2 5 2" xfId="6681"/>
    <cellStyle name="Note 13 2 5 3 2 6" xfId="6682"/>
    <cellStyle name="Note 13 2 5 3 2 6 2" xfId="6683"/>
    <cellStyle name="Note 13 2 5 3 2 7" xfId="6684"/>
    <cellStyle name="Note 13 2 5 3 3" xfId="6685"/>
    <cellStyle name="Note 13 2 5 3 3 2" xfId="6686"/>
    <cellStyle name="Note 13 2 5 3 3 2 2" xfId="6687"/>
    <cellStyle name="Note 13 2 5 3 3 2 2 2" xfId="6688"/>
    <cellStyle name="Note 13 2 5 3 3 2 3" xfId="6689"/>
    <cellStyle name="Note 13 2 5 3 3 3" xfId="6690"/>
    <cellStyle name="Note 13 2 5 3 3 3 2" xfId="6691"/>
    <cellStyle name="Note 13 2 5 3 3 3 2 2" xfId="6692"/>
    <cellStyle name="Note 13 2 5 3 3 3 3" xfId="6693"/>
    <cellStyle name="Note 13 2 5 3 3 4" xfId="6694"/>
    <cellStyle name="Note 13 2 5 3 3 4 2" xfId="6695"/>
    <cellStyle name="Note 13 2 5 3 3 5" xfId="6696"/>
    <cellStyle name="Note 13 2 5 3 3 5 2" xfId="6697"/>
    <cellStyle name="Note 13 2 5 3 3 6" xfId="6698"/>
    <cellStyle name="Note 13 2 5 3 3 6 2" xfId="6699"/>
    <cellStyle name="Note 13 2 5 3 3 7" xfId="6700"/>
    <cellStyle name="Note 13 2 5 3 4" xfId="6701"/>
    <cellStyle name="Note 13 2 5 3 4 2" xfId="6702"/>
    <cellStyle name="Note 13 2 5 3 5" xfId="6703"/>
    <cellStyle name="Note 13 2 5 3 5 2" xfId="6704"/>
    <cellStyle name="Note 13 2 5 4" xfId="6705"/>
    <cellStyle name="Note 13 2 5 4 2" xfId="6706"/>
    <cellStyle name="Note 13 2 5 4 2 2" xfId="6707"/>
    <cellStyle name="Note 13 2 5 4 2 2 2" xfId="6708"/>
    <cellStyle name="Note 13 2 5 4 2 3" xfId="6709"/>
    <cellStyle name="Note 13 2 5 4 3" xfId="6710"/>
    <cellStyle name="Note 13 2 5 4 3 2" xfId="6711"/>
    <cellStyle name="Note 13 2 5 4 3 2 2" xfId="6712"/>
    <cellStyle name="Note 13 2 5 4 3 3" xfId="6713"/>
    <cellStyle name="Note 13 2 5 4 4" xfId="6714"/>
    <cellStyle name="Note 13 2 5 4 4 2" xfId="6715"/>
    <cellStyle name="Note 13 2 5 4 5" xfId="6716"/>
    <cellStyle name="Note 13 2 5 4 5 2" xfId="6717"/>
    <cellStyle name="Note 13 2 5 4 6" xfId="6718"/>
    <cellStyle name="Note 13 2 5 4 6 2" xfId="6719"/>
    <cellStyle name="Note 13 2 5 4 7" xfId="6720"/>
    <cellStyle name="Note 13 2 5 5" xfId="6721"/>
    <cellStyle name="Note 13 2 5 5 2" xfId="6722"/>
    <cellStyle name="Note 13 2 5 5 2 2" xfId="6723"/>
    <cellStyle name="Note 13 2 5 5 2 2 2" xfId="6724"/>
    <cellStyle name="Note 13 2 5 5 2 3" xfId="6725"/>
    <cellStyle name="Note 13 2 5 5 3" xfId="6726"/>
    <cellStyle name="Note 13 2 5 5 3 2" xfId="6727"/>
    <cellStyle name="Note 13 2 5 5 3 2 2" xfId="6728"/>
    <cellStyle name="Note 13 2 5 5 3 3" xfId="6729"/>
    <cellStyle name="Note 13 2 5 5 4" xfId="6730"/>
    <cellStyle name="Note 13 2 5 5 4 2" xfId="6731"/>
    <cellStyle name="Note 13 2 5 5 5" xfId="6732"/>
    <cellStyle name="Note 13 2 5 5 5 2" xfId="6733"/>
    <cellStyle name="Note 13 2 5 5 6" xfId="6734"/>
    <cellStyle name="Note 13 2 5 5 6 2" xfId="6735"/>
    <cellStyle name="Note 13 2 5 5 7" xfId="6736"/>
    <cellStyle name="Note 13 2 5 6" xfId="6737"/>
    <cellStyle name="Note 13 2 5 6 2" xfId="6738"/>
    <cellStyle name="Note 13 2 5 6 2 2" xfId="6739"/>
    <cellStyle name="Note 13 2 5 6 2 2 2" xfId="6740"/>
    <cellStyle name="Note 13 2 5 6 2 3" xfId="6741"/>
    <cellStyle name="Note 13 2 5 6 3" xfId="6742"/>
    <cellStyle name="Note 13 2 5 6 3 2" xfId="6743"/>
    <cellStyle name="Note 13 2 5 6 3 2 2" xfId="6744"/>
    <cellStyle name="Note 13 2 5 6 3 3" xfId="6745"/>
    <cellStyle name="Note 13 2 5 6 4" xfId="6746"/>
    <cellStyle name="Note 13 2 5 6 4 2" xfId="6747"/>
    <cellStyle name="Note 13 2 5 6 5" xfId="6748"/>
    <cellStyle name="Note 13 2 5 6 5 2" xfId="6749"/>
    <cellStyle name="Note 13 2 5 6 6" xfId="6750"/>
    <cellStyle name="Note 13 2 5 6 6 2" xfId="6751"/>
    <cellStyle name="Note 13 2 5 6 7" xfId="6752"/>
    <cellStyle name="Note 13 2 5 7" xfId="6753"/>
    <cellStyle name="Note 13 2 5 7 2" xfId="6754"/>
    <cellStyle name="Note 13 2 5 8" xfId="6755"/>
    <cellStyle name="Note 13 2 5 8 2" xfId="6756"/>
    <cellStyle name="Note 13 2 6" xfId="6757"/>
    <cellStyle name="Note 13 2 6 2" xfId="6758"/>
    <cellStyle name="Note 13 2 6 2 2" xfId="6759"/>
    <cellStyle name="Note 13 2 6 2 2 2" xfId="6760"/>
    <cellStyle name="Note 13 2 6 2 2 2 2" xfId="6761"/>
    <cellStyle name="Note 13 2 6 2 2 2 2 2" xfId="6762"/>
    <cellStyle name="Note 13 2 6 2 2 2 3" xfId="6763"/>
    <cellStyle name="Note 13 2 6 2 2 3" xfId="6764"/>
    <cellStyle name="Note 13 2 6 2 2 3 2" xfId="6765"/>
    <cellStyle name="Note 13 2 6 2 2 3 2 2" xfId="6766"/>
    <cellStyle name="Note 13 2 6 2 2 3 3" xfId="6767"/>
    <cellStyle name="Note 13 2 6 2 2 4" xfId="6768"/>
    <cellStyle name="Note 13 2 6 2 2 4 2" xfId="6769"/>
    <cellStyle name="Note 13 2 6 2 2 5" xfId="6770"/>
    <cellStyle name="Note 13 2 6 2 2 5 2" xfId="6771"/>
    <cellStyle name="Note 13 2 6 2 2 6" xfId="6772"/>
    <cellStyle name="Note 13 2 6 2 2 6 2" xfId="6773"/>
    <cellStyle name="Note 13 2 6 2 2 7" xfId="6774"/>
    <cellStyle name="Note 13 2 6 2 3" xfId="6775"/>
    <cellStyle name="Note 13 2 6 2 3 2" xfId="6776"/>
    <cellStyle name="Note 13 2 6 2 3 2 2" xfId="6777"/>
    <cellStyle name="Note 13 2 6 2 3 2 2 2" xfId="6778"/>
    <cellStyle name="Note 13 2 6 2 3 2 3" xfId="6779"/>
    <cellStyle name="Note 13 2 6 2 3 3" xfId="6780"/>
    <cellStyle name="Note 13 2 6 2 3 3 2" xfId="6781"/>
    <cellStyle name="Note 13 2 6 2 3 3 2 2" xfId="6782"/>
    <cellStyle name="Note 13 2 6 2 3 3 3" xfId="6783"/>
    <cellStyle name="Note 13 2 6 2 3 4" xfId="6784"/>
    <cellStyle name="Note 13 2 6 2 3 4 2" xfId="6785"/>
    <cellStyle name="Note 13 2 6 2 3 5" xfId="6786"/>
    <cellStyle name="Note 13 2 6 2 3 5 2" xfId="6787"/>
    <cellStyle name="Note 13 2 6 2 3 6" xfId="6788"/>
    <cellStyle name="Note 13 2 6 2 3 6 2" xfId="6789"/>
    <cellStyle name="Note 13 2 6 2 3 7" xfId="6790"/>
    <cellStyle name="Note 13 2 6 2 4" xfId="6791"/>
    <cellStyle name="Note 13 2 6 2 4 2" xfId="6792"/>
    <cellStyle name="Note 13 2 6 2 5" xfId="6793"/>
    <cellStyle name="Note 13 2 6 2 5 2" xfId="6794"/>
    <cellStyle name="Note 13 2 6 3" xfId="6795"/>
    <cellStyle name="Note 13 2 6 3 2" xfId="6796"/>
    <cellStyle name="Note 13 2 6 3 2 2" xfId="6797"/>
    <cellStyle name="Note 13 2 6 3 2 2 2" xfId="6798"/>
    <cellStyle name="Note 13 2 6 3 2 2 2 2" xfId="6799"/>
    <cellStyle name="Note 13 2 6 3 2 2 3" xfId="6800"/>
    <cellStyle name="Note 13 2 6 3 2 3" xfId="6801"/>
    <cellStyle name="Note 13 2 6 3 2 3 2" xfId="6802"/>
    <cellStyle name="Note 13 2 6 3 2 3 2 2" xfId="6803"/>
    <cellStyle name="Note 13 2 6 3 2 3 3" xfId="6804"/>
    <cellStyle name="Note 13 2 6 3 2 4" xfId="6805"/>
    <cellStyle name="Note 13 2 6 3 2 4 2" xfId="6806"/>
    <cellStyle name="Note 13 2 6 3 2 5" xfId="6807"/>
    <cellStyle name="Note 13 2 6 3 2 5 2" xfId="6808"/>
    <cellStyle name="Note 13 2 6 3 2 6" xfId="6809"/>
    <cellStyle name="Note 13 2 6 3 2 6 2" xfId="6810"/>
    <cellStyle name="Note 13 2 6 3 2 7" xfId="6811"/>
    <cellStyle name="Note 13 2 6 3 3" xfId="6812"/>
    <cellStyle name="Note 13 2 6 3 3 2" xfId="6813"/>
    <cellStyle name="Note 13 2 6 3 3 2 2" xfId="6814"/>
    <cellStyle name="Note 13 2 6 3 3 2 2 2" xfId="6815"/>
    <cellStyle name="Note 13 2 6 3 3 2 3" xfId="6816"/>
    <cellStyle name="Note 13 2 6 3 3 3" xfId="6817"/>
    <cellStyle name="Note 13 2 6 3 3 3 2" xfId="6818"/>
    <cellStyle name="Note 13 2 6 3 3 3 2 2" xfId="6819"/>
    <cellStyle name="Note 13 2 6 3 3 3 3" xfId="6820"/>
    <cellStyle name="Note 13 2 6 3 3 4" xfId="6821"/>
    <cellStyle name="Note 13 2 6 3 3 4 2" xfId="6822"/>
    <cellStyle name="Note 13 2 6 3 3 5" xfId="6823"/>
    <cellStyle name="Note 13 2 6 3 3 5 2" xfId="6824"/>
    <cellStyle name="Note 13 2 6 3 3 6" xfId="6825"/>
    <cellStyle name="Note 13 2 6 3 3 6 2" xfId="6826"/>
    <cellStyle name="Note 13 2 6 3 3 7" xfId="6827"/>
    <cellStyle name="Note 13 2 6 3 4" xfId="6828"/>
    <cellStyle name="Note 13 2 6 3 4 2" xfId="6829"/>
    <cellStyle name="Note 13 2 6 3 5" xfId="6830"/>
    <cellStyle name="Note 13 2 6 3 5 2" xfId="6831"/>
    <cellStyle name="Note 13 2 6 4" xfId="6832"/>
    <cellStyle name="Note 13 2 6 4 2" xfId="6833"/>
    <cellStyle name="Note 13 2 6 4 2 2" xfId="6834"/>
    <cellStyle name="Note 13 2 6 4 2 2 2" xfId="6835"/>
    <cellStyle name="Note 13 2 6 4 2 3" xfId="6836"/>
    <cellStyle name="Note 13 2 6 4 3" xfId="6837"/>
    <cellStyle name="Note 13 2 6 4 3 2" xfId="6838"/>
    <cellStyle name="Note 13 2 6 4 3 2 2" xfId="6839"/>
    <cellStyle name="Note 13 2 6 4 3 3" xfId="6840"/>
    <cellStyle name="Note 13 2 6 4 4" xfId="6841"/>
    <cellStyle name="Note 13 2 6 4 4 2" xfId="6842"/>
    <cellStyle name="Note 13 2 6 4 5" xfId="6843"/>
    <cellStyle name="Note 13 2 6 4 5 2" xfId="6844"/>
    <cellStyle name="Note 13 2 6 4 6" xfId="6845"/>
    <cellStyle name="Note 13 2 6 4 6 2" xfId="6846"/>
    <cellStyle name="Note 13 2 6 4 7" xfId="6847"/>
    <cellStyle name="Note 13 2 6 5" xfId="6848"/>
    <cellStyle name="Note 13 2 6 5 2" xfId="6849"/>
    <cellStyle name="Note 13 2 6 5 2 2" xfId="6850"/>
    <cellStyle name="Note 13 2 6 5 2 2 2" xfId="6851"/>
    <cellStyle name="Note 13 2 6 5 2 3" xfId="6852"/>
    <cellStyle name="Note 13 2 6 5 3" xfId="6853"/>
    <cellStyle name="Note 13 2 6 5 3 2" xfId="6854"/>
    <cellStyle name="Note 13 2 6 5 3 2 2" xfId="6855"/>
    <cellStyle name="Note 13 2 6 5 3 3" xfId="6856"/>
    <cellStyle name="Note 13 2 6 5 4" xfId="6857"/>
    <cellStyle name="Note 13 2 6 5 4 2" xfId="6858"/>
    <cellStyle name="Note 13 2 6 5 5" xfId="6859"/>
    <cellStyle name="Note 13 2 6 5 5 2" xfId="6860"/>
    <cellStyle name="Note 13 2 6 5 6" xfId="6861"/>
    <cellStyle name="Note 13 2 6 5 6 2" xfId="6862"/>
    <cellStyle name="Note 13 2 6 5 7" xfId="6863"/>
    <cellStyle name="Note 13 2 6 6" xfId="6864"/>
    <cellStyle name="Note 13 2 6 6 2" xfId="6865"/>
    <cellStyle name="Note 13 2 6 6 2 2" xfId="6866"/>
    <cellStyle name="Note 13 2 6 6 2 2 2" xfId="6867"/>
    <cellStyle name="Note 13 2 6 6 2 3" xfId="6868"/>
    <cellStyle name="Note 13 2 6 6 3" xfId="6869"/>
    <cellStyle name="Note 13 2 6 6 3 2" xfId="6870"/>
    <cellStyle name="Note 13 2 6 6 3 2 2" xfId="6871"/>
    <cellStyle name="Note 13 2 6 6 3 3" xfId="6872"/>
    <cellStyle name="Note 13 2 6 6 4" xfId="6873"/>
    <cellStyle name="Note 13 2 6 6 4 2" xfId="6874"/>
    <cellStyle name="Note 13 2 6 6 5" xfId="6875"/>
    <cellStyle name="Note 13 2 6 6 5 2" xfId="6876"/>
    <cellStyle name="Note 13 2 6 6 6" xfId="6877"/>
    <cellStyle name="Note 13 2 6 6 6 2" xfId="6878"/>
    <cellStyle name="Note 13 2 6 6 7" xfId="6879"/>
    <cellStyle name="Note 13 2 6 7" xfId="6880"/>
    <cellStyle name="Note 13 2 6 7 2" xfId="6881"/>
    <cellStyle name="Note 13 2 6 8" xfId="6882"/>
    <cellStyle name="Note 13 2 6 8 2" xfId="6883"/>
    <cellStyle name="Note 13 2 7" xfId="6884"/>
    <cellStyle name="Note 13 2 7 2" xfId="6885"/>
    <cellStyle name="Note 13 2 7 2 2" xfId="6886"/>
    <cellStyle name="Note 13 2 7 2 2 2" xfId="6887"/>
    <cellStyle name="Note 13 2 7 2 2 2 2" xfId="6888"/>
    <cellStyle name="Note 13 2 7 2 2 2 2 2" xfId="6889"/>
    <cellStyle name="Note 13 2 7 2 2 2 3" xfId="6890"/>
    <cellStyle name="Note 13 2 7 2 2 3" xfId="6891"/>
    <cellStyle name="Note 13 2 7 2 2 3 2" xfId="6892"/>
    <cellStyle name="Note 13 2 7 2 2 3 2 2" xfId="6893"/>
    <cellStyle name="Note 13 2 7 2 2 3 3" xfId="6894"/>
    <cellStyle name="Note 13 2 7 2 2 4" xfId="6895"/>
    <cellStyle name="Note 13 2 7 2 2 4 2" xfId="6896"/>
    <cellStyle name="Note 13 2 7 2 2 5" xfId="6897"/>
    <cellStyle name="Note 13 2 7 2 2 5 2" xfId="6898"/>
    <cellStyle name="Note 13 2 7 2 2 6" xfId="6899"/>
    <cellStyle name="Note 13 2 7 2 2 6 2" xfId="6900"/>
    <cellStyle name="Note 13 2 7 2 2 7" xfId="6901"/>
    <cellStyle name="Note 13 2 7 2 3" xfId="6902"/>
    <cellStyle name="Note 13 2 7 2 3 2" xfId="6903"/>
    <cellStyle name="Note 13 2 7 2 3 2 2" xfId="6904"/>
    <cellStyle name="Note 13 2 7 2 3 2 2 2" xfId="6905"/>
    <cellStyle name="Note 13 2 7 2 3 2 3" xfId="6906"/>
    <cellStyle name="Note 13 2 7 2 3 3" xfId="6907"/>
    <cellStyle name="Note 13 2 7 2 3 3 2" xfId="6908"/>
    <cellStyle name="Note 13 2 7 2 3 3 2 2" xfId="6909"/>
    <cellStyle name="Note 13 2 7 2 3 3 3" xfId="6910"/>
    <cellStyle name="Note 13 2 7 2 3 4" xfId="6911"/>
    <cellStyle name="Note 13 2 7 2 3 4 2" xfId="6912"/>
    <cellStyle name="Note 13 2 7 2 3 5" xfId="6913"/>
    <cellStyle name="Note 13 2 7 2 3 5 2" xfId="6914"/>
    <cellStyle name="Note 13 2 7 2 3 6" xfId="6915"/>
    <cellStyle name="Note 13 2 7 2 3 6 2" xfId="6916"/>
    <cellStyle name="Note 13 2 7 2 3 7" xfId="6917"/>
    <cellStyle name="Note 13 2 7 2 4" xfId="6918"/>
    <cellStyle name="Note 13 2 7 2 4 2" xfId="6919"/>
    <cellStyle name="Note 13 2 7 2 5" xfId="6920"/>
    <cellStyle name="Note 13 2 7 2 5 2" xfId="6921"/>
    <cellStyle name="Note 13 2 7 3" xfId="6922"/>
    <cellStyle name="Note 13 2 7 3 2" xfId="6923"/>
    <cellStyle name="Note 13 2 7 3 2 2" xfId="6924"/>
    <cellStyle name="Note 13 2 7 3 2 2 2" xfId="6925"/>
    <cellStyle name="Note 13 2 7 3 2 2 2 2" xfId="6926"/>
    <cellStyle name="Note 13 2 7 3 2 2 3" xfId="6927"/>
    <cellStyle name="Note 13 2 7 3 2 3" xfId="6928"/>
    <cellStyle name="Note 13 2 7 3 2 3 2" xfId="6929"/>
    <cellStyle name="Note 13 2 7 3 2 3 2 2" xfId="6930"/>
    <cellStyle name="Note 13 2 7 3 2 3 3" xfId="6931"/>
    <cellStyle name="Note 13 2 7 3 2 4" xfId="6932"/>
    <cellStyle name="Note 13 2 7 3 2 4 2" xfId="6933"/>
    <cellStyle name="Note 13 2 7 3 2 5" xfId="6934"/>
    <cellStyle name="Note 13 2 7 3 2 5 2" xfId="6935"/>
    <cellStyle name="Note 13 2 7 3 2 6" xfId="6936"/>
    <cellStyle name="Note 13 2 7 3 2 6 2" xfId="6937"/>
    <cellStyle name="Note 13 2 7 3 2 7" xfId="6938"/>
    <cellStyle name="Note 13 2 7 3 3" xfId="6939"/>
    <cellStyle name="Note 13 2 7 3 3 2" xfId="6940"/>
    <cellStyle name="Note 13 2 7 3 3 2 2" xfId="6941"/>
    <cellStyle name="Note 13 2 7 3 3 2 2 2" xfId="6942"/>
    <cellStyle name="Note 13 2 7 3 3 2 3" xfId="6943"/>
    <cellStyle name="Note 13 2 7 3 3 3" xfId="6944"/>
    <cellStyle name="Note 13 2 7 3 3 3 2" xfId="6945"/>
    <cellStyle name="Note 13 2 7 3 3 3 2 2" xfId="6946"/>
    <cellStyle name="Note 13 2 7 3 3 3 3" xfId="6947"/>
    <cellStyle name="Note 13 2 7 3 3 4" xfId="6948"/>
    <cellStyle name="Note 13 2 7 3 3 4 2" xfId="6949"/>
    <cellStyle name="Note 13 2 7 3 3 5" xfId="6950"/>
    <cellStyle name="Note 13 2 7 3 3 5 2" xfId="6951"/>
    <cellStyle name="Note 13 2 7 3 3 6" xfId="6952"/>
    <cellStyle name="Note 13 2 7 3 3 6 2" xfId="6953"/>
    <cellStyle name="Note 13 2 7 3 3 7" xfId="6954"/>
    <cellStyle name="Note 13 2 7 3 4" xfId="6955"/>
    <cellStyle name="Note 13 2 7 3 4 2" xfId="6956"/>
    <cellStyle name="Note 13 2 7 3 5" xfId="6957"/>
    <cellStyle name="Note 13 2 7 3 5 2" xfId="6958"/>
    <cellStyle name="Note 13 2 7 4" xfId="6959"/>
    <cellStyle name="Note 13 2 7 4 2" xfId="6960"/>
    <cellStyle name="Note 13 2 7 4 2 2" xfId="6961"/>
    <cellStyle name="Note 13 2 7 4 2 2 2" xfId="6962"/>
    <cellStyle name="Note 13 2 7 4 2 3" xfId="6963"/>
    <cellStyle name="Note 13 2 7 4 3" xfId="6964"/>
    <cellStyle name="Note 13 2 7 4 3 2" xfId="6965"/>
    <cellStyle name="Note 13 2 7 4 3 2 2" xfId="6966"/>
    <cellStyle name="Note 13 2 7 4 3 3" xfId="6967"/>
    <cellStyle name="Note 13 2 7 4 4" xfId="6968"/>
    <cellStyle name="Note 13 2 7 4 4 2" xfId="6969"/>
    <cellStyle name="Note 13 2 7 4 5" xfId="6970"/>
    <cellStyle name="Note 13 2 7 4 5 2" xfId="6971"/>
    <cellStyle name="Note 13 2 7 4 6" xfId="6972"/>
    <cellStyle name="Note 13 2 7 4 6 2" xfId="6973"/>
    <cellStyle name="Note 13 2 7 4 7" xfId="6974"/>
    <cellStyle name="Note 13 2 7 5" xfId="6975"/>
    <cellStyle name="Note 13 2 7 5 2" xfId="6976"/>
    <cellStyle name="Note 13 2 7 5 2 2" xfId="6977"/>
    <cellStyle name="Note 13 2 7 5 2 2 2" xfId="6978"/>
    <cellStyle name="Note 13 2 7 5 2 3" xfId="6979"/>
    <cellStyle name="Note 13 2 7 5 3" xfId="6980"/>
    <cellStyle name="Note 13 2 7 5 3 2" xfId="6981"/>
    <cellStyle name="Note 13 2 7 5 3 2 2" xfId="6982"/>
    <cellStyle name="Note 13 2 7 5 3 3" xfId="6983"/>
    <cellStyle name="Note 13 2 7 5 4" xfId="6984"/>
    <cellStyle name="Note 13 2 7 5 4 2" xfId="6985"/>
    <cellStyle name="Note 13 2 7 5 5" xfId="6986"/>
    <cellStyle name="Note 13 2 7 5 5 2" xfId="6987"/>
    <cellStyle name="Note 13 2 7 5 6" xfId="6988"/>
    <cellStyle name="Note 13 2 7 5 6 2" xfId="6989"/>
    <cellStyle name="Note 13 2 7 5 7" xfId="6990"/>
    <cellStyle name="Note 13 2 7 6" xfId="6991"/>
    <cellStyle name="Note 13 2 7 6 2" xfId="6992"/>
    <cellStyle name="Note 13 2 7 7" xfId="6993"/>
    <cellStyle name="Note 13 2 7 7 2" xfId="6994"/>
    <cellStyle name="Note 13 2 8" xfId="6995"/>
    <cellStyle name="Note 13 2 8 2" xfId="6996"/>
    <cellStyle name="Note 13 2 8 2 2" xfId="6997"/>
    <cellStyle name="Note 13 2 8 2 2 2" xfId="6998"/>
    <cellStyle name="Note 13 2 8 2 2 2 2" xfId="6999"/>
    <cellStyle name="Note 13 2 8 2 2 3" xfId="7000"/>
    <cellStyle name="Note 13 2 8 2 3" xfId="7001"/>
    <cellStyle name="Note 13 2 8 2 3 2" xfId="7002"/>
    <cellStyle name="Note 13 2 8 2 3 2 2" xfId="7003"/>
    <cellStyle name="Note 13 2 8 2 3 3" xfId="7004"/>
    <cellStyle name="Note 13 2 8 2 4" xfId="7005"/>
    <cellStyle name="Note 13 2 8 2 4 2" xfId="7006"/>
    <cellStyle name="Note 13 2 8 2 5" xfId="7007"/>
    <cellStyle name="Note 13 2 8 2 5 2" xfId="7008"/>
    <cellStyle name="Note 13 2 8 2 6" xfId="7009"/>
    <cellStyle name="Note 13 2 8 2 6 2" xfId="7010"/>
    <cellStyle name="Note 13 2 8 2 7" xfId="7011"/>
    <cellStyle name="Note 13 2 8 3" xfId="7012"/>
    <cellStyle name="Note 13 2 8 3 2" xfId="7013"/>
    <cellStyle name="Note 13 2 8 3 2 2" xfId="7014"/>
    <cellStyle name="Note 13 2 8 3 2 2 2" xfId="7015"/>
    <cellStyle name="Note 13 2 8 3 2 3" xfId="7016"/>
    <cellStyle name="Note 13 2 8 3 3" xfId="7017"/>
    <cellStyle name="Note 13 2 8 3 3 2" xfId="7018"/>
    <cellStyle name="Note 13 2 8 3 3 2 2" xfId="7019"/>
    <cellStyle name="Note 13 2 8 3 3 3" xfId="7020"/>
    <cellStyle name="Note 13 2 8 3 4" xfId="7021"/>
    <cellStyle name="Note 13 2 8 3 4 2" xfId="7022"/>
    <cellStyle name="Note 13 2 8 3 5" xfId="7023"/>
    <cellStyle name="Note 13 2 8 3 5 2" xfId="7024"/>
    <cellStyle name="Note 13 2 8 3 6" xfId="7025"/>
    <cellStyle name="Note 13 2 8 3 6 2" xfId="7026"/>
    <cellStyle name="Note 13 2 8 3 7" xfId="7027"/>
    <cellStyle name="Note 13 2 8 4" xfId="7028"/>
    <cellStyle name="Note 13 2 8 4 2" xfId="7029"/>
    <cellStyle name="Note 13 2 8 5" xfId="7030"/>
    <cellStyle name="Note 13 2 8 5 2" xfId="7031"/>
    <cellStyle name="Note 13 2 9" xfId="7032"/>
    <cellStyle name="Note 13 2 9 2" xfId="7033"/>
    <cellStyle name="Note 13 2 9 2 2" xfId="7034"/>
    <cellStyle name="Note 13 2 9 2 2 2" xfId="7035"/>
    <cellStyle name="Note 13 2 9 2 2 2 2" xfId="7036"/>
    <cellStyle name="Note 13 2 9 2 2 3" xfId="7037"/>
    <cellStyle name="Note 13 2 9 2 3" xfId="7038"/>
    <cellStyle name="Note 13 2 9 2 3 2" xfId="7039"/>
    <cellStyle name="Note 13 2 9 2 3 2 2" xfId="7040"/>
    <cellStyle name="Note 13 2 9 2 3 3" xfId="7041"/>
    <cellStyle name="Note 13 2 9 2 4" xfId="7042"/>
    <cellStyle name="Note 13 2 9 2 4 2" xfId="7043"/>
    <cellStyle name="Note 13 2 9 2 5" xfId="7044"/>
    <cellStyle name="Note 13 2 9 2 5 2" xfId="7045"/>
    <cellStyle name="Note 13 2 9 2 6" xfId="7046"/>
    <cellStyle name="Note 13 2 9 2 6 2" xfId="7047"/>
    <cellStyle name="Note 13 2 9 2 7" xfId="7048"/>
    <cellStyle name="Note 13 2 9 3" xfId="7049"/>
    <cellStyle name="Note 13 2 9 3 2" xfId="7050"/>
    <cellStyle name="Note 13 2 9 3 2 2" xfId="7051"/>
    <cellStyle name="Note 13 2 9 3 2 2 2" xfId="7052"/>
    <cellStyle name="Note 13 2 9 3 2 3" xfId="7053"/>
    <cellStyle name="Note 13 2 9 3 3" xfId="7054"/>
    <cellStyle name="Note 13 2 9 3 3 2" xfId="7055"/>
    <cellStyle name="Note 13 2 9 3 3 2 2" xfId="7056"/>
    <cellStyle name="Note 13 2 9 3 3 3" xfId="7057"/>
    <cellStyle name="Note 13 2 9 3 4" xfId="7058"/>
    <cellStyle name="Note 13 2 9 3 4 2" xfId="7059"/>
    <cellStyle name="Note 13 2 9 3 5" xfId="7060"/>
    <cellStyle name="Note 13 2 9 3 5 2" xfId="7061"/>
    <cellStyle name="Note 13 2 9 3 6" xfId="7062"/>
    <cellStyle name="Note 13 2 9 3 6 2" xfId="7063"/>
    <cellStyle name="Note 13 2 9 3 7" xfId="7064"/>
    <cellStyle name="Note 13 2 9 4" xfId="7065"/>
    <cellStyle name="Note 13 2 9 4 2" xfId="7066"/>
    <cellStyle name="Note 13 2 9 5" xfId="7067"/>
    <cellStyle name="Note 13 2 9 5 2" xfId="7068"/>
    <cellStyle name="Note 13 3" xfId="7069"/>
    <cellStyle name="Note 13 3 2" xfId="7070"/>
    <cellStyle name="Note 13 3 2 2" xfId="7071"/>
    <cellStyle name="Note 13 3 2 2 2" xfId="7072"/>
    <cellStyle name="Note 13 3 2 2 2 2" xfId="7073"/>
    <cellStyle name="Note 13 3 2 2 3" xfId="7074"/>
    <cellStyle name="Note 13 3 2 3" xfId="7075"/>
    <cellStyle name="Note 13 3 2 3 2" xfId="7076"/>
    <cellStyle name="Note 13 3 2 3 2 2" xfId="7077"/>
    <cellStyle name="Note 13 3 2 3 3" xfId="7078"/>
    <cellStyle name="Note 13 3 2 4" xfId="7079"/>
    <cellStyle name="Note 13 3 2 4 2" xfId="7080"/>
    <cellStyle name="Note 13 3 2 5" xfId="7081"/>
    <cellStyle name="Note 13 3 2 5 2" xfId="7082"/>
    <cellStyle name="Note 13 3 2 6" xfId="7083"/>
    <cellStyle name="Note 13 3 2 6 2" xfId="7084"/>
    <cellStyle name="Note 13 3 2 7" xfId="7085"/>
    <cellStyle name="Note 13 3 3" xfId="7086"/>
    <cellStyle name="Note 13 3 3 2" xfId="7087"/>
    <cellStyle name="Note 13 3 3 2 2" xfId="7088"/>
    <cellStyle name="Note 13 3 3 2 2 2" xfId="7089"/>
    <cellStyle name="Note 13 3 3 2 3" xfId="7090"/>
    <cellStyle name="Note 13 3 3 3" xfId="7091"/>
    <cellStyle name="Note 13 3 3 3 2" xfId="7092"/>
    <cellStyle name="Note 13 3 3 3 2 2" xfId="7093"/>
    <cellStyle name="Note 13 3 3 3 3" xfId="7094"/>
    <cellStyle name="Note 13 3 3 4" xfId="7095"/>
    <cellStyle name="Note 13 3 3 4 2" xfId="7096"/>
    <cellStyle name="Note 13 3 3 5" xfId="7097"/>
    <cellStyle name="Note 13 3 3 5 2" xfId="7098"/>
    <cellStyle name="Note 13 3 3 6" xfId="7099"/>
    <cellStyle name="Note 13 3 3 6 2" xfId="7100"/>
    <cellStyle name="Note 13 3 3 7" xfId="7101"/>
    <cellStyle name="Note 13 3 4" xfId="7102"/>
    <cellStyle name="Note 13 3 4 2" xfId="7103"/>
    <cellStyle name="Note 13 3 5" xfId="7104"/>
    <cellStyle name="Note 13 3 5 2" xfId="7105"/>
    <cellStyle name="Note 13 4" xfId="7106"/>
    <cellStyle name="Note 13 4 2" xfId="7107"/>
    <cellStyle name="Note 13 4 2 2" xfId="7108"/>
    <cellStyle name="Note 13 4 2 2 2" xfId="7109"/>
    <cellStyle name="Note 13 4 2 2 2 2" xfId="7110"/>
    <cellStyle name="Note 13 4 2 2 3" xfId="7111"/>
    <cellStyle name="Note 13 4 2 3" xfId="7112"/>
    <cellStyle name="Note 13 4 2 3 2" xfId="7113"/>
    <cellStyle name="Note 13 4 2 3 2 2" xfId="7114"/>
    <cellStyle name="Note 13 4 2 3 3" xfId="7115"/>
    <cellStyle name="Note 13 4 2 4" xfId="7116"/>
    <cellStyle name="Note 13 4 2 4 2" xfId="7117"/>
    <cellStyle name="Note 13 4 2 5" xfId="7118"/>
    <cellStyle name="Note 13 4 2 5 2" xfId="7119"/>
    <cellStyle name="Note 13 4 2 6" xfId="7120"/>
    <cellStyle name="Note 13 4 2 6 2" xfId="7121"/>
    <cellStyle name="Note 13 4 2 7" xfId="7122"/>
    <cellStyle name="Note 13 4 3" xfId="7123"/>
    <cellStyle name="Note 13 4 3 2" xfId="7124"/>
    <cellStyle name="Note 13 4 3 2 2" xfId="7125"/>
    <cellStyle name="Note 13 4 3 2 2 2" xfId="7126"/>
    <cellStyle name="Note 13 4 3 2 3" xfId="7127"/>
    <cellStyle name="Note 13 4 3 3" xfId="7128"/>
    <cellStyle name="Note 13 4 3 3 2" xfId="7129"/>
    <cellStyle name="Note 13 4 3 3 2 2" xfId="7130"/>
    <cellStyle name="Note 13 4 3 3 3" xfId="7131"/>
    <cellStyle name="Note 13 4 3 4" xfId="7132"/>
    <cellStyle name="Note 13 4 3 4 2" xfId="7133"/>
    <cellStyle name="Note 13 4 3 5" xfId="7134"/>
    <cellStyle name="Note 13 4 3 5 2" xfId="7135"/>
    <cellStyle name="Note 13 4 3 6" xfId="7136"/>
    <cellStyle name="Note 13 4 3 6 2" xfId="7137"/>
    <cellStyle name="Note 13 4 3 7" xfId="7138"/>
    <cellStyle name="Note 13 4 4" xfId="7139"/>
    <cellStyle name="Note 13 4 4 2" xfId="7140"/>
    <cellStyle name="Note 13 4 5" xfId="7141"/>
    <cellStyle name="Note 13 4 5 2" xfId="7142"/>
    <cellStyle name="Note 13 5" xfId="7143"/>
    <cellStyle name="Note 13 5 2" xfId="7144"/>
    <cellStyle name="Note 13 5 2 2" xfId="7145"/>
    <cellStyle name="Note 13 5 2 2 2" xfId="7146"/>
    <cellStyle name="Note 13 5 2 3" xfId="7147"/>
    <cellStyle name="Note 13 5 3" xfId="7148"/>
    <cellStyle name="Note 13 5 3 2" xfId="7149"/>
    <cellStyle name="Note 13 5 3 2 2" xfId="7150"/>
    <cellStyle name="Note 13 5 3 3" xfId="7151"/>
    <cellStyle name="Note 13 5 4" xfId="7152"/>
    <cellStyle name="Note 13 5 4 2" xfId="7153"/>
    <cellStyle name="Note 13 5 5" xfId="7154"/>
    <cellStyle name="Note 13 5 5 2" xfId="7155"/>
    <cellStyle name="Note 13 5 6" xfId="7156"/>
    <cellStyle name="Note 13 5 6 2" xfId="7157"/>
    <cellStyle name="Note 13 5 7" xfId="7158"/>
    <cellStyle name="Note 13 6" xfId="7159"/>
    <cellStyle name="Note 13 6 2" xfId="7160"/>
    <cellStyle name="Note 13 6 2 2" xfId="7161"/>
    <cellStyle name="Note 13 6 2 2 2" xfId="7162"/>
    <cellStyle name="Note 13 6 2 3" xfId="7163"/>
    <cellStyle name="Note 13 6 3" xfId="7164"/>
    <cellStyle name="Note 13 6 3 2" xfId="7165"/>
    <cellStyle name="Note 13 6 3 2 2" xfId="7166"/>
    <cellStyle name="Note 13 6 3 3" xfId="7167"/>
    <cellStyle name="Note 13 6 4" xfId="7168"/>
    <cellStyle name="Note 13 6 4 2" xfId="7169"/>
    <cellStyle name="Note 13 6 5" xfId="7170"/>
    <cellStyle name="Note 13 6 5 2" xfId="7171"/>
    <cellStyle name="Note 13 6 6" xfId="7172"/>
    <cellStyle name="Note 13 6 6 2" xfId="7173"/>
    <cellStyle name="Note 13 6 7" xfId="7174"/>
    <cellStyle name="Note 13 7" xfId="7175"/>
    <cellStyle name="Note 13 7 2" xfId="7176"/>
    <cellStyle name="Note 13 8" xfId="7177"/>
    <cellStyle name="Note 13 8 2" xfId="7178"/>
    <cellStyle name="Note 13 9" xfId="7179"/>
    <cellStyle name="Note 13 9 2" xfId="7180"/>
    <cellStyle name="Note 14" xfId="288"/>
    <cellStyle name="Note 14 2" xfId="7181"/>
    <cellStyle name="Note 14 2 10" xfId="7182"/>
    <cellStyle name="Note 14 2 10 2" xfId="7183"/>
    <cellStyle name="Note 14 2 10 2 2" xfId="7184"/>
    <cellStyle name="Note 14 2 10 2 2 2" xfId="7185"/>
    <cellStyle name="Note 14 2 10 2 3" xfId="7186"/>
    <cellStyle name="Note 14 2 10 3" xfId="7187"/>
    <cellStyle name="Note 14 2 10 3 2" xfId="7188"/>
    <cellStyle name="Note 14 2 10 3 2 2" xfId="7189"/>
    <cellStyle name="Note 14 2 10 3 3" xfId="7190"/>
    <cellStyle name="Note 14 2 10 4" xfId="7191"/>
    <cellStyle name="Note 14 2 10 4 2" xfId="7192"/>
    <cellStyle name="Note 14 2 10 5" xfId="7193"/>
    <cellStyle name="Note 14 2 10 5 2" xfId="7194"/>
    <cellStyle name="Note 14 2 10 6" xfId="7195"/>
    <cellStyle name="Note 14 2 10 6 2" xfId="7196"/>
    <cellStyle name="Note 14 2 10 7" xfId="7197"/>
    <cellStyle name="Note 14 2 11" xfId="7198"/>
    <cellStyle name="Note 14 2 11 2" xfId="7199"/>
    <cellStyle name="Note 14 2 11 2 2" xfId="7200"/>
    <cellStyle name="Note 14 2 11 2 2 2" xfId="7201"/>
    <cellStyle name="Note 14 2 11 2 3" xfId="7202"/>
    <cellStyle name="Note 14 2 11 3" xfId="7203"/>
    <cellStyle name="Note 14 2 11 3 2" xfId="7204"/>
    <cellStyle name="Note 14 2 11 3 2 2" xfId="7205"/>
    <cellStyle name="Note 14 2 11 3 3" xfId="7206"/>
    <cellStyle name="Note 14 2 11 4" xfId="7207"/>
    <cellStyle name="Note 14 2 11 4 2" xfId="7208"/>
    <cellStyle name="Note 14 2 11 5" xfId="7209"/>
    <cellStyle name="Note 14 2 11 5 2" xfId="7210"/>
    <cellStyle name="Note 14 2 11 6" xfId="7211"/>
    <cellStyle name="Note 14 2 11 6 2" xfId="7212"/>
    <cellStyle name="Note 14 2 11 7" xfId="7213"/>
    <cellStyle name="Note 14 2 12" xfId="7214"/>
    <cellStyle name="Note 14 2 12 2" xfId="7215"/>
    <cellStyle name="Note 14 2 13" xfId="7216"/>
    <cellStyle name="Note 14 2 13 2" xfId="7217"/>
    <cellStyle name="Note 14 2 2" xfId="7218"/>
    <cellStyle name="Note 14 2 2 2" xfId="7219"/>
    <cellStyle name="Note 14 2 2 2 2" xfId="7220"/>
    <cellStyle name="Note 14 2 2 2 2 2" xfId="7221"/>
    <cellStyle name="Note 14 2 2 2 2 2 2" xfId="7222"/>
    <cellStyle name="Note 14 2 2 2 2 2 2 2" xfId="7223"/>
    <cellStyle name="Note 14 2 2 2 2 2 3" xfId="7224"/>
    <cellStyle name="Note 14 2 2 2 2 3" xfId="7225"/>
    <cellStyle name="Note 14 2 2 2 2 3 2" xfId="7226"/>
    <cellStyle name="Note 14 2 2 2 2 3 2 2" xfId="7227"/>
    <cellStyle name="Note 14 2 2 2 2 3 3" xfId="7228"/>
    <cellStyle name="Note 14 2 2 2 2 4" xfId="7229"/>
    <cellStyle name="Note 14 2 2 2 2 4 2" xfId="7230"/>
    <cellStyle name="Note 14 2 2 2 2 5" xfId="7231"/>
    <cellStyle name="Note 14 2 2 2 2 5 2" xfId="7232"/>
    <cellStyle name="Note 14 2 2 2 2 6" xfId="7233"/>
    <cellStyle name="Note 14 2 2 2 2 6 2" xfId="7234"/>
    <cellStyle name="Note 14 2 2 2 2 7" xfId="7235"/>
    <cellStyle name="Note 14 2 2 2 3" xfId="7236"/>
    <cellStyle name="Note 14 2 2 2 3 2" xfId="7237"/>
    <cellStyle name="Note 14 2 2 2 3 2 2" xfId="7238"/>
    <cellStyle name="Note 14 2 2 2 3 2 2 2" xfId="7239"/>
    <cellStyle name="Note 14 2 2 2 3 2 3" xfId="7240"/>
    <cellStyle name="Note 14 2 2 2 3 3" xfId="7241"/>
    <cellStyle name="Note 14 2 2 2 3 3 2" xfId="7242"/>
    <cellStyle name="Note 14 2 2 2 3 3 2 2" xfId="7243"/>
    <cellStyle name="Note 14 2 2 2 3 3 3" xfId="7244"/>
    <cellStyle name="Note 14 2 2 2 3 4" xfId="7245"/>
    <cellStyle name="Note 14 2 2 2 3 4 2" xfId="7246"/>
    <cellStyle name="Note 14 2 2 2 3 5" xfId="7247"/>
    <cellStyle name="Note 14 2 2 2 3 5 2" xfId="7248"/>
    <cellStyle name="Note 14 2 2 2 3 6" xfId="7249"/>
    <cellStyle name="Note 14 2 2 2 3 6 2" xfId="7250"/>
    <cellStyle name="Note 14 2 2 2 3 7" xfId="7251"/>
    <cellStyle name="Note 14 2 2 2 4" xfId="7252"/>
    <cellStyle name="Note 14 2 2 2 4 2" xfId="7253"/>
    <cellStyle name="Note 14 2 2 2 5" xfId="7254"/>
    <cellStyle name="Note 14 2 2 2 5 2" xfId="7255"/>
    <cellStyle name="Note 14 2 2 3" xfId="7256"/>
    <cellStyle name="Note 14 2 2 3 2" xfId="7257"/>
    <cellStyle name="Note 14 2 2 3 2 2" xfId="7258"/>
    <cellStyle name="Note 14 2 2 3 2 2 2" xfId="7259"/>
    <cellStyle name="Note 14 2 2 3 2 2 2 2" xfId="7260"/>
    <cellStyle name="Note 14 2 2 3 2 2 3" xfId="7261"/>
    <cellStyle name="Note 14 2 2 3 2 3" xfId="7262"/>
    <cellStyle name="Note 14 2 2 3 2 3 2" xfId="7263"/>
    <cellStyle name="Note 14 2 2 3 2 3 2 2" xfId="7264"/>
    <cellStyle name="Note 14 2 2 3 2 3 3" xfId="7265"/>
    <cellStyle name="Note 14 2 2 3 2 4" xfId="7266"/>
    <cellStyle name="Note 14 2 2 3 2 4 2" xfId="7267"/>
    <cellStyle name="Note 14 2 2 3 2 5" xfId="7268"/>
    <cellStyle name="Note 14 2 2 3 2 5 2" xfId="7269"/>
    <cellStyle name="Note 14 2 2 3 2 6" xfId="7270"/>
    <cellStyle name="Note 14 2 2 3 2 6 2" xfId="7271"/>
    <cellStyle name="Note 14 2 2 3 2 7" xfId="7272"/>
    <cellStyle name="Note 14 2 2 3 3" xfId="7273"/>
    <cellStyle name="Note 14 2 2 3 3 2" xfId="7274"/>
    <cellStyle name="Note 14 2 2 3 3 2 2" xfId="7275"/>
    <cellStyle name="Note 14 2 2 3 3 2 2 2" xfId="7276"/>
    <cellStyle name="Note 14 2 2 3 3 2 3" xfId="7277"/>
    <cellStyle name="Note 14 2 2 3 3 3" xfId="7278"/>
    <cellStyle name="Note 14 2 2 3 3 3 2" xfId="7279"/>
    <cellStyle name="Note 14 2 2 3 3 3 2 2" xfId="7280"/>
    <cellStyle name="Note 14 2 2 3 3 3 3" xfId="7281"/>
    <cellStyle name="Note 14 2 2 3 3 4" xfId="7282"/>
    <cellStyle name="Note 14 2 2 3 3 4 2" xfId="7283"/>
    <cellStyle name="Note 14 2 2 3 3 5" xfId="7284"/>
    <cellStyle name="Note 14 2 2 3 3 5 2" xfId="7285"/>
    <cellStyle name="Note 14 2 2 3 3 6" xfId="7286"/>
    <cellStyle name="Note 14 2 2 3 3 6 2" xfId="7287"/>
    <cellStyle name="Note 14 2 2 3 3 7" xfId="7288"/>
    <cellStyle name="Note 14 2 2 3 4" xfId="7289"/>
    <cellStyle name="Note 14 2 2 3 4 2" xfId="7290"/>
    <cellStyle name="Note 14 2 2 3 5" xfId="7291"/>
    <cellStyle name="Note 14 2 2 3 5 2" xfId="7292"/>
    <cellStyle name="Note 14 2 2 4" xfId="7293"/>
    <cellStyle name="Note 14 2 2 4 2" xfId="7294"/>
    <cellStyle name="Note 14 2 2 4 2 2" xfId="7295"/>
    <cellStyle name="Note 14 2 2 4 2 2 2" xfId="7296"/>
    <cellStyle name="Note 14 2 2 4 2 3" xfId="7297"/>
    <cellStyle name="Note 14 2 2 4 3" xfId="7298"/>
    <cellStyle name="Note 14 2 2 4 3 2" xfId="7299"/>
    <cellStyle name="Note 14 2 2 4 3 2 2" xfId="7300"/>
    <cellStyle name="Note 14 2 2 4 3 3" xfId="7301"/>
    <cellStyle name="Note 14 2 2 4 4" xfId="7302"/>
    <cellStyle name="Note 14 2 2 4 4 2" xfId="7303"/>
    <cellStyle name="Note 14 2 2 4 5" xfId="7304"/>
    <cellStyle name="Note 14 2 2 4 5 2" xfId="7305"/>
    <cellStyle name="Note 14 2 2 4 6" xfId="7306"/>
    <cellStyle name="Note 14 2 2 4 6 2" xfId="7307"/>
    <cellStyle name="Note 14 2 2 4 7" xfId="7308"/>
    <cellStyle name="Note 14 2 2 5" xfId="7309"/>
    <cellStyle name="Note 14 2 2 5 2" xfId="7310"/>
    <cellStyle name="Note 14 2 2 5 2 2" xfId="7311"/>
    <cellStyle name="Note 14 2 2 5 2 2 2" xfId="7312"/>
    <cellStyle name="Note 14 2 2 5 2 3" xfId="7313"/>
    <cellStyle name="Note 14 2 2 5 3" xfId="7314"/>
    <cellStyle name="Note 14 2 2 5 3 2" xfId="7315"/>
    <cellStyle name="Note 14 2 2 5 3 2 2" xfId="7316"/>
    <cellStyle name="Note 14 2 2 5 3 3" xfId="7317"/>
    <cellStyle name="Note 14 2 2 5 4" xfId="7318"/>
    <cellStyle name="Note 14 2 2 5 4 2" xfId="7319"/>
    <cellStyle name="Note 14 2 2 5 5" xfId="7320"/>
    <cellStyle name="Note 14 2 2 5 5 2" xfId="7321"/>
    <cellStyle name="Note 14 2 2 5 6" xfId="7322"/>
    <cellStyle name="Note 14 2 2 5 6 2" xfId="7323"/>
    <cellStyle name="Note 14 2 2 5 7" xfId="7324"/>
    <cellStyle name="Note 14 2 2 6" xfId="7325"/>
    <cellStyle name="Note 14 2 2 6 2" xfId="7326"/>
    <cellStyle name="Note 14 2 2 6 2 2" xfId="7327"/>
    <cellStyle name="Note 14 2 2 6 2 2 2" xfId="7328"/>
    <cellStyle name="Note 14 2 2 6 2 3" xfId="7329"/>
    <cellStyle name="Note 14 2 2 6 3" xfId="7330"/>
    <cellStyle name="Note 14 2 2 6 3 2" xfId="7331"/>
    <cellStyle name="Note 14 2 2 6 3 2 2" xfId="7332"/>
    <cellStyle name="Note 14 2 2 6 3 3" xfId="7333"/>
    <cellStyle name="Note 14 2 2 6 4" xfId="7334"/>
    <cellStyle name="Note 14 2 2 6 4 2" xfId="7335"/>
    <cellStyle name="Note 14 2 2 6 5" xfId="7336"/>
    <cellStyle name="Note 14 2 2 6 5 2" xfId="7337"/>
    <cellStyle name="Note 14 2 2 6 6" xfId="7338"/>
    <cellStyle name="Note 14 2 2 6 6 2" xfId="7339"/>
    <cellStyle name="Note 14 2 2 6 7" xfId="7340"/>
    <cellStyle name="Note 14 2 2 7" xfId="7341"/>
    <cellStyle name="Note 14 2 2 7 2" xfId="7342"/>
    <cellStyle name="Note 14 2 2 8" xfId="7343"/>
    <cellStyle name="Note 14 2 2 8 2" xfId="7344"/>
    <cellStyle name="Note 14 2 3" xfId="7345"/>
    <cellStyle name="Note 14 2 3 2" xfId="7346"/>
    <cellStyle name="Note 14 2 3 2 2" xfId="7347"/>
    <cellStyle name="Note 14 2 3 2 2 2" xfId="7348"/>
    <cellStyle name="Note 14 2 3 2 2 2 2" xfId="7349"/>
    <cellStyle name="Note 14 2 3 2 2 2 2 2" xfId="7350"/>
    <cellStyle name="Note 14 2 3 2 2 2 3" xfId="7351"/>
    <cellStyle name="Note 14 2 3 2 2 3" xfId="7352"/>
    <cellStyle name="Note 14 2 3 2 2 3 2" xfId="7353"/>
    <cellStyle name="Note 14 2 3 2 2 3 2 2" xfId="7354"/>
    <cellStyle name="Note 14 2 3 2 2 3 3" xfId="7355"/>
    <cellStyle name="Note 14 2 3 2 2 4" xfId="7356"/>
    <cellStyle name="Note 14 2 3 2 2 4 2" xfId="7357"/>
    <cellStyle name="Note 14 2 3 2 2 5" xfId="7358"/>
    <cellStyle name="Note 14 2 3 2 2 5 2" xfId="7359"/>
    <cellStyle name="Note 14 2 3 2 2 6" xfId="7360"/>
    <cellStyle name="Note 14 2 3 2 2 6 2" xfId="7361"/>
    <cellStyle name="Note 14 2 3 2 2 7" xfId="7362"/>
    <cellStyle name="Note 14 2 3 2 3" xfId="7363"/>
    <cellStyle name="Note 14 2 3 2 3 2" xfId="7364"/>
    <cellStyle name="Note 14 2 3 2 3 2 2" xfId="7365"/>
    <cellStyle name="Note 14 2 3 2 3 2 2 2" xfId="7366"/>
    <cellStyle name="Note 14 2 3 2 3 2 3" xfId="7367"/>
    <cellStyle name="Note 14 2 3 2 3 3" xfId="7368"/>
    <cellStyle name="Note 14 2 3 2 3 3 2" xfId="7369"/>
    <cellStyle name="Note 14 2 3 2 3 3 2 2" xfId="7370"/>
    <cellStyle name="Note 14 2 3 2 3 3 3" xfId="7371"/>
    <cellStyle name="Note 14 2 3 2 3 4" xfId="7372"/>
    <cellStyle name="Note 14 2 3 2 3 4 2" xfId="7373"/>
    <cellStyle name="Note 14 2 3 2 3 5" xfId="7374"/>
    <cellStyle name="Note 14 2 3 2 3 5 2" xfId="7375"/>
    <cellStyle name="Note 14 2 3 2 3 6" xfId="7376"/>
    <cellStyle name="Note 14 2 3 2 3 6 2" xfId="7377"/>
    <cellStyle name="Note 14 2 3 2 3 7" xfId="7378"/>
    <cellStyle name="Note 14 2 3 2 4" xfId="7379"/>
    <cellStyle name="Note 14 2 3 2 4 2" xfId="7380"/>
    <cellStyle name="Note 14 2 3 2 5" xfId="7381"/>
    <cellStyle name="Note 14 2 3 2 5 2" xfId="7382"/>
    <cellStyle name="Note 14 2 3 3" xfId="7383"/>
    <cellStyle name="Note 14 2 3 3 2" xfId="7384"/>
    <cellStyle name="Note 14 2 3 3 2 2" xfId="7385"/>
    <cellStyle name="Note 14 2 3 3 2 2 2" xfId="7386"/>
    <cellStyle name="Note 14 2 3 3 2 2 2 2" xfId="7387"/>
    <cellStyle name="Note 14 2 3 3 2 2 3" xfId="7388"/>
    <cellStyle name="Note 14 2 3 3 2 3" xfId="7389"/>
    <cellStyle name="Note 14 2 3 3 2 3 2" xfId="7390"/>
    <cellStyle name="Note 14 2 3 3 2 3 2 2" xfId="7391"/>
    <cellStyle name="Note 14 2 3 3 2 3 3" xfId="7392"/>
    <cellStyle name="Note 14 2 3 3 2 4" xfId="7393"/>
    <cellStyle name="Note 14 2 3 3 2 4 2" xfId="7394"/>
    <cellStyle name="Note 14 2 3 3 2 5" xfId="7395"/>
    <cellStyle name="Note 14 2 3 3 2 5 2" xfId="7396"/>
    <cellStyle name="Note 14 2 3 3 2 6" xfId="7397"/>
    <cellStyle name="Note 14 2 3 3 2 6 2" xfId="7398"/>
    <cellStyle name="Note 14 2 3 3 2 7" xfId="7399"/>
    <cellStyle name="Note 14 2 3 3 3" xfId="7400"/>
    <cellStyle name="Note 14 2 3 3 3 2" xfId="7401"/>
    <cellStyle name="Note 14 2 3 3 3 2 2" xfId="7402"/>
    <cellStyle name="Note 14 2 3 3 3 2 2 2" xfId="7403"/>
    <cellStyle name="Note 14 2 3 3 3 2 3" xfId="7404"/>
    <cellStyle name="Note 14 2 3 3 3 3" xfId="7405"/>
    <cellStyle name="Note 14 2 3 3 3 3 2" xfId="7406"/>
    <cellStyle name="Note 14 2 3 3 3 3 2 2" xfId="7407"/>
    <cellStyle name="Note 14 2 3 3 3 3 3" xfId="7408"/>
    <cellStyle name="Note 14 2 3 3 3 4" xfId="7409"/>
    <cellStyle name="Note 14 2 3 3 3 4 2" xfId="7410"/>
    <cellStyle name="Note 14 2 3 3 3 5" xfId="7411"/>
    <cellStyle name="Note 14 2 3 3 3 5 2" xfId="7412"/>
    <cellStyle name="Note 14 2 3 3 3 6" xfId="7413"/>
    <cellStyle name="Note 14 2 3 3 3 6 2" xfId="7414"/>
    <cellStyle name="Note 14 2 3 3 3 7" xfId="7415"/>
    <cellStyle name="Note 14 2 3 3 4" xfId="7416"/>
    <cellStyle name="Note 14 2 3 3 4 2" xfId="7417"/>
    <cellStyle name="Note 14 2 3 3 5" xfId="7418"/>
    <cellStyle name="Note 14 2 3 3 5 2" xfId="7419"/>
    <cellStyle name="Note 14 2 3 4" xfId="7420"/>
    <cellStyle name="Note 14 2 3 4 2" xfId="7421"/>
    <cellStyle name="Note 14 2 3 4 2 2" xfId="7422"/>
    <cellStyle name="Note 14 2 3 4 2 2 2" xfId="7423"/>
    <cellStyle name="Note 14 2 3 4 2 3" xfId="7424"/>
    <cellStyle name="Note 14 2 3 4 3" xfId="7425"/>
    <cellStyle name="Note 14 2 3 4 3 2" xfId="7426"/>
    <cellStyle name="Note 14 2 3 4 3 2 2" xfId="7427"/>
    <cellStyle name="Note 14 2 3 4 3 3" xfId="7428"/>
    <cellStyle name="Note 14 2 3 4 4" xfId="7429"/>
    <cellStyle name="Note 14 2 3 4 4 2" xfId="7430"/>
    <cellStyle name="Note 14 2 3 4 5" xfId="7431"/>
    <cellStyle name="Note 14 2 3 4 5 2" xfId="7432"/>
    <cellStyle name="Note 14 2 3 4 6" xfId="7433"/>
    <cellStyle name="Note 14 2 3 4 6 2" xfId="7434"/>
    <cellStyle name="Note 14 2 3 4 7" xfId="7435"/>
    <cellStyle name="Note 14 2 3 5" xfId="7436"/>
    <cellStyle name="Note 14 2 3 5 2" xfId="7437"/>
    <cellStyle name="Note 14 2 3 5 2 2" xfId="7438"/>
    <cellStyle name="Note 14 2 3 5 2 2 2" xfId="7439"/>
    <cellStyle name="Note 14 2 3 5 2 3" xfId="7440"/>
    <cellStyle name="Note 14 2 3 5 3" xfId="7441"/>
    <cellStyle name="Note 14 2 3 5 3 2" xfId="7442"/>
    <cellStyle name="Note 14 2 3 5 3 2 2" xfId="7443"/>
    <cellStyle name="Note 14 2 3 5 3 3" xfId="7444"/>
    <cellStyle name="Note 14 2 3 5 4" xfId="7445"/>
    <cellStyle name="Note 14 2 3 5 4 2" xfId="7446"/>
    <cellStyle name="Note 14 2 3 5 5" xfId="7447"/>
    <cellStyle name="Note 14 2 3 5 5 2" xfId="7448"/>
    <cellStyle name="Note 14 2 3 5 6" xfId="7449"/>
    <cellStyle name="Note 14 2 3 5 6 2" xfId="7450"/>
    <cellStyle name="Note 14 2 3 5 7" xfId="7451"/>
    <cellStyle name="Note 14 2 3 6" xfId="7452"/>
    <cellStyle name="Note 14 2 3 6 2" xfId="7453"/>
    <cellStyle name="Note 14 2 3 6 2 2" xfId="7454"/>
    <cellStyle name="Note 14 2 3 6 2 2 2" xfId="7455"/>
    <cellStyle name="Note 14 2 3 6 2 3" xfId="7456"/>
    <cellStyle name="Note 14 2 3 6 3" xfId="7457"/>
    <cellStyle name="Note 14 2 3 6 3 2" xfId="7458"/>
    <cellStyle name="Note 14 2 3 6 3 2 2" xfId="7459"/>
    <cellStyle name="Note 14 2 3 6 3 3" xfId="7460"/>
    <cellStyle name="Note 14 2 3 6 4" xfId="7461"/>
    <cellStyle name="Note 14 2 3 6 4 2" xfId="7462"/>
    <cellStyle name="Note 14 2 3 6 5" xfId="7463"/>
    <cellStyle name="Note 14 2 3 6 5 2" xfId="7464"/>
    <cellStyle name="Note 14 2 3 6 6" xfId="7465"/>
    <cellStyle name="Note 14 2 3 6 6 2" xfId="7466"/>
    <cellStyle name="Note 14 2 3 6 7" xfId="7467"/>
    <cellStyle name="Note 14 2 3 7" xfId="7468"/>
    <cellStyle name="Note 14 2 3 7 2" xfId="7469"/>
    <cellStyle name="Note 14 2 3 8" xfId="7470"/>
    <cellStyle name="Note 14 2 3 8 2" xfId="7471"/>
    <cellStyle name="Note 14 2 4" xfId="7472"/>
    <cellStyle name="Note 14 2 4 2" xfId="7473"/>
    <cellStyle name="Note 14 2 4 2 2" xfId="7474"/>
    <cellStyle name="Note 14 2 4 2 2 2" xfId="7475"/>
    <cellStyle name="Note 14 2 4 2 2 2 2" xfId="7476"/>
    <cellStyle name="Note 14 2 4 2 2 2 2 2" xfId="7477"/>
    <cellStyle name="Note 14 2 4 2 2 2 3" xfId="7478"/>
    <cellStyle name="Note 14 2 4 2 2 3" xfId="7479"/>
    <cellStyle name="Note 14 2 4 2 2 3 2" xfId="7480"/>
    <cellStyle name="Note 14 2 4 2 2 3 2 2" xfId="7481"/>
    <cellStyle name="Note 14 2 4 2 2 3 3" xfId="7482"/>
    <cellStyle name="Note 14 2 4 2 2 4" xfId="7483"/>
    <cellStyle name="Note 14 2 4 2 2 4 2" xfId="7484"/>
    <cellStyle name="Note 14 2 4 2 2 5" xfId="7485"/>
    <cellStyle name="Note 14 2 4 2 2 5 2" xfId="7486"/>
    <cellStyle name="Note 14 2 4 2 2 6" xfId="7487"/>
    <cellStyle name="Note 14 2 4 2 2 6 2" xfId="7488"/>
    <cellStyle name="Note 14 2 4 2 2 7" xfId="7489"/>
    <cellStyle name="Note 14 2 4 2 3" xfId="7490"/>
    <cellStyle name="Note 14 2 4 2 3 2" xfId="7491"/>
    <cellStyle name="Note 14 2 4 2 3 2 2" xfId="7492"/>
    <cellStyle name="Note 14 2 4 2 3 2 2 2" xfId="7493"/>
    <cellStyle name="Note 14 2 4 2 3 2 3" xfId="7494"/>
    <cellStyle name="Note 14 2 4 2 3 3" xfId="7495"/>
    <cellStyle name="Note 14 2 4 2 3 3 2" xfId="7496"/>
    <cellStyle name="Note 14 2 4 2 3 3 2 2" xfId="7497"/>
    <cellStyle name="Note 14 2 4 2 3 3 3" xfId="7498"/>
    <cellStyle name="Note 14 2 4 2 3 4" xfId="7499"/>
    <cellStyle name="Note 14 2 4 2 3 4 2" xfId="7500"/>
    <cellStyle name="Note 14 2 4 2 3 5" xfId="7501"/>
    <cellStyle name="Note 14 2 4 2 3 5 2" xfId="7502"/>
    <cellStyle name="Note 14 2 4 2 3 6" xfId="7503"/>
    <cellStyle name="Note 14 2 4 2 3 6 2" xfId="7504"/>
    <cellStyle name="Note 14 2 4 2 3 7" xfId="7505"/>
    <cellStyle name="Note 14 2 4 2 4" xfId="7506"/>
    <cellStyle name="Note 14 2 4 2 4 2" xfId="7507"/>
    <cellStyle name="Note 14 2 4 2 5" xfId="7508"/>
    <cellStyle name="Note 14 2 4 2 5 2" xfId="7509"/>
    <cellStyle name="Note 14 2 4 3" xfId="7510"/>
    <cellStyle name="Note 14 2 4 3 2" xfId="7511"/>
    <cellStyle name="Note 14 2 4 3 2 2" xfId="7512"/>
    <cellStyle name="Note 14 2 4 3 2 2 2" xfId="7513"/>
    <cellStyle name="Note 14 2 4 3 2 2 2 2" xfId="7514"/>
    <cellStyle name="Note 14 2 4 3 2 2 3" xfId="7515"/>
    <cellStyle name="Note 14 2 4 3 2 3" xfId="7516"/>
    <cellStyle name="Note 14 2 4 3 2 3 2" xfId="7517"/>
    <cellStyle name="Note 14 2 4 3 2 3 2 2" xfId="7518"/>
    <cellStyle name="Note 14 2 4 3 2 3 3" xfId="7519"/>
    <cellStyle name="Note 14 2 4 3 2 4" xfId="7520"/>
    <cellStyle name="Note 14 2 4 3 2 4 2" xfId="7521"/>
    <cellStyle name="Note 14 2 4 3 2 5" xfId="7522"/>
    <cellStyle name="Note 14 2 4 3 2 5 2" xfId="7523"/>
    <cellStyle name="Note 14 2 4 3 2 6" xfId="7524"/>
    <cellStyle name="Note 14 2 4 3 2 6 2" xfId="7525"/>
    <cellStyle name="Note 14 2 4 3 2 7" xfId="7526"/>
    <cellStyle name="Note 14 2 4 3 3" xfId="7527"/>
    <cellStyle name="Note 14 2 4 3 3 2" xfId="7528"/>
    <cellStyle name="Note 14 2 4 3 3 2 2" xfId="7529"/>
    <cellStyle name="Note 14 2 4 3 3 2 2 2" xfId="7530"/>
    <cellStyle name="Note 14 2 4 3 3 2 3" xfId="7531"/>
    <cellStyle name="Note 14 2 4 3 3 3" xfId="7532"/>
    <cellStyle name="Note 14 2 4 3 3 3 2" xfId="7533"/>
    <cellStyle name="Note 14 2 4 3 3 3 2 2" xfId="7534"/>
    <cellStyle name="Note 14 2 4 3 3 3 3" xfId="7535"/>
    <cellStyle name="Note 14 2 4 3 3 4" xfId="7536"/>
    <cellStyle name="Note 14 2 4 3 3 4 2" xfId="7537"/>
    <cellStyle name="Note 14 2 4 3 3 5" xfId="7538"/>
    <cellStyle name="Note 14 2 4 3 3 5 2" xfId="7539"/>
    <cellStyle name="Note 14 2 4 3 3 6" xfId="7540"/>
    <cellStyle name="Note 14 2 4 3 3 6 2" xfId="7541"/>
    <cellStyle name="Note 14 2 4 3 3 7" xfId="7542"/>
    <cellStyle name="Note 14 2 4 3 4" xfId="7543"/>
    <cellStyle name="Note 14 2 4 3 4 2" xfId="7544"/>
    <cellStyle name="Note 14 2 4 3 5" xfId="7545"/>
    <cellStyle name="Note 14 2 4 3 5 2" xfId="7546"/>
    <cellStyle name="Note 14 2 4 4" xfId="7547"/>
    <cellStyle name="Note 14 2 4 4 2" xfId="7548"/>
    <cellStyle name="Note 14 2 4 4 2 2" xfId="7549"/>
    <cellStyle name="Note 14 2 4 4 2 2 2" xfId="7550"/>
    <cellStyle name="Note 14 2 4 4 2 3" xfId="7551"/>
    <cellStyle name="Note 14 2 4 4 3" xfId="7552"/>
    <cellStyle name="Note 14 2 4 4 3 2" xfId="7553"/>
    <cellStyle name="Note 14 2 4 4 3 2 2" xfId="7554"/>
    <cellStyle name="Note 14 2 4 4 3 3" xfId="7555"/>
    <cellStyle name="Note 14 2 4 4 4" xfId="7556"/>
    <cellStyle name="Note 14 2 4 4 4 2" xfId="7557"/>
    <cellStyle name="Note 14 2 4 4 5" xfId="7558"/>
    <cellStyle name="Note 14 2 4 4 5 2" xfId="7559"/>
    <cellStyle name="Note 14 2 4 4 6" xfId="7560"/>
    <cellStyle name="Note 14 2 4 4 6 2" xfId="7561"/>
    <cellStyle name="Note 14 2 4 4 7" xfId="7562"/>
    <cellStyle name="Note 14 2 4 5" xfId="7563"/>
    <cellStyle name="Note 14 2 4 5 2" xfId="7564"/>
    <cellStyle name="Note 14 2 4 5 2 2" xfId="7565"/>
    <cellStyle name="Note 14 2 4 5 2 2 2" xfId="7566"/>
    <cellStyle name="Note 14 2 4 5 2 3" xfId="7567"/>
    <cellStyle name="Note 14 2 4 5 3" xfId="7568"/>
    <cellStyle name="Note 14 2 4 5 3 2" xfId="7569"/>
    <cellStyle name="Note 14 2 4 5 3 2 2" xfId="7570"/>
    <cellStyle name="Note 14 2 4 5 3 3" xfId="7571"/>
    <cellStyle name="Note 14 2 4 5 4" xfId="7572"/>
    <cellStyle name="Note 14 2 4 5 4 2" xfId="7573"/>
    <cellStyle name="Note 14 2 4 5 5" xfId="7574"/>
    <cellStyle name="Note 14 2 4 5 5 2" xfId="7575"/>
    <cellStyle name="Note 14 2 4 5 6" xfId="7576"/>
    <cellStyle name="Note 14 2 4 5 6 2" xfId="7577"/>
    <cellStyle name="Note 14 2 4 5 7" xfId="7578"/>
    <cellStyle name="Note 14 2 4 6" xfId="7579"/>
    <cellStyle name="Note 14 2 4 6 2" xfId="7580"/>
    <cellStyle name="Note 14 2 4 6 2 2" xfId="7581"/>
    <cellStyle name="Note 14 2 4 6 2 2 2" xfId="7582"/>
    <cellStyle name="Note 14 2 4 6 2 3" xfId="7583"/>
    <cellStyle name="Note 14 2 4 6 3" xfId="7584"/>
    <cellStyle name="Note 14 2 4 6 3 2" xfId="7585"/>
    <cellStyle name="Note 14 2 4 6 3 2 2" xfId="7586"/>
    <cellStyle name="Note 14 2 4 6 3 3" xfId="7587"/>
    <cellStyle name="Note 14 2 4 6 4" xfId="7588"/>
    <cellStyle name="Note 14 2 4 6 4 2" xfId="7589"/>
    <cellStyle name="Note 14 2 4 6 5" xfId="7590"/>
    <cellStyle name="Note 14 2 4 6 5 2" xfId="7591"/>
    <cellStyle name="Note 14 2 4 6 6" xfId="7592"/>
    <cellStyle name="Note 14 2 4 6 6 2" xfId="7593"/>
    <cellStyle name="Note 14 2 4 6 7" xfId="7594"/>
    <cellStyle name="Note 14 2 4 7" xfId="7595"/>
    <cellStyle name="Note 14 2 4 7 2" xfId="7596"/>
    <cellStyle name="Note 14 2 4 8" xfId="7597"/>
    <cellStyle name="Note 14 2 4 8 2" xfId="7598"/>
    <cellStyle name="Note 14 2 5" xfId="7599"/>
    <cellStyle name="Note 14 2 5 2" xfId="7600"/>
    <cellStyle name="Note 14 2 5 2 2" xfId="7601"/>
    <cellStyle name="Note 14 2 5 2 2 2" xfId="7602"/>
    <cellStyle name="Note 14 2 5 2 2 2 2" xfId="7603"/>
    <cellStyle name="Note 14 2 5 2 2 2 2 2" xfId="7604"/>
    <cellStyle name="Note 14 2 5 2 2 2 3" xfId="7605"/>
    <cellStyle name="Note 14 2 5 2 2 3" xfId="7606"/>
    <cellStyle name="Note 14 2 5 2 2 3 2" xfId="7607"/>
    <cellStyle name="Note 14 2 5 2 2 3 2 2" xfId="7608"/>
    <cellStyle name="Note 14 2 5 2 2 3 3" xfId="7609"/>
    <cellStyle name="Note 14 2 5 2 2 4" xfId="7610"/>
    <cellStyle name="Note 14 2 5 2 2 4 2" xfId="7611"/>
    <cellStyle name="Note 14 2 5 2 2 5" xfId="7612"/>
    <cellStyle name="Note 14 2 5 2 2 5 2" xfId="7613"/>
    <cellStyle name="Note 14 2 5 2 2 6" xfId="7614"/>
    <cellStyle name="Note 14 2 5 2 2 6 2" xfId="7615"/>
    <cellStyle name="Note 14 2 5 2 2 7" xfId="7616"/>
    <cellStyle name="Note 14 2 5 2 3" xfId="7617"/>
    <cellStyle name="Note 14 2 5 2 3 2" xfId="7618"/>
    <cellStyle name="Note 14 2 5 2 3 2 2" xfId="7619"/>
    <cellStyle name="Note 14 2 5 2 3 2 2 2" xfId="7620"/>
    <cellStyle name="Note 14 2 5 2 3 2 3" xfId="7621"/>
    <cellStyle name="Note 14 2 5 2 3 3" xfId="7622"/>
    <cellStyle name="Note 14 2 5 2 3 3 2" xfId="7623"/>
    <cellStyle name="Note 14 2 5 2 3 3 2 2" xfId="7624"/>
    <cellStyle name="Note 14 2 5 2 3 3 3" xfId="7625"/>
    <cellStyle name="Note 14 2 5 2 3 4" xfId="7626"/>
    <cellStyle name="Note 14 2 5 2 3 4 2" xfId="7627"/>
    <cellStyle name="Note 14 2 5 2 3 5" xfId="7628"/>
    <cellStyle name="Note 14 2 5 2 3 5 2" xfId="7629"/>
    <cellStyle name="Note 14 2 5 2 3 6" xfId="7630"/>
    <cellStyle name="Note 14 2 5 2 3 6 2" xfId="7631"/>
    <cellStyle name="Note 14 2 5 2 3 7" xfId="7632"/>
    <cellStyle name="Note 14 2 5 2 4" xfId="7633"/>
    <cellStyle name="Note 14 2 5 2 4 2" xfId="7634"/>
    <cellStyle name="Note 14 2 5 2 5" xfId="7635"/>
    <cellStyle name="Note 14 2 5 2 5 2" xfId="7636"/>
    <cellStyle name="Note 14 2 5 3" xfId="7637"/>
    <cellStyle name="Note 14 2 5 3 2" xfId="7638"/>
    <cellStyle name="Note 14 2 5 3 2 2" xfId="7639"/>
    <cellStyle name="Note 14 2 5 3 2 2 2" xfId="7640"/>
    <cellStyle name="Note 14 2 5 3 2 2 2 2" xfId="7641"/>
    <cellStyle name="Note 14 2 5 3 2 2 3" xfId="7642"/>
    <cellStyle name="Note 14 2 5 3 2 3" xfId="7643"/>
    <cellStyle name="Note 14 2 5 3 2 3 2" xfId="7644"/>
    <cellStyle name="Note 14 2 5 3 2 3 2 2" xfId="7645"/>
    <cellStyle name="Note 14 2 5 3 2 3 3" xfId="7646"/>
    <cellStyle name="Note 14 2 5 3 2 4" xfId="7647"/>
    <cellStyle name="Note 14 2 5 3 2 4 2" xfId="7648"/>
    <cellStyle name="Note 14 2 5 3 2 5" xfId="7649"/>
    <cellStyle name="Note 14 2 5 3 2 5 2" xfId="7650"/>
    <cellStyle name="Note 14 2 5 3 2 6" xfId="7651"/>
    <cellStyle name="Note 14 2 5 3 2 6 2" xfId="7652"/>
    <cellStyle name="Note 14 2 5 3 2 7" xfId="7653"/>
    <cellStyle name="Note 14 2 5 3 3" xfId="7654"/>
    <cellStyle name="Note 14 2 5 3 3 2" xfId="7655"/>
    <cellStyle name="Note 14 2 5 3 3 2 2" xfId="7656"/>
    <cellStyle name="Note 14 2 5 3 3 2 2 2" xfId="7657"/>
    <cellStyle name="Note 14 2 5 3 3 2 3" xfId="7658"/>
    <cellStyle name="Note 14 2 5 3 3 3" xfId="7659"/>
    <cellStyle name="Note 14 2 5 3 3 3 2" xfId="7660"/>
    <cellStyle name="Note 14 2 5 3 3 3 2 2" xfId="7661"/>
    <cellStyle name="Note 14 2 5 3 3 3 3" xfId="7662"/>
    <cellStyle name="Note 14 2 5 3 3 4" xfId="7663"/>
    <cellStyle name="Note 14 2 5 3 3 4 2" xfId="7664"/>
    <cellStyle name="Note 14 2 5 3 3 5" xfId="7665"/>
    <cellStyle name="Note 14 2 5 3 3 5 2" xfId="7666"/>
    <cellStyle name="Note 14 2 5 3 3 6" xfId="7667"/>
    <cellStyle name="Note 14 2 5 3 3 6 2" xfId="7668"/>
    <cellStyle name="Note 14 2 5 3 3 7" xfId="7669"/>
    <cellStyle name="Note 14 2 5 3 4" xfId="7670"/>
    <cellStyle name="Note 14 2 5 3 4 2" xfId="7671"/>
    <cellStyle name="Note 14 2 5 3 5" xfId="7672"/>
    <cellStyle name="Note 14 2 5 3 5 2" xfId="7673"/>
    <cellStyle name="Note 14 2 5 4" xfId="7674"/>
    <cellStyle name="Note 14 2 5 4 2" xfId="7675"/>
    <cellStyle name="Note 14 2 5 4 2 2" xfId="7676"/>
    <cellStyle name="Note 14 2 5 4 2 2 2" xfId="7677"/>
    <cellStyle name="Note 14 2 5 4 2 3" xfId="7678"/>
    <cellStyle name="Note 14 2 5 4 3" xfId="7679"/>
    <cellStyle name="Note 14 2 5 4 3 2" xfId="7680"/>
    <cellStyle name="Note 14 2 5 4 3 2 2" xfId="7681"/>
    <cellStyle name="Note 14 2 5 4 3 3" xfId="7682"/>
    <cellStyle name="Note 14 2 5 4 4" xfId="7683"/>
    <cellStyle name="Note 14 2 5 4 4 2" xfId="7684"/>
    <cellStyle name="Note 14 2 5 4 5" xfId="7685"/>
    <cellStyle name="Note 14 2 5 4 5 2" xfId="7686"/>
    <cellStyle name="Note 14 2 5 4 6" xfId="7687"/>
    <cellStyle name="Note 14 2 5 4 6 2" xfId="7688"/>
    <cellStyle name="Note 14 2 5 4 7" xfId="7689"/>
    <cellStyle name="Note 14 2 5 5" xfId="7690"/>
    <cellStyle name="Note 14 2 5 5 2" xfId="7691"/>
    <cellStyle name="Note 14 2 5 5 2 2" xfId="7692"/>
    <cellStyle name="Note 14 2 5 5 2 2 2" xfId="7693"/>
    <cellStyle name="Note 14 2 5 5 2 3" xfId="7694"/>
    <cellStyle name="Note 14 2 5 5 3" xfId="7695"/>
    <cellStyle name="Note 14 2 5 5 3 2" xfId="7696"/>
    <cellStyle name="Note 14 2 5 5 3 2 2" xfId="7697"/>
    <cellStyle name="Note 14 2 5 5 3 3" xfId="7698"/>
    <cellStyle name="Note 14 2 5 5 4" xfId="7699"/>
    <cellStyle name="Note 14 2 5 5 4 2" xfId="7700"/>
    <cellStyle name="Note 14 2 5 5 5" xfId="7701"/>
    <cellStyle name="Note 14 2 5 5 5 2" xfId="7702"/>
    <cellStyle name="Note 14 2 5 5 6" xfId="7703"/>
    <cellStyle name="Note 14 2 5 5 6 2" xfId="7704"/>
    <cellStyle name="Note 14 2 5 5 7" xfId="7705"/>
    <cellStyle name="Note 14 2 5 6" xfId="7706"/>
    <cellStyle name="Note 14 2 5 6 2" xfId="7707"/>
    <cellStyle name="Note 14 2 5 6 2 2" xfId="7708"/>
    <cellStyle name="Note 14 2 5 6 2 2 2" xfId="7709"/>
    <cellStyle name="Note 14 2 5 6 2 3" xfId="7710"/>
    <cellStyle name="Note 14 2 5 6 3" xfId="7711"/>
    <cellStyle name="Note 14 2 5 6 3 2" xfId="7712"/>
    <cellStyle name="Note 14 2 5 6 3 2 2" xfId="7713"/>
    <cellStyle name="Note 14 2 5 6 3 3" xfId="7714"/>
    <cellStyle name="Note 14 2 5 6 4" xfId="7715"/>
    <cellStyle name="Note 14 2 5 6 4 2" xfId="7716"/>
    <cellStyle name="Note 14 2 5 6 5" xfId="7717"/>
    <cellStyle name="Note 14 2 5 6 5 2" xfId="7718"/>
    <cellStyle name="Note 14 2 5 6 6" xfId="7719"/>
    <cellStyle name="Note 14 2 5 6 6 2" xfId="7720"/>
    <cellStyle name="Note 14 2 5 6 7" xfId="7721"/>
    <cellStyle name="Note 14 2 5 7" xfId="7722"/>
    <cellStyle name="Note 14 2 5 7 2" xfId="7723"/>
    <cellStyle name="Note 14 2 5 8" xfId="7724"/>
    <cellStyle name="Note 14 2 5 8 2" xfId="7725"/>
    <cellStyle name="Note 14 2 6" xfId="7726"/>
    <cellStyle name="Note 14 2 6 2" xfId="7727"/>
    <cellStyle name="Note 14 2 6 2 2" xfId="7728"/>
    <cellStyle name="Note 14 2 6 2 2 2" xfId="7729"/>
    <cellStyle name="Note 14 2 6 2 2 2 2" xfId="7730"/>
    <cellStyle name="Note 14 2 6 2 2 2 2 2" xfId="7731"/>
    <cellStyle name="Note 14 2 6 2 2 2 3" xfId="7732"/>
    <cellStyle name="Note 14 2 6 2 2 3" xfId="7733"/>
    <cellStyle name="Note 14 2 6 2 2 3 2" xfId="7734"/>
    <cellStyle name="Note 14 2 6 2 2 3 2 2" xfId="7735"/>
    <cellStyle name="Note 14 2 6 2 2 3 3" xfId="7736"/>
    <cellStyle name="Note 14 2 6 2 2 4" xfId="7737"/>
    <cellStyle name="Note 14 2 6 2 2 4 2" xfId="7738"/>
    <cellStyle name="Note 14 2 6 2 2 5" xfId="7739"/>
    <cellStyle name="Note 14 2 6 2 2 5 2" xfId="7740"/>
    <cellStyle name="Note 14 2 6 2 2 6" xfId="7741"/>
    <cellStyle name="Note 14 2 6 2 2 6 2" xfId="7742"/>
    <cellStyle name="Note 14 2 6 2 2 7" xfId="7743"/>
    <cellStyle name="Note 14 2 6 2 3" xfId="7744"/>
    <cellStyle name="Note 14 2 6 2 3 2" xfId="7745"/>
    <cellStyle name="Note 14 2 6 2 3 2 2" xfId="7746"/>
    <cellStyle name="Note 14 2 6 2 3 2 2 2" xfId="7747"/>
    <cellStyle name="Note 14 2 6 2 3 2 3" xfId="7748"/>
    <cellStyle name="Note 14 2 6 2 3 3" xfId="7749"/>
    <cellStyle name="Note 14 2 6 2 3 3 2" xfId="7750"/>
    <cellStyle name="Note 14 2 6 2 3 3 2 2" xfId="7751"/>
    <cellStyle name="Note 14 2 6 2 3 3 3" xfId="7752"/>
    <cellStyle name="Note 14 2 6 2 3 4" xfId="7753"/>
    <cellStyle name="Note 14 2 6 2 3 4 2" xfId="7754"/>
    <cellStyle name="Note 14 2 6 2 3 5" xfId="7755"/>
    <cellStyle name="Note 14 2 6 2 3 5 2" xfId="7756"/>
    <cellStyle name="Note 14 2 6 2 3 6" xfId="7757"/>
    <cellStyle name="Note 14 2 6 2 3 6 2" xfId="7758"/>
    <cellStyle name="Note 14 2 6 2 3 7" xfId="7759"/>
    <cellStyle name="Note 14 2 6 2 4" xfId="7760"/>
    <cellStyle name="Note 14 2 6 2 4 2" xfId="7761"/>
    <cellStyle name="Note 14 2 6 2 5" xfId="7762"/>
    <cellStyle name="Note 14 2 6 2 5 2" xfId="7763"/>
    <cellStyle name="Note 14 2 6 3" xfId="7764"/>
    <cellStyle name="Note 14 2 6 3 2" xfId="7765"/>
    <cellStyle name="Note 14 2 6 3 2 2" xfId="7766"/>
    <cellStyle name="Note 14 2 6 3 2 2 2" xfId="7767"/>
    <cellStyle name="Note 14 2 6 3 2 2 2 2" xfId="7768"/>
    <cellStyle name="Note 14 2 6 3 2 2 3" xfId="7769"/>
    <cellStyle name="Note 14 2 6 3 2 3" xfId="7770"/>
    <cellStyle name="Note 14 2 6 3 2 3 2" xfId="7771"/>
    <cellStyle name="Note 14 2 6 3 2 3 2 2" xfId="7772"/>
    <cellStyle name="Note 14 2 6 3 2 3 3" xfId="7773"/>
    <cellStyle name="Note 14 2 6 3 2 4" xfId="7774"/>
    <cellStyle name="Note 14 2 6 3 2 4 2" xfId="7775"/>
    <cellStyle name="Note 14 2 6 3 2 5" xfId="7776"/>
    <cellStyle name="Note 14 2 6 3 2 5 2" xfId="7777"/>
    <cellStyle name="Note 14 2 6 3 2 6" xfId="7778"/>
    <cellStyle name="Note 14 2 6 3 2 6 2" xfId="7779"/>
    <cellStyle name="Note 14 2 6 3 2 7" xfId="7780"/>
    <cellStyle name="Note 14 2 6 3 3" xfId="7781"/>
    <cellStyle name="Note 14 2 6 3 3 2" xfId="7782"/>
    <cellStyle name="Note 14 2 6 3 3 2 2" xfId="7783"/>
    <cellStyle name="Note 14 2 6 3 3 2 2 2" xfId="7784"/>
    <cellStyle name="Note 14 2 6 3 3 2 3" xfId="7785"/>
    <cellStyle name="Note 14 2 6 3 3 3" xfId="7786"/>
    <cellStyle name="Note 14 2 6 3 3 3 2" xfId="7787"/>
    <cellStyle name="Note 14 2 6 3 3 3 2 2" xfId="7788"/>
    <cellStyle name="Note 14 2 6 3 3 3 3" xfId="7789"/>
    <cellStyle name="Note 14 2 6 3 3 4" xfId="7790"/>
    <cellStyle name="Note 14 2 6 3 3 4 2" xfId="7791"/>
    <cellStyle name="Note 14 2 6 3 3 5" xfId="7792"/>
    <cellStyle name="Note 14 2 6 3 3 5 2" xfId="7793"/>
    <cellStyle name="Note 14 2 6 3 3 6" xfId="7794"/>
    <cellStyle name="Note 14 2 6 3 3 6 2" xfId="7795"/>
    <cellStyle name="Note 14 2 6 3 3 7" xfId="7796"/>
    <cellStyle name="Note 14 2 6 3 4" xfId="7797"/>
    <cellStyle name="Note 14 2 6 3 4 2" xfId="7798"/>
    <cellStyle name="Note 14 2 6 3 5" xfId="7799"/>
    <cellStyle name="Note 14 2 6 3 5 2" xfId="7800"/>
    <cellStyle name="Note 14 2 6 4" xfId="7801"/>
    <cellStyle name="Note 14 2 6 4 2" xfId="7802"/>
    <cellStyle name="Note 14 2 6 4 2 2" xfId="7803"/>
    <cellStyle name="Note 14 2 6 4 2 2 2" xfId="7804"/>
    <cellStyle name="Note 14 2 6 4 2 3" xfId="7805"/>
    <cellStyle name="Note 14 2 6 4 3" xfId="7806"/>
    <cellStyle name="Note 14 2 6 4 3 2" xfId="7807"/>
    <cellStyle name="Note 14 2 6 4 3 2 2" xfId="7808"/>
    <cellStyle name="Note 14 2 6 4 3 3" xfId="7809"/>
    <cellStyle name="Note 14 2 6 4 4" xfId="7810"/>
    <cellStyle name="Note 14 2 6 4 4 2" xfId="7811"/>
    <cellStyle name="Note 14 2 6 4 5" xfId="7812"/>
    <cellStyle name="Note 14 2 6 4 5 2" xfId="7813"/>
    <cellStyle name="Note 14 2 6 4 6" xfId="7814"/>
    <cellStyle name="Note 14 2 6 4 6 2" xfId="7815"/>
    <cellStyle name="Note 14 2 6 4 7" xfId="7816"/>
    <cellStyle name="Note 14 2 6 5" xfId="7817"/>
    <cellStyle name="Note 14 2 6 5 2" xfId="7818"/>
    <cellStyle name="Note 14 2 6 5 2 2" xfId="7819"/>
    <cellStyle name="Note 14 2 6 5 2 2 2" xfId="7820"/>
    <cellStyle name="Note 14 2 6 5 2 3" xfId="7821"/>
    <cellStyle name="Note 14 2 6 5 3" xfId="7822"/>
    <cellStyle name="Note 14 2 6 5 3 2" xfId="7823"/>
    <cellStyle name="Note 14 2 6 5 3 2 2" xfId="7824"/>
    <cellStyle name="Note 14 2 6 5 3 3" xfId="7825"/>
    <cellStyle name="Note 14 2 6 5 4" xfId="7826"/>
    <cellStyle name="Note 14 2 6 5 4 2" xfId="7827"/>
    <cellStyle name="Note 14 2 6 5 5" xfId="7828"/>
    <cellStyle name="Note 14 2 6 5 5 2" xfId="7829"/>
    <cellStyle name="Note 14 2 6 5 6" xfId="7830"/>
    <cellStyle name="Note 14 2 6 5 6 2" xfId="7831"/>
    <cellStyle name="Note 14 2 6 5 7" xfId="7832"/>
    <cellStyle name="Note 14 2 6 6" xfId="7833"/>
    <cellStyle name="Note 14 2 6 6 2" xfId="7834"/>
    <cellStyle name="Note 14 2 6 6 2 2" xfId="7835"/>
    <cellStyle name="Note 14 2 6 6 2 2 2" xfId="7836"/>
    <cellStyle name="Note 14 2 6 6 2 3" xfId="7837"/>
    <cellStyle name="Note 14 2 6 6 3" xfId="7838"/>
    <cellStyle name="Note 14 2 6 6 3 2" xfId="7839"/>
    <cellStyle name="Note 14 2 6 6 3 2 2" xfId="7840"/>
    <cellStyle name="Note 14 2 6 6 3 3" xfId="7841"/>
    <cellStyle name="Note 14 2 6 6 4" xfId="7842"/>
    <cellStyle name="Note 14 2 6 6 4 2" xfId="7843"/>
    <cellStyle name="Note 14 2 6 6 5" xfId="7844"/>
    <cellStyle name="Note 14 2 6 6 5 2" xfId="7845"/>
    <cellStyle name="Note 14 2 6 6 6" xfId="7846"/>
    <cellStyle name="Note 14 2 6 6 6 2" xfId="7847"/>
    <cellStyle name="Note 14 2 6 6 7" xfId="7848"/>
    <cellStyle name="Note 14 2 6 7" xfId="7849"/>
    <cellStyle name="Note 14 2 6 7 2" xfId="7850"/>
    <cellStyle name="Note 14 2 6 8" xfId="7851"/>
    <cellStyle name="Note 14 2 6 8 2" xfId="7852"/>
    <cellStyle name="Note 14 2 7" xfId="7853"/>
    <cellStyle name="Note 14 2 7 2" xfId="7854"/>
    <cellStyle name="Note 14 2 7 2 2" xfId="7855"/>
    <cellStyle name="Note 14 2 7 2 2 2" xfId="7856"/>
    <cellStyle name="Note 14 2 7 2 2 2 2" xfId="7857"/>
    <cellStyle name="Note 14 2 7 2 2 2 2 2" xfId="7858"/>
    <cellStyle name="Note 14 2 7 2 2 2 3" xfId="7859"/>
    <cellStyle name="Note 14 2 7 2 2 3" xfId="7860"/>
    <cellStyle name="Note 14 2 7 2 2 3 2" xfId="7861"/>
    <cellStyle name="Note 14 2 7 2 2 3 2 2" xfId="7862"/>
    <cellStyle name="Note 14 2 7 2 2 3 3" xfId="7863"/>
    <cellStyle name="Note 14 2 7 2 2 4" xfId="7864"/>
    <cellStyle name="Note 14 2 7 2 2 4 2" xfId="7865"/>
    <cellStyle name="Note 14 2 7 2 2 5" xfId="7866"/>
    <cellStyle name="Note 14 2 7 2 2 5 2" xfId="7867"/>
    <cellStyle name="Note 14 2 7 2 2 6" xfId="7868"/>
    <cellStyle name="Note 14 2 7 2 2 6 2" xfId="7869"/>
    <cellStyle name="Note 14 2 7 2 2 7" xfId="7870"/>
    <cellStyle name="Note 14 2 7 2 3" xfId="7871"/>
    <cellStyle name="Note 14 2 7 2 3 2" xfId="7872"/>
    <cellStyle name="Note 14 2 7 2 3 2 2" xfId="7873"/>
    <cellStyle name="Note 14 2 7 2 3 2 2 2" xfId="7874"/>
    <cellStyle name="Note 14 2 7 2 3 2 3" xfId="7875"/>
    <cellStyle name="Note 14 2 7 2 3 3" xfId="7876"/>
    <cellStyle name="Note 14 2 7 2 3 3 2" xfId="7877"/>
    <cellStyle name="Note 14 2 7 2 3 3 2 2" xfId="7878"/>
    <cellStyle name="Note 14 2 7 2 3 3 3" xfId="7879"/>
    <cellStyle name="Note 14 2 7 2 3 4" xfId="7880"/>
    <cellStyle name="Note 14 2 7 2 3 4 2" xfId="7881"/>
    <cellStyle name="Note 14 2 7 2 3 5" xfId="7882"/>
    <cellStyle name="Note 14 2 7 2 3 5 2" xfId="7883"/>
    <cellStyle name="Note 14 2 7 2 3 6" xfId="7884"/>
    <cellStyle name="Note 14 2 7 2 3 6 2" xfId="7885"/>
    <cellStyle name="Note 14 2 7 2 3 7" xfId="7886"/>
    <cellStyle name="Note 14 2 7 2 4" xfId="7887"/>
    <cellStyle name="Note 14 2 7 2 4 2" xfId="7888"/>
    <cellStyle name="Note 14 2 7 2 5" xfId="7889"/>
    <cellStyle name="Note 14 2 7 2 5 2" xfId="7890"/>
    <cellStyle name="Note 14 2 7 3" xfId="7891"/>
    <cellStyle name="Note 14 2 7 3 2" xfId="7892"/>
    <cellStyle name="Note 14 2 7 3 2 2" xfId="7893"/>
    <cellStyle name="Note 14 2 7 3 2 2 2" xfId="7894"/>
    <cellStyle name="Note 14 2 7 3 2 2 2 2" xfId="7895"/>
    <cellStyle name="Note 14 2 7 3 2 2 3" xfId="7896"/>
    <cellStyle name="Note 14 2 7 3 2 3" xfId="7897"/>
    <cellStyle name="Note 14 2 7 3 2 3 2" xfId="7898"/>
    <cellStyle name="Note 14 2 7 3 2 3 2 2" xfId="7899"/>
    <cellStyle name="Note 14 2 7 3 2 3 3" xfId="7900"/>
    <cellStyle name="Note 14 2 7 3 2 4" xfId="7901"/>
    <cellStyle name="Note 14 2 7 3 2 4 2" xfId="7902"/>
    <cellStyle name="Note 14 2 7 3 2 5" xfId="7903"/>
    <cellStyle name="Note 14 2 7 3 2 5 2" xfId="7904"/>
    <cellStyle name="Note 14 2 7 3 2 6" xfId="7905"/>
    <cellStyle name="Note 14 2 7 3 2 6 2" xfId="7906"/>
    <cellStyle name="Note 14 2 7 3 2 7" xfId="7907"/>
    <cellStyle name="Note 14 2 7 3 3" xfId="7908"/>
    <cellStyle name="Note 14 2 7 3 3 2" xfId="7909"/>
    <cellStyle name="Note 14 2 7 3 3 2 2" xfId="7910"/>
    <cellStyle name="Note 14 2 7 3 3 2 2 2" xfId="7911"/>
    <cellStyle name="Note 14 2 7 3 3 2 3" xfId="7912"/>
    <cellStyle name="Note 14 2 7 3 3 3" xfId="7913"/>
    <cellStyle name="Note 14 2 7 3 3 3 2" xfId="7914"/>
    <cellStyle name="Note 14 2 7 3 3 3 2 2" xfId="7915"/>
    <cellStyle name="Note 14 2 7 3 3 3 3" xfId="7916"/>
    <cellStyle name="Note 14 2 7 3 3 4" xfId="7917"/>
    <cellStyle name="Note 14 2 7 3 3 4 2" xfId="7918"/>
    <cellStyle name="Note 14 2 7 3 3 5" xfId="7919"/>
    <cellStyle name="Note 14 2 7 3 3 5 2" xfId="7920"/>
    <cellStyle name="Note 14 2 7 3 3 6" xfId="7921"/>
    <cellStyle name="Note 14 2 7 3 3 6 2" xfId="7922"/>
    <cellStyle name="Note 14 2 7 3 3 7" xfId="7923"/>
    <cellStyle name="Note 14 2 7 3 4" xfId="7924"/>
    <cellStyle name="Note 14 2 7 3 4 2" xfId="7925"/>
    <cellStyle name="Note 14 2 7 3 5" xfId="7926"/>
    <cellStyle name="Note 14 2 7 3 5 2" xfId="7927"/>
    <cellStyle name="Note 14 2 7 4" xfId="7928"/>
    <cellStyle name="Note 14 2 7 4 2" xfId="7929"/>
    <cellStyle name="Note 14 2 7 4 2 2" xfId="7930"/>
    <cellStyle name="Note 14 2 7 4 2 2 2" xfId="7931"/>
    <cellStyle name="Note 14 2 7 4 2 3" xfId="7932"/>
    <cellStyle name="Note 14 2 7 4 3" xfId="7933"/>
    <cellStyle name="Note 14 2 7 4 3 2" xfId="7934"/>
    <cellStyle name="Note 14 2 7 4 3 2 2" xfId="7935"/>
    <cellStyle name="Note 14 2 7 4 3 3" xfId="7936"/>
    <cellStyle name="Note 14 2 7 4 4" xfId="7937"/>
    <cellStyle name="Note 14 2 7 4 4 2" xfId="7938"/>
    <cellStyle name="Note 14 2 7 4 5" xfId="7939"/>
    <cellStyle name="Note 14 2 7 4 5 2" xfId="7940"/>
    <cellStyle name="Note 14 2 7 4 6" xfId="7941"/>
    <cellStyle name="Note 14 2 7 4 6 2" xfId="7942"/>
    <cellStyle name="Note 14 2 7 4 7" xfId="7943"/>
    <cellStyle name="Note 14 2 7 5" xfId="7944"/>
    <cellStyle name="Note 14 2 7 5 2" xfId="7945"/>
    <cellStyle name="Note 14 2 7 5 2 2" xfId="7946"/>
    <cellStyle name="Note 14 2 7 5 2 2 2" xfId="7947"/>
    <cellStyle name="Note 14 2 7 5 2 3" xfId="7948"/>
    <cellStyle name="Note 14 2 7 5 3" xfId="7949"/>
    <cellStyle name="Note 14 2 7 5 3 2" xfId="7950"/>
    <cellStyle name="Note 14 2 7 5 3 2 2" xfId="7951"/>
    <cellStyle name="Note 14 2 7 5 3 3" xfId="7952"/>
    <cellStyle name="Note 14 2 7 5 4" xfId="7953"/>
    <cellStyle name="Note 14 2 7 5 4 2" xfId="7954"/>
    <cellStyle name="Note 14 2 7 5 5" xfId="7955"/>
    <cellStyle name="Note 14 2 7 5 5 2" xfId="7956"/>
    <cellStyle name="Note 14 2 7 5 6" xfId="7957"/>
    <cellStyle name="Note 14 2 7 5 6 2" xfId="7958"/>
    <cellStyle name="Note 14 2 7 5 7" xfId="7959"/>
    <cellStyle name="Note 14 2 7 6" xfId="7960"/>
    <cellStyle name="Note 14 2 7 6 2" xfId="7961"/>
    <cellStyle name="Note 14 2 7 7" xfId="7962"/>
    <cellStyle name="Note 14 2 7 7 2" xfId="7963"/>
    <cellStyle name="Note 14 2 8" xfId="7964"/>
    <cellStyle name="Note 14 2 8 2" xfId="7965"/>
    <cellStyle name="Note 14 2 8 2 2" xfId="7966"/>
    <cellStyle name="Note 14 2 8 2 2 2" xfId="7967"/>
    <cellStyle name="Note 14 2 8 2 2 2 2" xfId="7968"/>
    <cellStyle name="Note 14 2 8 2 2 3" xfId="7969"/>
    <cellStyle name="Note 14 2 8 2 3" xfId="7970"/>
    <cellStyle name="Note 14 2 8 2 3 2" xfId="7971"/>
    <cellStyle name="Note 14 2 8 2 3 2 2" xfId="7972"/>
    <cellStyle name="Note 14 2 8 2 3 3" xfId="7973"/>
    <cellStyle name="Note 14 2 8 2 4" xfId="7974"/>
    <cellStyle name="Note 14 2 8 2 4 2" xfId="7975"/>
    <cellStyle name="Note 14 2 8 2 5" xfId="7976"/>
    <cellStyle name="Note 14 2 8 2 5 2" xfId="7977"/>
    <cellStyle name="Note 14 2 8 2 6" xfId="7978"/>
    <cellStyle name="Note 14 2 8 2 6 2" xfId="7979"/>
    <cellStyle name="Note 14 2 8 2 7" xfId="7980"/>
    <cellStyle name="Note 14 2 8 3" xfId="7981"/>
    <cellStyle name="Note 14 2 8 3 2" xfId="7982"/>
    <cellStyle name="Note 14 2 8 3 2 2" xfId="7983"/>
    <cellStyle name="Note 14 2 8 3 2 2 2" xfId="7984"/>
    <cellStyle name="Note 14 2 8 3 2 3" xfId="7985"/>
    <cellStyle name="Note 14 2 8 3 3" xfId="7986"/>
    <cellStyle name="Note 14 2 8 3 3 2" xfId="7987"/>
    <cellStyle name="Note 14 2 8 3 3 2 2" xfId="7988"/>
    <cellStyle name="Note 14 2 8 3 3 3" xfId="7989"/>
    <cellStyle name="Note 14 2 8 3 4" xfId="7990"/>
    <cellStyle name="Note 14 2 8 3 4 2" xfId="7991"/>
    <cellStyle name="Note 14 2 8 3 5" xfId="7992"/>
    <cellStyle name="Note 14 2 8 3 5 2" xfId="7993"/>
    <cellStyle name="Note 14 2 8 3 6" xfId="7994"/>
    <cellStyle name="Note 14 2 8 3 6 2" xfId="7995"/>
    <cellStyle name="Note 14 2 8 3 7" xfId="7996"/>
    <cellStyle name="Note 14 2 8 4" xfId="7997"/>
    <cellStyle name="Note 14 2 8 4 2" xfId="7998"/>
    <cellStyle name="Note 14 2 8 5" xfId="7999"/>
    <cellStyle name="Note 14 2 8 5 2" xfId="8000"/>
    <cellStyle name="Note 14 2 9" xfId="8001"/>
    <cellStyle name="Note 14 2 9 2" xfId="8002"/>
    <cellStyle name="Note 14 2 9 2 2" xfId="8003"/>
    <cellStyle name="Note 14 2 9 2 2 2" xfId="8004"/>
    <cellStyle name="Note 14 2 9 2 2 2 2" xfId="8005"/>
    <cellStyle name="Note 14 2 9 2 2 3" xfId="8006"/>
    <cellStyle name="Note 14 2 9 2 3" xfId="8007"/>
    <cellStyle name="Note 14 2 9 2 3 2" xfId="8008"/>
    <cellStyle name="Note 14 2 9 2 3 2 2" xfId="8009"/>
    <cellStyle name="Note 14 2 9 2 3 3" xfId="8010"/>
    <cellStyle name="Note 14 2 9 2 4" xfId="8011"/>
    <cellStyle name="Note 14 2 9 2 4 2" xfId="8012"/>
    <cellStyle name="Note 14 2 9 2 5" xfId="8013"/>
    <cellStyle name="Note 14 2 9 2 5 2" xfId="8014"/>
    <cellStyle name="Note 14 2 9 2 6" xfId="8015"/>
    <cellStyle name="Note 14 2 9 2 6 2" xfId="8016"/>
    <cellStyle name="Note 14 2 9 2 7" xfId="8017"/>
    <cellStyle name="Note 14 2 9 3" xfId="8018"/>
    <cellStyle name="Note 14 2 9 3 2" xfId="8019"/>
    <cellStyle name="Note 14 2 9 3 2 2" xfId="8020"/>
    <cellStyle name="Note 14 2 9 3 2 2 2" xfId="8021"/>
    <cellStyle name="Note 14 2 9 3 2 3" xfId="8022"/>
    <cellStyle name="Note 14 2 9 3 3" xfId="8023"/>
    <cellStyle name="Note 14 2 9 3 3 2" xfId="8024"/>
    <cellStyle name="Note 14 2 9 3 3 2 2" xfId="8025"/>
    <cellStyle name="Note 14 2 9 3 3 3" xfId="8026"/>
    <cellStyle name="Note 14 2 9 3 4" xfId="8027"/>
    <cellStyle name="Note 14 2 9 3 4 2" xfId="8028"/>
    <cellStyle name="Note 14 2 9 3 5" xfId="8029"/>
    <cellStyle name="Note 14 2 9 3 5 2" xfId="8030"/>
    <cellStyle name="Note 14 2 9 3 6" xfId="8031"/>
    <cellStyle name="Note 14 2 9 3 6 2" xfId="8032"/>
    <cellStyle name="Note 14 2 9 3 7" xfId="8033"/>
    <cellStyle name="Note 14 2 9 4" xfId="8034"/>
    <cellStyle name="Note 14 2 9 4 2" xfId="8035"/>
    <cellStyle name="Note 14 2 9 5" xfId="8036"/>
    <cellStyle name="Note 14 2 9 5 2" xfId="8037"/>
    <cellStyle name="Note 14 3" xfId="8038"/>
    <cellStyle name="Note 14 3 2" xfId="8039"/>
    <cellStyle name="Note 14 3 2 2" xfId="8040"/>
    <cellStyle name="Note 14 3 2 2 2" xfId="8041"/>
    <cellStyle name="Note 14 3 2 2 2 2" xfId="8042"/>
    <cellStyle name="Note 14 3 2 2 3" xfId="8043"/>
    <cellStyle name="Note 14 3 2 3" xfId="8044"/>
    <cellStyle name="Note 14 3 2 3 2" xfId="8045"/>
    <cellStyle name="Note 14 3 2 3 2 2" xfId="8046"/>
    <cellStyle name="Note 14 3 2 3 3" xfId="8047"/>
    <cellStyle name="Note 14 3 2 4" xfId="8048"/>
    <cellStyle name="Note 14 3 2 4 2" xfId="8049"/>
    <cellStyle name="Note 14 3 2 5" xfId="8050"/>
    <cellStyle name="Note 14 3 2 5 2" xfId="8051"/>
    <cellStyle name="Note 14 3 2 6" xfId="8052"/>
    <cellStyle name="Note 14 3 2 6 2" xfId="8053"/>
    <cellStyle name="Note 14 3 2 7" xfId="8054"/>
    <cellStyle name="Note 14 3 3" xfId="8055"/>
    <cellStyle name="Note 14 3 3 2" xfId="8056"/>
    <cellStyle name="Note 14 3 3 2 2" xfId="8057"/>
    <cellStyle name="Note 14 3 3 2 2 2" xfId="8058"/>
    <cellStyle name="Note 14 3 3 2 3" xfId="8059"/>
    <cellStyle name="Note 14 3 3 3" xfId="8060"/>
    <cellStyle name="Note 14 3 3 3 2" xfId="8061"/>
    <cellStyle name="Note 14 3 3 3 2 2" xfId="8062"/>
    <cellStyle name="Note 14 3 3 3 3" xfId="8063"/>
    <cellStyle name="Note 14 3 3 4" xfId="8064"/>
    <cellStyle name="Note 14 3 3 4 2" xfId="8065"/>
    <cellStyle name="Note 14 3 3 5" xfId="8066"/>
    <cellStyle name="Note 14 3 3 5 2" xfId="8067"/>
    <cellStyle name="Note 14 3 3 6" xfId="8068"/>
    <cellStyle name="Note 14 3 3 6 2" xfId="8069"/>
    <cellStyle name="Note 14 3 3 7" xfId="8070"/>
    <cellStyle name="Note 14 3 4" xfId="8071"/>
    <cellStyle name="Note 14 3 4 2" xfId="8072"/>
    <cellStyle name="Note 14 3 5" xfId="8073"/>
    <cellStyle name="Note 14 3 5 2" xfId="8074"/>
    <cellStyle name="Note 14 4" xfId="8075"/>
    <cellStyle name="Note 14 4 2" xfId="8076"/>
    <cellStyle name="Note 14 4 2 2" xfId="8077"/>
    <cellStyle name="Note 14 4 2 2 2" xfId="8078"/>
    <cellStyle name="Note 14 4 2 2 2 2" xfId="8079"/>
    <cellStyle name="Note 14 4 2 2 3" xfId="8080"/>
    <cellStyle name="Note 14 4 2 3" xfId="8081"/>
    <cellStyle name="Note 14 4 2 3 2" xfId="8082"/>
    <cellStyle name="Note 14 4 2 3 2 2" xfId="8083"/>
    <cellStyle name="Note 14 4 2 3 3" xfId="8084"/>
    <cellStyle name="Note 14 4 2 4" xfId="8085"/>
    <cellStyle name="Note 14 4 2 4 2" xfId="8086"/>
    <cellStyle name="Note 14 4 2 5" xfId="8087"/>
    <cellStyle name="Note 14 4 2 5 2" xfId="8088"/>
    <cellStyle name="Note 14 4 2 6" xfId="8089"/>
    <cellStyle name="Note 14 4 2 6 2" xfId="8090"/>
    <cellStyle name="Note 14 4 2 7" xfId="8091"/>
    <cellStyle name="Note 14 4 3" xfId="8092"/>
    <cellStyle name="Note 14 4 3 2" xfId="8093"/>
    <cellStyle name="Note 14 4 3 2 2" xfId="8094"/>
    <cellStyle name="Note 14 4 3 2 2 2" xfId="8095"/>
    <cellStyle name="Note 14 4 3 2 3" xfId="8096"/>
    <cellStyle name="Note 14 4 3 3" xfId="8097"/>
    <cellStyle name="Note 14 4 3 3 2" xfId="8098"/>
    <cellStyle name="Note 14 4 3 3 2 2" xfId="8099"/>
    <cellStyle name="Note 14 4 3 3 3" xfId="8100"/>
    <cellStyle name="Note 14 4 3 4" xfId="8101"/>
    <cellStyle name="Note 14 4 3 4 2" xfId="8102"/>
    <cellStyle name="Note 14 4 3 5" xfId="8103"/>
    <cellStyle name="Note 14 4 3 5 2" xfId="8104"/>
    <cellStyle name="Note 14 4 3 6" xfId="8105"/>
    <cellStyle name="Note 14 4 3 6 2" xfId="8106"/>
    <cellStyle name="Note 14 4 3 7" xfId="8107"/>
    <cellStyle name="Note 14 4 4" xfId="8108"/>
    <cellStyle name="Note 14 4 4 2" xfId="8109"/>
    <cellStyle name="Note 14 4 5" xfId="8110"/>
    <cellStyle name="Note 14 4 5 2" xfId="8111"/>
    <cellStyle name="Note 14 5" xfId="8112"/>
    <cellStyle name="Note 14 5 2" xfId="8113"/>
    <cellStyle name="Note 14 5 2 2" xfId="8114"/>
    <cellStyle name="Note 14 5 2 2 2" xfId="8115"/>
    <cellStyle name="Note 14 5 2 3" xfId="8116"/>
    <cellStyle name="Note 14 5 3" xfId="8117"/>
    <cellStyle name="Note 14 5 3 2" xfId="8118"/>
    <cellStyle name="Note 14 5 3 2 2" xfId="8119"/>
    <cellStyle name="Note 14 5 3 3" xfId="8120"/>
    <cellStyle name="Note 14 5 4" xfId="8121"/>
    <cellStyle name="Note 14 5 4 2" xfId="8122"/>
    <cellStyle name="Note 14 5 5" xfId="8123"/>
    <cellStyle name="Note 14 5 5 2" xfId="8124"/>
    <cellStyle name="Note 14 5 6" xfId="8125"/>
    <cellStyle name="Note 14 5 6 2" xfId="8126"/>
    <cellStyle name="Note 14 5 7" xfId="8127"/>
    <cellStyle name="Note 14 6" xfId="8128"/>
    <cellStyle name="Note 14 6 2" xfId="8129"/>
    <cellStyle name="Note 14 6 2 2" xfId="8130"/>
    <cellStyle name="Note 14 6 2 2 2" xfId="8131"/>
    <cellStyle name="Note 14 6 2 3" xfId="8132"/>
    <cellStyle name="Note 14 6 3" xfId="8133"/>
    <cellStyle name="Note 14 6 3 2" xfId="8134"/>
    <cellStyle name="Note 14 6 3 2 2" xfId="8135"/>
    <cellStyle name="Note 14 6 3 3" xfId="8136"/>
    <cellStyle name="Note 14 6 4" xfId="8137"/>
    <cellStyle name="Note 14 6 4 2" xfId="8138"/>
    <cellStyle name="Note 14 6 5" xfId="8139"/>
    <cellStyle name="Note 14 6 5 2" xfId="8140"/>
    <cellStyle name="Note 14 6 6" xfId="8141"/>
    <cellStyle name="Note 14 6 6 2" xfId="8142"/>
    <cellStyle name="Note 14 6 7" xfId="8143"/>
    <cellStyle name="Note 14 7" xfId="8144"/>
    <cellStyle name="Note 14 7 2" xfId="8145"/>
    <cellStyle name="Note 14 8" xfId="8146"/>
    <cellStyle name="Note 14 8 2" xfId="8147"/>
    <cellStyle name="Note 14 9" xfId="8148"/>
    <cellStyle name="Note 14 9 2" xfId="8149"/>
    <cellStyle name="Note 15" xfId="289"/>
    <cellStyle name="Note 15 2" xfId="8150"/>
    <cellStyle name="Note 15 2 10" xfId="8151"/>
    <cellStyle name="Note 15 2 10 2" xfId="8152"/>
    <cellStyle name="Note 15 2 10 2 2" xfId="8153"/>
    <cellStyle name="Note 15 2 10 2 2 2" xfId="8154"/>
    <cellStyle name="Note 15 2 10 2 3" xfId="8155"/>
    <cellStyle name="Note 15 2 10 3" xfId="8156"/>
    <cellStyle name="Note 15 2 10 3 2" xfId="8157"/>
    <cellStyle name="Note 15 2 10 3 2 2" xfId="8158"/>
    <cellStyle name="Note 15 2 10 3 3" xfId="8159"/>
    <cellStyle name="Note 15 2 10 4" xfId="8160"/>
    <cellStyle name="Note 15 2 10 4 2" xfId="8161"/>
    <cellStyle name="Note 15 2 10 5" xfId="8162"/>
    <cellStyle name="Note 15 2 10 5 2" xfId="8163"/>
    <cellStyle name="Note 15 2 10 6" xfId="8164"/>
    <cellStyle name="Note 15 2 10 6 2" xfId="8165"/>
    <cellStyle name="Note 15 2 10 7" xfId="8166"/>
    <cellStyle name="Note 15 2 11" xfId="8167"/>
    <cellStyle name="Note 15 2 11 2" xfId="8168"/>
    <cellStyle name="Note 15 2 11 2 2" xfId="8169"/>
    <cellStyle name="Note 15 2 11 2 2 2" xfId="8170"/>
    <cellStyle name="Note 15 2 11 2 3" xfId="8171"/>
    <cellStyle name="Note 15 2 11 3" xfId="8172"/>
    <cellStyle name="Note 15 2 11 3 2" xfId="8173"/>
    <cellStyle name="Note 15 2 11 3 2 2" xfId="8174"/>
    <cellStyle name="Note 15 2 11 3 3" xfId="8175"/>
    <cellStyle name="Note 15 2 11 4" xfId="8176"/>
    <cellStyle name="Note 15 2 11 4 2" xfId="8177"/>
    <cellStyle name="Note 15 2 11 5" xfId="8178"/>
    <cellStyle name="Note 15 2 11 5 2" xfId="8179"/>
    <cellStyle name="Note 15 2 11 6" xfId="8180"/>
    <cellStyle name="Note 15 2 11 6 2" xfId="8181"/>
    <cellStyle name="Note 15 2 11 7" xfId="8182"/>
    <cellStyle name="Note 15 2 12" xfId="8183"/>
    <cellStyle name="Note 15 2 12 2" xfId="8184"/>
    <cellStyle name="Note 15 2 13" xfId="8185"/>
    <cellStyle name="Note 15 2 13 2" xfId="8186"/>
    <cellStyle name="Note 15 2 2" xfId="8187"/>
    <cellStyle name="Note 15 2 2 2" xfId="8188"/>
    <cellStyle name="Note 15 2 2 2 2" xfId="8189"/>
    <cellStyle name="Note 15 2 2 2 2 2" xfId="8190"/>
    <cellStyle name="Note 15 2 2 2 2 2 2" xfId="8191"/>
    <cellStyle name="Note 15 2 2 2 2 2 2 2" xfId="8192"/>
    <cellStyle name="Note 15 2 2 2 2 2 3" xfId="8193"/>
    <cellStyle name="Note 15 2 2 2 2 3" xfId="8194"/>
    <cellStyle name="Note 15 2 2 2 2 3 2" xfId="8195"/>
    <cellStyle name="Note 15 2 2 2 2 3 2 2" xfId="8196"/>
    <cellStyle name="Note 15 2 2 2 2 3 3" xfId="8197"/>
    <cellStyle name="Note 15 2 2 2 2 4" xfId="8198"/>
    <cellStyle name="Note 15 2 2 2 2 4 2" xfId="8199"/>
    <cellStyle name="Note 15 2 2 2 2 5" xfId="8200"/>
    <cellStyle name="Note 15 2 2 2 2 5 2" xfId="8201"/>
    <cellStyle name="Note 15 2 2 2 2 6" xfId="8202"/>
    <cellStyle name="Note 15 2 2 2 2 6 2" xfId="8203"/>
    <cellStyle name="Note 15 2 2 2 2 7" xfId="8204"/>
    <cellStyle name="Note 15 2 2 2 3" xfId="8205"/>
    <cellStyle name="Note 15 2 2 2 3 2" xfId="8206"/>
    <cellStyle name="Note 15 2 2 2 3 2 2" xfId="8207"/>
    <cellStyle name="Note 15 2 2 2 3 2 2 2" xfId="8208"/>
    <cellStyle name="Note 15 2 2 2 3 2 3" xfId="8209"/>
    <cellStyle name="Note 15 2 2 2 3 3" xfId="8210"/>
    <cellStyle name="Note 15 2 2 2 3 3 2" xfId="8211"/>
    <cellStyle name="Note 15 2 2 2 3 3 2 2" xfId="8212"/>
    <cellStyle name="Note 15 2 2 2 3 3 3" xfId="8213"/>
    <cellStyle name="Note 15 2 2 2 3 4" xfId="8214"/>
    <cellStyle name="Note 15 2 2 2 3 4 2" xfId="8215"/>
    <cellStyle name="Note 15 2 2 2 3 5" xfId="8216"/>
    <cellStyle name="Note 15 2 2 2 3 5 2" xfId="8217"/>
    <cellStyle name="Note 15 2 2 2 3 6" xfId="8218"/>
    <cellStyle name="Note 15 2 2 2 3 6 2" xfId="8219"/>
    <cellStyle name="Note 15 2 2 2 3 7" xfId="8220"/>
    <cellStyle name="Note 15 2 2 2 4" xfId="8221"/>
    <cellStyle name="Note 15 2 2 2 4 2" xfId="8222"/>
    <cellStyle name="Note 15 2 2 2 5" xfId="8223"/>
    <cellStyle name="Note 15 2 2 2 5 2" xfId="8224"/>
    <cellStyle name="Note 15 2 2 3" xfId="8225"/>
    <cellStyle name="Note 15 2 2 3 2" xfId="8226"/>
    <cellStyle name="Note 15 2 2 3 2 2" xfId="8227"/>
    <cellStyle name="Note 15 2 2 3 2 2 2" xfId="8228"/>
    <cellStyle name="Note 15 2 2 3 2 2 2 2" xfId="8229"/>
    <cellStyle name="Note 15 2 2 3 2 2 3" xfId="8230"/>
    <cellStyle name="Note 15 2 2 3 2 3" xfId="8231"/>
    <cellStyle name="Note 15 2 2 3 2 3 2" xfId="8232"/>
    <cellStyle name="Note 15 2 2 3 2 3 2 2" xfId="8233"/>
    <cellStyle name="Note 15 2 2 3 2 3 3" xfId="8234"/>
    <cellStyle name="Note 15 2 2 3 2 4" xfId="8235"/>
    <cellStyle name="Note 15 2 2 3 2 4 2" xfId="8236"/>
    <cellStyle name="Note 15 2 2 3 2 5" xfId="8237"/>
    <cellStyle name="Note 15 2 2 3 2 5 2" xfId="8238"/>
    <cellStyle name="Note 15 2 2 3 2 6" xfId="8239"/>
    <cellStyle name="Note 15 2 2 3 2 6 2" xfId="8240"/>
    <cellStyle name="Note 15 2 2 3 2 7" xfId="8241"/>
    <cellStyle name="Note 15 2 2 3 3" xfId="8242"/>
    <cellStyle name="Note 15 2 2 3 3 2" xfId="8243"/>
    <cellStyle name="Note 15 2 2 3 3 2 2" xfId="8244"/>
    <cellStyle name="Note 15 2 2 3 3 2 2 2" xfId="8245"/>
    <cellStyle name="Note 15 2 2 3 3 2 3" xfId="8246"/>
    <cellStyle name="Note 15 2 2 3 3 3" xfId="8247"/>
    <cellStyle name="Note 15 2 2 3 3 3 2" xfId="8248"/>
    <cellStyle name="Note 15 2 2 3 3 3 2 2" xfId="8249"/>
    <cellStyle name="Note 15 2 2 3 3 3 3" xfId="8250"/>
    <cellStyle name="Note 15 2 2 3 3 4" xfId="8251"/>
    <cellStyle name="Note 15 2 2 3 3 4 2" xfId="8252"/>
    <cellStyle name="Note 15 2 2 3 3 5" xfId="8253"/>
    <cellStyle name="Note 15 2 2 3 3 5 2" xfId="8254"/>
    <cellStyle name="Note 15 2 2 3 3 6" xfId="8255"/>
    <cellStyle name="Note 15 2 2 3 3 6 2" xfId="8256"/>
    <cellStyle name="Note 15 2 2 3 3 7" xfId="8257"/>
    <cellStyle name="Note 15 2 2 3 4" xfId="8258"/>
    <cellStyle name="Note 15 2 2 3 4 2" xfId="8259"/>
    <cellStyle name="Note 15 2 2 3 5" xfId="8260"/>
    <cellStyle name="Note 15 2 2 3 5 2" xfId="8261"/>
    <cellStyle name="Note 15 2 2 4" xfId="8262"/>
    <cellStyle name="Note 15 2 2 4 2" xfId="8263"/>
    <cellStyle name="Note 15 2 2 4 2 2" xfId="8264"/>
    <cellStyle name="Note 15 2 2 4 2 2 2" xfId="8265"/>
    <cellStyle name="Note 15 2 2 4 2 3" xfId="8266"/>
    <cellStyle name="Note 15 2 2 4 3" xfId="8267"/>
    <cellStyle name="Note 15 2 2 4 3 2" xfId="8268"/>
    <cellStyle name="Note 15 2 2 4 3 2 2" xfId="8269"/>
    <cellStyle name="Note 15 2 2 4 3 3" xfId="8270"/>
    <cellStyle name="Note 15 2 2 4 4" xfId="8271"/>
    <cellStyle name="Note 15 2 2 4 4 2" xfId="8272"/>
    <cellStyle name="Note 15 2 2 4 5" xfId="8273"/>
    <cellStyle name="Note 15 2 2 4 5 2" xfId="8274"/>
    <cellStyle name="Note 15 2 2 4 6" xfId="8275"/>
    <cellStyle name="Note 15 2 2 4 6 2" xfId="8276"/>
    <cellStyle name="Note 15 2 2 4 7" xfId="8277"/>
    <cellStyle name="Note 15 2 2 5" xfId="8278"/>
    <cellStyle name="Note 15 2 2 5 2" xfId="8279"/>
    <cellStyle name="Note 15 2 2 5 2 2" xfId="8280"/>
    <cellStyle name="Note 15 2 2 5 2 2 2" xfId="8281"/>
    <cellStyle name="Note 15 2 2 5 2 3" xfId="8282"/>
    <cellStyle name="Note 15 2 2 5 3" xfId="8283"/>
    <cellStyle name="Note 15 2 2 5 3 2" xfId="8284"/>
    <cellStyle name="Note 15 2 2 5 3 2 2" xfId="8285"/>
    <cellStyle name="Note 15 2 2 5 3 3" xfId="8286"/>
    <cellStyle name="Note 15 2 2 5 4" xfId="8287"/>
    <cellStyle name="Note 15 2 2 5 4 2" xfId="8288"/>
    <cellStyle name="Note 15 2 2 5 5" xfId="8289"/>
    <cellStyle name="Note 15 2 2 5 5 2" xfId="8290"/>
    <cellStyle name="Note 15 2 2 5 6" xfId="8291"/>
    <cellStyle name="Note 15 2 2 5 6 2" xfId="8292"/>
    <cellStyle name="Note 15 2 2 5 7" xfId="8293"/>
    <cellStyle name="Note 15 2 2 6" xfId="8294"/>
    <cellStyle name="Note 15 2 2 6 2" xfId="8295"/>
    <cellStyle name="Note 15 2 2 6 2 2" xfId="8296"/>
    <cellStyle name="Note 15 2 2 6 2 2 2" xfId="8297"/>
    <cellStyle name="Note 15 2 2 6 2 3" xfId="8298"/>
    <cellStyle name="Note 15 2 2 6 3" xfId="8299"/>
    <cellStyle name="Note 15 2 2 6 3 2" xfId="8300"/>
    <cellStyle name="Note 15 2 2 6 3 2 2" xfId="8301"/>
    <cellStyle name="Note 15 2 2 6 3 3" xfId="8302"/>
    <cellStyle name="Note 15 2 2 6 4" xfId="8303"/>
    <cellStyle name="Note 15 2 2 6 4 2" xfId="8304"/>
    <cellStyle name="Note 15 2 2 6 5" xfId="8305"/>
    <cellStyle name="Note 15 2 2 6 5 2" xfId="8306"/>
    <cellStyle name="Note 15 2 2 6 6" xfId="8307"/>
    <cellStyle name="Note 15 2 2 6 6 2" xfId="8308"/>
    <cellStyle name="Note 15 2 2 6 7" xfId="8309"/>
    <cellStyle name="Note 15 2 2 7" xfId="8310"/>
    <cellStyle name="Note 15 2 2 7 2" xfId="8311"/>
    <cellStyle name="Note 15 2 2 8" xfId="8312"/>
    <cellStyle name="Note 15 2 2 8 2" xfId="8313"/>
    <cellStyle name="Note 15 2 3" xfId="8314"/>
    <cellStyle name="Note 15 2 3 2" xfId="8315"/>
    <cellStyle name="Note 15 2 3 2 2" xfId="8316"/>
    <cellStyle name="Note 15 2 3 2 2 2" xfId="8317"/>
    <cellStyle name="Note 15 2 3 2 2 2 2" xfId="8318"/>
    <cellStyle name="Note 15 2 3 2 2 2 2 2" xfId="8319"/>
    <cellStyle name="Note 15 2 3 2 2 2 3" xfId="8320"/>
    <cellStyle name="Note 15 2 3 2 2 3" xfId="8321"/>
    <cellStyle name="Note 15 2 3 2 2 3 2" xfId="8322"/>
    <cellStyle name="Note 15 2 3 2 2 3 2 2" xfId="8323"/>
    <cellStyle name="Note 15 2 3 2 2 3 3" xfId="8324"/>
    <cellStyle name="Note 15 2 3 2 2 4" xfId="8325"/>
    <cellStyle name="Note 15 2 3 2 2 4 2" xfId="8326"/>
    <cellStyle name="Note 15 2 3 2 2 5" xfId="8327"/>
    <cellStyle name="Note 15 2 3 2 2 5 2" xfId="8328"/>
    <cellStyle name="Note 15 2 3 2 2 6" xfId="8329"/>
    <cellStyle name="Note 15 2 3 2 2 6 2" xfId="8330"/>
    <cellStyle name="Note 15 2 3 2 2 7" xfId="8331"/>
    <cellStyle name="Note 15 2 3 2 3" xfId="8332"/>
    <cellStyle name="Note 15 2 3 2 3 2" xfId="8333"/>
    <cellStyle name="Note 15 2 3 2 3 2 2" xfId="8334"/>
    <cellStyle name="Note 15 2 3 2 3 2 2 2" xfId="8335"/>
    <cellStyle name="Note 15 2 3 2 3 2 3" xfId="8336"/>
    <cellStyle name="Note 15 2 3 2 3 3" xfId="8337"/>
    <cellStyle name="Note 15 2 3 2 3 3 2" xfId="8338"/>
    <cellStyle name="Note 15 2 3 2 3 3 2 2" xfId="8339"/>
    <cellStyle name="Note 15 2 3 2 3 3 3" xfId="8340"/>
    <cellStyle name="Note 15 2 3 2 3 4" xfId="8341"/>
    <cellStyle name="Note 15 2 3 2 3 4 2" xfId="8342"/>
    <cellStyle name="Note 15 2 3 2 3 5" xfId="8343"/>
    <cellStyle name="Note 15 2 3 2 3 5 2" xfId="8344"/>
    <cellStyle name="Note 15 2 3 2 3 6" xfId="8345"/>
    <cellStyle name="Note 15 2 3 2 3 6 2" xfId="8346"/>
    <cellStyle name="Note 15 2 3 2 3 7" xfId="8347"/>
    <cellStyle name="Note 15 2 3 2 4" xfId="8348"/>
    <cellStyle name="Note 15 2 3 2 4 2" xfId="8349"/>
    <cellStyle name="Note 15 2 3 2 5" xfId="8350"/>
    <cellStyle name="Note 15 2 3 2 5 2" xfId="8351"/>
    <cellStyle name="Note 15 2 3 3" xfId="8352"/>
    <cellStyle name="Note 15 2 3 3 2" xfId="8353"/>
    <cellStyle name="Note 15 2 3 3 2 2" xfId="8354"/>
    <cellStyle name="Note 15 2 3 3 2 2 2" xfId="8355"/>
    <cellStyle name="Note 15 2 3 3 2 2 2 2" xfId="8356"/>
    <cellStyle name="Note 15 2 3 3 2 2 3" xfId="8357"/>
    <cellStyle name="Note 15 2 3 3 2 3" xfId="8358"/>
    <cellStyle name="Note 15 2 3 3 2 3 2" xfId="8359"/>
    <cellStyle name="Note 15 2 3 3 2 3 2 2" xfId="8360"/>
    <cellStyle name="Note 15 2 3 3 2 3 3" xfId="8361"/>
    <cellStyle name="Note 15 2 3 3 2 4" xfId="8362"/>
    <cellStyle name="Note 15 2 3 3 2 4 2" xfId="8363"/>
    <cellStyle name="Note 15 2 3 3 2 5" xfId="8364"/>
    <cellStyle name="Note 15 2 3 3 2 5 2" xfId="8365"/>
    <cellStyle name="Note 15 2 3 3 2 6" xfId="8366"/>
    <cellStyle name="Note 15 2 3 3 2 6 2" xfId="8367"/>
    <cellStyle name="Note 15 2 3 3 2 7" xfId="8368"/>
    <cellStyle name="Note 15 2 3 3 3" xfId="8369"/>
    <cellStyle name="Note 15 2 3 3 3 2" xfId="8370"/>
    <cellStyle name="Note 15 2 3 3 3 2 2" xfId="8371"/>
    <cellStyle name="Note 15 2 3 3 3 2 2 2" xfId="8372"/>
    <cellStyle name="Note 15 2 3 3 3 2 3" xfId="8373"/>
    <cellStyle name="Note 15 2 3 3 3 3" xfId="8374"/>
    <cellStyle name="Note 15 2 3 3 3 3 2" xfId="8375"/>
    <cellStyle name="Note 15 2 3 3 3 3 2 2" xfId="8376"/>
    <cellStyle name="Note 15 2 3 3 3 3 3" xfId="8377"/>
    <cellStyle name="Note 15 2 3 3 3 4" xfId="8378"/>
    <cellStyle name="Note 15 2 3 3 3 4 2" xfId="8379"/>
    <cellStyle name="Note 15 2 3 3 3 5" xfId="8380"/>
    <cellStyle name="Note 15 2 3 3 3 5 2" xfId="8381"/>
    <cellStyle name="Note 15 2 3 3 3 6" xfId="8382"/>
    <cellStyle name="Note 15 2 3 3 3 6 2" xfId="8383"/>
    <cellStyle name="Note 15 2 3 3 3 7" xfId="8384"/>
    <cellStyle name="Note 15 2 3 3 4" xfId="8385"/>
    <cellStyle name="Note 15 2 3 3 4 2" xfId="8386"/>
    <cellStyle name="Note 15 2 3 3 5" xfId="8387"/>
    <cellStyle name="Note 15 2 3 3 5 2" xfId="8388"/>
    <cellStyle name="Note 15 2 3 4" xfId="8389"/>
    <cellStyle name="Note 15 2 3 4 2" xfId="8390"/>
    <cellStyle name="Note 15 2 3 4 2 2" xfId="8391"/>
    <cellStyle name="Note 15 2 3 4 2 2 2" xfId="8392"/>
    <cellStyle name="Note 15 2 3 4 2 3" xfId="8393"/>
    <cellStyle name="Note 15 2 3 4 3" xfId="8394"/>
    <cellStyle name="Note 15 2 3 4 3 2" xfId="8395"/>
    <cellStyle name="Note 15 2 3 4 3 2 2" xfId="8396"/>
    <cellStyle name="Note 15 2 3 4 3 3" xfId="8397"/>
    <cellStyle name="Note 15 2 3 4 4" xfId="8398"/>
    <cellStyle name="Note 15 2 3 4 4 2" xfId="8399"/>
    <cellStyle name="Note 15 2 3 4 5" xfId="8400"/>
    <cellStyle name="Note 15 2 3 4 5 2" xfId="8401"/>
    <cellStyle name="Note 15 2 3 4 6" xfId="8402"/>
    <cellStyle name="Note 15 2 3 4 6 2" xfId="8403"/>
    <cellStyle name="Note 15 2 3 4 7" xfId="8404"/>
    <cellStyle name="Note 15 2 3 5" xfId="8405"/>
    <cellStyle name="Note 15 2 3 5 2" xfId="8406"/>
    <cellStyle name="Note 15 2 3 5 2 2" xfId="8407"/>
    <cellStyle name="Note 15 2 3 5 2 2 2" xfId="8408"/>
    <cellStyle name="Note 15 2 3 5 2 3" xfId="8409"/>
    <cellStyle name="Note 15 2 3 5 3" xfId="8410"/>
    <cellStyle name="Note 15 2 3 5 3 2" xfId="8411"/>
    <cellStyle name="Note 15 2 3 5 3 2 2" xfId="8412"/>
    <cellStyle name="Note 15 2 3 5 3 3" xfId="8413"/>
    <cellStyle name="Note 15 2 3 5 4" xfId="8414"/>
    <cellStyle name="Note 15 2 3 5 4 2" xfId="8415"/>
    <cellStyle name="Note 15 2 3 5 5" xfId="8416"/>
    <cellStyle name="Note 15 2 3 5 5 2" xfId="8417"/>
    <cellStyle name="Note 15 2 3 5 6" xfId="8418"/>
    <cellStyle name="Note 15 2 3 5 6 2" xfId="8419"/>
    <cellStyle name="Note 15 2 3 5 7" xfId="8420"/>
    <cellStyle name="Note 15 2 3 6" xfId="8421"/>
    <cellStyle name="Note 15 2 3 6 2" xfId="8422"/>
    <cellStyle name="Note 15 2 3 6 2 2" xfId="8423"/>
    <cellStyle name="Note 15 2 3 6 2 2 2" xfId="8424"/>
    <cellStyle name="Note 15 2 3 6 2 3" xfId="8425"/>
    <cellStyle name="Note 15 2 3 6 3" xfId="8426"/>
    <cellStyle name="Note 15 2 3 6 3 2" xfId="8427"/>
    <cellStyle name="Note 15 2 3 6 3 2 2" xfId="8428"/>
    <cellStyle name="Note 15 2 3 6 3 3" xfId="8429"/>
    <cellStyle name="Note 15 2 3 6 4" xfId="8430"/>
    <cellStyle name="Note 15 2 3 6 4 2" xfId="8431"/>
    <cellStyle name="Note 15 2 3 6 5" xfId="8432"/>
    <cellStyle name="Note 15 2 3 6 5 2" xfId="8433"/>
    <cellStyle name="Note 15 2 3 6 6" xfId="8434"/>
    <cellStyle name="Note 15 2 3 6 6 2" xfId="8435"/>
    <cellStyle name="Note 15 2 3 6 7" xfId="8436"/>
    <cellStyle name="Note 15 2 3 7" xfId="8437"/>
    <cellStyle name="Note 15 2 3 7 2" xfId="8438"/>
    <cellStyle name="Note 15 2 3 8" xfId="8439"/>
    <cellStyle name="Note 15 2 3 8 2" xfId="8440"/>
    <cellStyle name="Note 15 2 4" xfId="8441"/>
    <cellStyle name="Note 15 2 4 2" xfId="8442"/>
    <cellStyle name="Note 15 2 4 2 2" xfId="8443"/>
    <cellStyle name="Note 15 2 4 2 2 2" xfId="8444"/>
    <cellStyle name="Note 15 2 4 2 2 2 2" xfId="8445"/>
    <cellStyle name="Note 15 2 4 2 2 2 2 2" xfId="8446"/>
    <cellStyle name="Note 15 2 4 2 2 2 3" xfId="8447"/>
    <cellStyle name="Note 15 2 4 2 2 3" xfId="8448"/>
    <cellStyle name="Note 15 2 4 2 2 3 2" xfId="8449"/>
    <cellStyle name="Note 15 2 4 2 2 3 2 2" xfId="8450"/>
    <cellStyle name="Note 15 2 4 2 2 3 3" xfId="8451"/>
    <cellStyle name="Note 15 2 4 2 2 4" xfId="8452"/>
    <cellStyle name="Note 15 2 4 2 2 4 2" xfId="8453"/>
    <cellStyle name="Note 15 2 4 2 2 5" xfId="8454"/>
    <cellStyle name="Note 15 2 4 2 2 5 2" xfId="8455"/>
    <cellStyle name="Note 15 2 4 2 2 6" xfId="8456"/>
    <cellStyle name="Note 15 2 4 2 2 6 2" xfId="8457"/>
    <cellStyle name="Note 15 2 4 2 2 7" xfId="8458"/>
    <cellStyle name="Note 15 2 4 2 3" xfId="8459"/>
    <cellStyle name="Note 15 2 4 2 3 2" xfId="8460"/>
    <cellStyle name="Note 15 2 4 2 3 2 2" xfId="8461"/>
    <cellStyle name="Note 15 2 4 2 3 2 2 2" xfId="8462"/>
    <cellStyle name="Note 15 2 4 2 3 2 3" xfId="8463"/>
    <cellStyle name="Note 15 2 4 2 3 3" xfId="8464"/>
    <cellStyle name="Note 15 2 4 2 3 3 2" xfId="8465"/>
    <cellStyle name="Note 15 2 4 2 3 3 2 2" xfId="8466"/>
    <cellStyle name="Note 15 2 4 2 3 3 3" xfId="8467"/>
    <cellStyle name="Note 15 2 4 2 3 4" xfId="8468"/>
    <cellStyle name="Note 15 2 4 2 3 4 2" xfId="8469"/>
    <cellStyle name="Note 15 2 4 2 3 5" xfId="8470"/>
    <cellStyle name="Note 15 2 4 2 3 5 2" xfId="8471"/>
    <cellStyle name="Note 15 2 4 2 3 6" xfId="8472"/>
    <cellStyle name="Note 15 2 4 2 3 6 2" xfId="8473"/>
    <cellStyle name="Note 15 2 4 2 3 7" xfId="8474"/>
    <cellStyle name="Note 15 2 4 2 4" xfId="8475"/>
    <cellStyle name="Note 15 2 4 2 4 2" xfId="8476"/>
    <cellStyle name="Note 15 2 4 2 5" xfId="8477"/>
    <cellStyle name="Note 15 2 4 2 5 2" xfId="8478"/>
    <cellStyle name="Note 15 2 4 3" xfId="8479"/>
    <cellStyle name="Note 15 2 4 3 2" xfId="8480"/>
    <cellStyle name="Note 15 2 4 3 2 2" xfId="8481"/>
    <cellStyle name="Note 15 2 4 3 2 2 2" xfId="8482"/>
    <cellStyle name="Note 15 2 4 3 2 2 2 2" xfId="8483"/>
    <cellStyle name="Note 15 2 4 3 2 2 3" xfId="8484"/>
    <cellStyle name="Note 15 2 4 3 2 3" xfId="8485"/>
    <cellStyle name="Note 15 2 4 3 2 3 2" xfId="8486"/>
    <cellStyle name="Note 15 2 4 3 2 3 2 2" xfId="8487"/>
    <cellStyle name="Note 15 2 4 3 2 3 3" xfId="8488"/>
    <cellStyle name="Note 15 2 4 3 2 4" xfId="8489"/>
    <cellStyle name="Note 15 2 4 3 2 4 2" xfId="8490"/>
    <cellStyle name="Note 15 2 4 3 2 5" xfId="8491"/>
    <cellStyle name="Note 15 2 4 3 2 5 2" xfId="8492"/>
    <cellStyle name="Note 15 2 4 3 2 6" xfId="8493"/>
    <cellStyle name="Note 15 2 4 3 2 6 2" xfId="8494"/>
    <cellStyle name="Note 15 2 4 3 2 7" xfId="8495"/>
    <cellStyle name="Note 15 2 4 3 3" xfId="8496"/>
    <cellStyle name="Note 15 2 4 3 3 2" xfId="8497"/>
    <cellStyle name="Note 15 2 4 3 3 2 2" xfId="8498"/>
    <cellStyle name="Note 15 2 4 3 3 2 2 2" xfId="8499"/>
    <cellStyle name="Note 15 2 4 3 3 2 3" xfId="8500"/>
    <cellStyle name="Note 15 2 4 3 3 3" xfId="8501"/>
    <cellStyle name="Note 15 2 4 3 3 3 2" xfId="8502"/>
    <cellStyle name="Note 15 2 4 3 3 3 2 2" xfId="8503"/>
    <cellStyle name="Note 15 2 4 3 3 3 3" xfId="8504"/>
    <cellStyle name="Note 15 2 4 3 3 4" xfId="8505"/>
    <cellStyle name="Note 15 2 4 3 3 4 2" xfId="8506"/>
    <cellStyle name="Note 15 2 4 3 3 5" xfId="8507"/>
    <cellStyle name="Note 15 2 4 3 3 5 2" xfId="8508"/>
    <cellStyle name="Note 15 2 4 3 3 6" xfId="8509"/>
    <cellStyle name="Note 15 2 4 3 3 6 2" xfId="8510"/>
    <cellStyle name="Note 15 2 4 3 3 7" xfId="8511"/>
    <cellStyle name="Note 15 2 4 3 4" xfId="8512"/>
    <cellStyle name="Note 15 2 4 3 4 2" xfId="8513"/>
    <cellStyle name="Note 15 2 4 3 5" xfId="8514"/>
    <cellStyle name="Note 15 2 4 3 5 2" xfId="8515"/>
    <cellStyle name="Note 15 2 4 4" xfId="8516"/>
    <cellStyle name="Note 15 2 4 4 2" xfId="8517"/>
    <cellStyle name="Note 15 2 4 4 2 2" xfId="8518"/>
    <cellStyle name="Note 15 2 4 4 2 2 2" xfId="8519"/>
    <cellStyle name="Note 15 2 4 4 2 3" xfId="8520"/>
    <cellStyle name="Note 15 2 4 4 3" xfId="8521"/>
    <cellStyle name="Note 15 2 4 4 3 2" xfId="8522"/>
    <cellStyle name="Note 15 2 4 4 3 2 2" xfId="8523"/>
    <cellStyle name="Note 15 2 4 4 3 3" xfId="8524"/>
    <cellStyle name="Note 15 2 4 4 4" xfId="8525"/>
    <cellStyle name="Note 15 2 4 4 4 2" xfId="8526"/>
    <cellStyle name="Note 15 2 4 4 5" xfId="8527"/>
    <cellStyle name="Note 15 2 4 4 5 2" xfId="8528"/>
    <cellStyle name="Note 15 2 4 4 6" xfId="8529"/>
    <cellStyle name="Note 15 2 4 4 6 2" xfId="8530"/>
    <cellStyle name="Note 15 2 4 4 7" xfId="8531"/>
    <cellStyle name="Note 15 2 4 5" xfId="8532"/>
    <cellStyle name="Note 15 2 4 5 2" xfId="8533"/>
    <cellStyle name="Note 15 2 4 5 2 2" xfId="8534"/>
    <cellStyle name="Note 15 2 4 5 2 2 2" xfId="8535"/>
    <cellStyle name="Note 15 2 4 5 2 3" xfId="8536"/>
    <cellStyle name="Note 15 2 4 5 3" xfId="8537"/>
    <cellStyle name="Note 15 2 4 5 3 2" xfId="8538"/>
    <cellStyle name="Note 15 2 4 5 3 2 2" xfId="8539"/>
    <cellStyle name="Note 15 2 4 5 3 3" xfId="8540"/>
    <cellStyle name="Note 15 2 4 5 4" xfId="8541"/>
    <cellStyle name="Note 15 2 4 5 4 2" xfId="8542"/>
    <cellStyle name="Note 15 2 4 5 5" xfId="8543"/>
    <cellStyle name="Note 15 2 4 5 5 2" xfId="8544"/>
    <cellStyle name="Note 15 2 4 5 6" xfId="8545"/>
    <cellStyle name="Note 15 2 4 5 6 2" xfId="8546"/>
    <cellStyle name="Note 15 2 4 5 7" xfId="8547"/>
    <cellStyle name="Note 15 2 4 6" xfId="8548"/>
    <cellStyle name="Note 15 2 4 6 2" xfId="8549"/>
    <cellStyle name="Note 15 2 4 6 2 2" xfId="8550"/>
    <cellStyle name="Note 15 2 4 6 2 2 2" xfId="8551"/>
    <cellStyle name="Note 15 2 4 6 2 3" xfId="8552"/>
    <cellStyle name="Note 15 2 4 6 3" xfId="8553"/>
    <cellStyle name="Note 15 2 4 6 3 2" xfId="8554"/>
    <cellStyle name="Note 15 2 4 6 3 2 2" xfId="8555"/>
    <cellStyle name="Note 15 2 4 6 3 3" xfId="8556"/>
    <cellStyle name="Note 15 2 4 6 4" xfId="8557"/>
    <cellStyle name="Note 15 2 4 6 4 2" xfId="8558"/>
    <cellStyle name="Note 15 2 4 6 5" xfId="8559"/>
    <cellStyle name="Note 15 2 4 6 5 2" xfId="8560"/>
    <cellStyle name="Note 15 2 4 6 6" xfId="8561"/>
    <cellStyle name="Note 15 2 4 6 6 2" xfId="8562"/>
    <cellStyle name="Note 15 2 4 6 7" xfId="8563"/>
    <cellStyle name="Note 15 2 4 7" xfId="8564"/>
    <cellStyle name="Note 15 2 4 7 2" xfId="8565"/>
    <cellStyle name="Note 15 2 4 8" xfId="8566"/>
    <cellStyle name="Note 15 2 4 8 2" xfId="8567"/>
    <cellStyle name="Note 15 2 5" xfId="8568"/>
    <cellStyle name="Note 15 2 5 2" xfId="8569"/>
    <cellStyle name="Note 15 2 5 2 2" xfId="8570"/>
    <cellStyle name="Note 15 2 5 2 2 2" xfId="8571"/>
    <cellStyle name="Note 15 2 5 2 2 2 2" xfId="8572"/>
    <cellStyle name="Note 15 2 5 2 2 2 2 2" xfId="8573"/>
    <cellStyle name="Note 15 2 5 2 2 2 3" xfId="8574"/>
    <cellStyle name="Note 15 2 5 2 2 3" xfId="8575"/>
    <cellStyle name="Note 15 2 5 2 2 3 2" xfId="8576"/>
    <cellStyle name="Note 15 2 5 2 2 3 2 2" xfId="8577"/>
    <cellStyle name="Note 15 2 5 2 2 3 3" xfId="8578"/>
    <cellStyle name="Note 15 2 5 2 2 4" xfId="8579"/>
    <cellStyle name="Note 15 2 5 2 2 4 2" xfId="8580"/>
    <cellStyle name="Note 15 2 5 2 2 5" xfId="8581"/>
    <cellStyle name="Note 15 2 5 2 2 5 2" xfId="8582"/>
    <cellStyle name="Note 15 2 5 2 2 6" xfId="8583"/>
    <cellStyle name="Note 15 2 5 2 2 6 2" xfId="8584"/>
    <cellStyle name="Note 15 2 5 2 2 7" xfId="8585"/>
    <cellStyle name="Note 15 2 5 2 3" xfId="8586"/>
    <cellStyle name="Note 15 2 5 2 3 2" xfId="8587"/>
    <cellStyle name="Note 15 2 5 2 3 2 2" xfId="8588"/>
    <cellStyle name="Note 15 2 5 2 3 2 2 2" xfId="8589"/>
    <cellStyle name="Note 15 2 5 2 3 2 3" xfId="8590"/>
    <cellStyle name="Note 15 2 5 2 3 3" xfId="8591"/>
    <cellStyle name="Note 15 2 5 2 3 3 2" xfId="8592"/>
    <cellStyle name="Note 15 2 5 2 3 3 2 2" xfId="8593"/>
    <cellStyle name="Note 15 2 5 2 3 3 3" xfId="8594"/>
    <cellStyle name="Note 15 2 5 2 3 4" xfId="8595"/>
    <cellStyle name="Note 15 2 5 2 3 4 2" xfId="8596"/>
    <cellStyle name="Note 15 2 5 2 3 5" xfId="8597"/>
    <cellStyle name="Note 15 2 5 2 3 5 2" xfId="8598"/>
    <cellStyle name="Note 15 2 5 2 3 6" xfId="8599"/>
    <cellStyle name="Note 15 2 5 2 3 6 2" xfId="8600"/>
    <cellStyle name="Note 15 2 5 2 3 7" xfId="8601"/>
    <cellStyle name="Note 15 2 5 2 4" xfId="8602"/>
    <cellStyle name="Note 15 2 5 2 4 2" xfId="8603"/>
    <cellStyle name="Note 15 2 5 2 5" xfId="8604"/>
    <cellStyle name="Note 15 2 5 2 5 2" xfId="8605"/>
    <cellStyle name="Note 15 2 5 3" xfId="8606"/>
    <cellStyle name="Note 15 2 5 3 2" xfId="8607"/>
    <cellStyle name="Note 15 2 5 3 2 2" xfId="8608"/>
    <cellStyle name="Note 15 2 5 3 2 2 2" xfId="8609"/>
    <cellStyle name="Note 15 2 5 3 2 2 2 2" xfId="8610"/>
    <cellStyle name="Note 15 2 5 3 2 2 3" xfId="8611"/>
    <cellStyle name="Note 15 2 5 3 2 3" xfId="8612"/>
    <cellStyle name="Note 15 2 5 3 2 3 2" xfId="8613"/>
    <cellStyle name="Note 15 2 5 3 2 3 2 2" xfId="8614"/>
    <cellStyle name="Note 15 2 5 3 2 3 3" xfId="8615"/>
    <cellStyle name="Note 15 2 5 3 2 4" xfId="8616"/>
    <cellStyle name="Note 15 2 5 3 2 4 2" xfId="8617"/>
    <cellStyle name="Note 15 2 5 3 2 5" xfId="8618"/>
    <cellStyle name="Note 15 2 5 3 2 5 2" xfId="8619"/>
    <cellStyle name="Note 15 2 5 3 2 6" xfId="8620"/>
    <cellStyle name="Note 15 2 5 3 2 6 2" xfId="8621"/>
    <cellStyle name="Note 15 2 5 3 2 7" xfId="8622"/>
    <cellStyle name="Note 15 2 5 3 3" xfId="8623"/>
    <cellStyle name="Note 15 2 5 3 3 2" xfId="8624"/>
    <cellStyle name="Note 15 2 5 3 3 2 2" xfId="8625"/>
    <cellStyle name="Note 15 2 5 3 3 2 2 2" xfId="8626"/>
    <cellStyle name="Note 15 2 5 3 3 2 3" xfId="8627"/>
    <cellStyle name="Note 15 2 5 3 3 3" xfId="8628"/>
    <cellStyle name="Note 15 2 5 3 3 3 2" xfId="8629"/>
    <cellStyle name="Note 15 2 5 3 3 3 2 2" xfId="8630"/>
    <cellStyle name="Note 15 2 5 3 3 3 3" xfId="8631"/>
    <cellStyle name="Note 15 2 5 3 3 4" xfId="8632"/>
    <cellStyle name="Note 15 2 5 3 3 4 2" xfId="8633"/>
    <cellStyle name="Note 15 2 5 3 3 5" xfId="8634"/>
    <cellStyle name="Note 15 2 5 3 3 5 2" xfId="8635"/>
    <cellStyle name="Note 15 2 5 3 3 6" xfId="8636"/>
    <cellStyle name="Note 15 2 5 3 3 6 2" xfId="8637"/>
    <cellStyle name="Note 15 2 5 3 3 7" xfId="8638"/>
    <cellStyle name="Note 15 2 5 3 4" xfId="8639"/>
    <cellStyle name="Note 15 2 5 3 4 2" xfId="8640"/>
    <cellStyle name="Note 15 2 5 3 5" xfId="8641"/>
    <cellStyle name="Note 15 2 5 3 5 2" xfId="8642"/>
    <cellStyle name="Note 15 2 5 4" xfId="8643"/>
    <cellStyle name="Note 15 2 5 4 2" xfId="8644"/>
    <cellStyle name="Note 15 2 5 4 2 2" xfId="8645"/>
    <cellStyle name="Note 15 2 5 4 2 2 2" xfId="8646"/>
    <cellStyle name="Note 15 2 5 4 2 3" xfId="8647"/>
    <cellStyle name="Note 15 2 5 4 3" xfId="8648"/>
    <cellStyle name="Note 15 2 5 4 3 2" xfId="8649"/>
    <cellStyle name="Note 15 2 5 4 3 2 2" xfId="8650"/>
    <cellStyle name="Note 15 2 5 4 3 3" xfId="8651"/>
    <cellStyle name="Note 15 2 5 4 4" xfId="8652"/>
    <cellStyle name="Note 15 2 5 4 4 2" xfId="8653"/>
    <cellStyle name="Note 15 2 5 4 5" xfId="8654"/>
    <cellStyle name="Note 15 2 5 4 5 2" xfId="8655"/>
    <cellStyle name="Note 15 2 5 4 6" xfId="8656"/>
    <cellStyle name="Note 15 2 5 4 6 2" xfId="8657"/>
    <cellStyle name="Note 15 2 5 4 7" xfId="8658"/>
    <cellStyle name="Note 15 2 5 5" xfId="8659"/>
    <cellStyle name="Note 15 2 5 5 2" xfId="8660"/>
    <cellStyle name="Note 15 2 5 5 2 2" xfId="8661"/>
    <cellStyle name="Note 15 2 5 5 2 2 2" xfId="8662"/>
    <cellStyle name="Note 15 2 5 5 2 3" xfId="8663"/>
    <cellStyle name="Note 15 2 5 5 3" xfId="8664"/>
    <cellStyle name="Note 15 2 5 5 3 2" xfId="8665"/>
    <cellStyle name="Note 15 2 5 5 3 2 2" xfId="8666"/>
    <cellStyle name="Note 15 2 5 5 3 3" xfId="8667"/>
    <cellStyle name="Note 15 2 5 5 4" xfId="8668"/>
    <cellStyle name="Note 15 2 5 5 4 2" xfId="8669"/>
    <cellStyle name="Note 15 2 5 5 5" xfId="8670"/>
    <cellStyle name="Note 15 2 5 5 5 2" xfId="8671"/>
    <cellStyle name="Note 15 2 5 5 6" xfId="8672"/>
    <cellStyle name="Note 15 2 5 5 6 2" xfId="8673"/>
    <cellStyle name="Note 15 2 5 5 7" xfId="8674"/>
    <cellStyle name="Note 15 2 5 6" xfId="8675"/>
    <cellStyle name="Note 15 2 5 6 2" xfId="8676"/>
    <cellStyle name="Note 15 2 5 6 2 2" xfId="8677"/>
    <cellStyle name="Note 15 2 5 6 2 2 2" xfId="8678"/>
    <cellStyle name="Note 15 2 5 6 2 3" xfId="8679"/>
    <cellStyle name="Note 15 2 5 6 3" xfId="8680"/>
    <cellStyle name="Note 15 2 5 6 3 2" xfId="8681"/>
    <cellStyle name="Note 15 2 5 6 3 2 2" xfId="8682"/>
    <cellStyle name="Note 15 2 5 6 3 3" xfId="8683"/>
    <cellStyle name="Note 15 2 5 6 4" xfId="8684"/>
    <cellStyle name="Note 15 2 5 6 4 2" xfId="8685"/>
    <cellStyle name="Note 15 2 5 6 5" xfId="8686"/>
    <cellStyle name="Note 15 2 5 6 5 2" xfId="8687"/>
    <cellStyle name="Note 15 2 5 6 6" xfId="8688"/>
    <cellStyle name="Note 15 2 5 6 6 2" xfId="8689"/>
    <cellStyle name="Note 15 2 5 6 7" xfId="8690"/>
    <cellStyle name="Note 15 2 5 7" xfId="8691"/>
    <cellStyle name="Note 15 2 5 7 2" xfId="8692"/>
    <cellStyle name="Note 15 2 5 8" xfId="8693"/>
    <cellStyle name="Note 15 2 5 8 2" xfId="8694"/>
    <cellStyle name="Note 15 2 6" xfId="8695"/>
    <cellStyle name="Note 15 2 6 2" xfId="8696"/>
    <cellStyle name="Note 15 2 6 2 2" xfId="8697"/>
    <cellStyle name="Note 15 2 6 2 2 2" xfId="8698"/>
    <cellStyle name="Note 15 2 6 2 2 2 2" xfId="8699"/>
    <cellStyle name="Note 15 2 6 2 2 2 2 2" xfId="8700"/>
    <cellStyle name="Note 15 2 6 2 2 2 3" xfId="8701"/>
    <cellStyle name="Note 15 2 6 2 2 3" xfId="8702"/>
    <cellStyle name="Note 15 2 6 2 2 3 2" xfId="8703"/>
    <cellStyle name="Note 15 2 6 2 2 3 2 2" xfId="8704"/>
    <cellStyle name="Note 15 2 6 2 2 3 3" xfId="8705"/>
    <cellStyle name="Note 15 2 6 2 2 4" xfId="8706"/>
    <cellStyle name="Note 15 2 6 2 2 4 2" xfId="8707"/>
    <cellStyle name="Note 15 2 6 2 2 5" xfId="8708"/>
    <cellStyle name="Note 15 2 6 2 2 5 2" xfId="8709"/>
    <cellStyle name="Note 15 2 6 2 2 6" xfId="8710"/>
    <cellStyle name="Note 15 2 6 2 2 6 2" xfId="8711"/>
    <cellStyle name="Note 15 2 6 2 2 7" xfId="8712"/>
    <cellStyle name="Note 15 2 6 2 3" xfId="8713"/>
    <cellStyle name="Note 15 2 6 2 3 2" xfId="8714"/>
    <cellStyle name="Note 15 2 6 2 3 2 2" xfId="8715"/>
    <cellStyle name="Note 15 2 6 2 3 2 2 2" xfId="8716"/>
    <cellStyle name="Note 15 2 6 2 3 2 3" xfId="8717"/>
    <cellStyle name="Note 15 2 6 2 3 3" xfId="8718"/>
    <cellStyle name="Note 15 2 6 2 3 3 2" xfId="8719"/>
    <cellStyle name="Note 15 2 6 2 3 3 2 2" xfId="8720"/>
    <cellStyle name="Note 15 2 6 2 3 3 3" xfId="8721"/>
    <cellStyle name="Note 15 2 6 2 3 4" xfId="8722"/>
    <cellStyle name="Note 15 2 6 2 3 4 2" xfId="8723"/>
    <cellStyle name="Note 15 2 6 2 3 5" xfId="8724"/>
    <cellStyle name="Note 15 2 6 2 3 5 2" xfId="8725"/>
    <cellStyle name="Note 15 2 6 2 3 6" xfId="8726"/>
    <cellStyle name="Note 15 2 6 2 3 6 2" xfId="8727"/>
    <cellStyle name="Note 15 2 6 2 3 7" xfId="8728"/>
    <cellStyle name="Note 15 2 6 2 4" xfId="8729"/>
    <cellStyle name="Note 15 2 6 2 4 2" xfId="8730"/>
    <cellStyle name="Note 15 2 6 2 5" xfId="8731"/>
    <cellStyle name="Note 15 2 6 2 5 2" xfId="8732"/>
    <cellStyle name="Note 15 2 6 3" xfId="8733"/>
    <cellStyle name="Note 15 2 6 3 2" xfId="8734"/>
    <cellStyle name="Note 15 2 6 3 2 2" xfId="8735"/>
    <cellStyle name="Note 15 2 6 3 2 2 2" xfId="8736"/>
    <cellStyle name="Note 15 2 6 3 2 2 2 2" xfId="8737"/>
    <cellStyle name="Note 15 2 6 3 2 2 3" xfId="8738"/>
    <cellStyle name="Note 15 2 6 3 2 3" xfId="8739"/>
    <cellStyle name="Note 15 2 6 3 2 3 2" xfId="8740"/>
    <cellStyle name="Note 15 2 6 3 2 3 2 2" xfId="8741"/>
    <cellStyle name="Note 15 2 6 3 2 3 3" xfId="8742"/>
    <cellStyle name="Note 15 2 6 3 2 4" xfId="8743"/>
    <cellStyle name="Note 15 2 6 3 2 4 2" xfId="8744"/>
    <cellStyle name="Note 15 2 6 3 2 5" xfId="8745"/>
    <cellStyle name="Note 15 2 6 3 2 5 2" xfId="8746"/>
    <cellStyle name="Note 15 2 6 3 2 6" xfId="8747"/>
    <cellStyle name="Note 15 2 6 3 2 6 2" xfId="8748"/>
    <cellStyle name="Note 15 2 6 3 2 7" xfId="8749"/>
    <cellStyle name="Note 15 2 6 3 3" xfId="8750"/>
    <cellStyle name="Note 15 2 6 3 3 2" xfId="8751"/>
    <cellStyle name="Note 15 2 6 3 3 2 2" xfId="8752"/>
    <cellStyle name="Note 15 2 6 3 3 2 2 2" xfId="8753"/>
    <cellStyle name="Note 15 2 6 3 3 2 3" xfId="8754"/>
    <cellStyle name="Note 15 2 6 3 3 3" xfId="8755"/>
    <cellStyle name="Note 15 2 6 3 3 3 2" xfId="8756"/>
    <cellStyle name="Note 15 2 6 3 3 3 2 2" xfId="8757"/>
    <cellStyle name="Note 15 2 6 3 3 3 3" xfId="8758"/>
    <cellStyle name="Note 15 2 6 3 3 4" xfId="8759"/>
    <cellStyle name="Note 15 2 6 3 3 4 2" xfId="8760"/>
    <cellStyle name="Note 15 2 6 3 3 5" xfId="8761"/>
    <cellStyle name="Note 15 2 6 3 3 5 2" xfId="8762"/>
    <cellStyle name="Note 15 2 6 3 3 6" xfId="8763"/>
    <cellStyle name="Note 15 2 6 3 3 6 2" xfId="8764"/>
    <cellStyle name="Note 15 2 6 3 3 7" xfId="8765"/>
    <cellStyle name="Note 15 2 6 3 4" xfId="8766"/>
    <cellStyle name="Note 15 2 6 3 4 2" xfId="8767"/>
    <cellStyle name="Note 15 2 6 3 5" xfId="8768"/>
    <cellStyle name="Note 15 2 6 3 5 2" xfId="8769"/>
    <cellStyle name="Note 15 2 6 4" xfId="8770"/>
    <cellStyle name="Note 15 2 6 4 2" xfId="8771"/>
    <cellStyle name="Note 15 2 6 4 2 2" xfId="8772"/>
    <cellStyle name="Note 15 2 6 4 2 2 2" xfId="8773"/>
    <cellStyle name="Note 15 2 6 4 2 3" xfId="8774"/>
    <cellStyle name="Note 15 2 6 4 3" xfId="8775"/>
    <cellStyle name="Note 15 2 6 4 3 2" xfId="8776"/>
    <cellStyle name="Note 15 2 6 4 3 2 2" xfId="8777"/>
    <cellStyle name="Note 15 2 6 4 3 3" xfId="8778"/>
    <cellStyle name="Note 15 2 6 4 4" xfId="8779"/>
    <cellStyle name="Note 15 2 6 4 4 2" xfId="8780"/>
    <cellStyle name="Note 15 2 6 4 5" xfId="8781"/>
    <cellStyle name="Note 15 2 6 4 5 2" xfId="8782"/>
    <cellStyle name="Note 15 2 6 4 6" xfId="8783"/>
    <cellStyle name="Note 15 2 6 4 6 2" xfId="8784"/>
    <cellStyle name="Note 15 2 6 4 7" xfId="8785"/>
    <cellStyle name="Note 15 2 6 5" xfId="8786"/>
    <cellStyle name="Note 15 2 6 5 2" xfId="8787"/>
    <cellStyle name="Note 15 2 6 5 2 2" xfId="8788"/>
    <cellStyle name="Note 15 2 6 5 2 2 2" xfId="8789"/>
    <cellStyle name="Note 15 2 6 5 2 3" xfId="8790"/>
    <cellStyle name="Note 15 2 6 5 3" xfId="8791"/>
    <cellStyle name="Note 15 2 6 5 3 2" xfId="8792"/>
    <cellStyle name="Note 15 2 6 5 3 2 2" xfId="8793"/>
    <cellStyle name="Note 15 2 6 5 3 3" xfId="8794"/>
    <cellStyle name="Note 15 2 6 5 4" xfId="8795"/>
    <cellStyle name="Note 15 2 6 5 4 2" xfId="8796"/>
    <cellStyle name="Note 15 2 6 5 5" xfId="8797"/>
    <cellStyle name="Note 15 2 6 5 5 2" xfId="8798"/>
    <cellStyle name="Note 15 2 6 5 6" xfId="8799"/>
    <cellStyle name="Note 15 2 6 5 6 2" xfId="8800"/>
    <cellStyle name="Note 15 2 6 5 7" xfId="8801"/>
    <cellStyle name="Note 15 2 6 6" xfId="8802"/>
    <cellStyle name="Note 15 2 6 6 2" xfId="8803"/>
    <cellStyle name="Note 15 2 6 6 2 2" xfId="8804"/>
    <cellStyle name="Note 15 2 6 6 2 2 2" xfId="8805"/>
    <cellStyle name="Note 15 2 6 6 2 3" xfId="8806"/>
    <cellStyle name="Note 15 2 6 6 3" xfId="8807"/>
    <cellStyle name="Note 15 2 6 6 3 2" xfId="8808"/>
    <cellStyle name="Note 15 2 6 6 3 2 2" xfId="8809"/>
    <cellStyle name="Note 15 2 6 6 3 3" xfId="8810"/>
    <cellStyle name="Note 15 2 6 6 4" xfId="8811"/>
    <cellStyle name="Note 15 2 6 6 4 2" xfId="8812"/>
    <cellStyle name="Note 15 2 6 6 5" xfId="8813"/>
    <cellStyle name="Note 15 2 6 6 5 2" xfId="8814"/>
    <cellStyle name="Note 15 2 6 6 6" xfId="8815"/>
    <cellStyle name="Note 15 2 6 6 6 2" xfId="8816"/>
    <cellStyle name="Note 15 2 6 6 7" xfId="8817"/>
    <cellStyle name="Note 15 2 6 7" xfId="8818"/>
    <cellStyle name="Note 15 2 6 7 2" xfId="8819"/>
    <cellStyle name="Note 15 2 6 8" xfId="8820"/>
    <cellStyle name="Note 15 2 6 8 2" xfId="8821"/>
    <cellStyle name="Note 15 2 7" xfId="8822"/>
    <cellStyle name="Note 15 2 7 2" xfId="8823"/>
    <cellStyle name="Note 15 2 7 2 2" xfId="8824"/>
    <cellStyle name="Note 15 2 7 2 2 2" xfId="8825"/>
    <cellStyle name="Note 15 2 7 2 2 2 2" xfId="8826"/>
    <cellStyle name="Note 15 2 7 2 2 2 2 2" xfId="8827"/>
    <cellStyle name="Note 15 2 7 2 2 2 3" xfId="8828"/>
    <cellStyle name="Note 15 2 7 2 2 3" xfId="8829"/>
    <cellStyle name="Note 15 2 7 2 2 3 2" xfId="8830"/>
    <cellStyle name="Note 15 2 7 2 2 3 2 2" xfId="8831"/>
    <cellStyle name="Note 15 2 7 2 2 3 3" xfId="8832"/>
    <cellStyle name="Note 15 2 7 2 2 4" xfId="8833"/>
    <cellStyle name="Note 15 2 7 2 2 4 2" xfId="8834"/>
    <cellStyle name="Note 15 2 7 2 2 5" xfId="8835"/>
    <cellStyle name="Note 15 2 7 2 2 5 2" xfId="8836"/>
    <cellStyle name="Note 15 2 7 2 2 6" xfId="8837"/>
    <cellStyle name="Note 15 2 7 2 2 6 2" xfId="8838"/>
    <cellStyle name="Note 15 2 7 2 2 7" xfId="8839"/>
    <cellStyle name="Note 15 2 7 2 3" xfId="8840"/>
    <cellStyle name="Note 15 2 7 2 3 2" xfId="8841"/>
    <cellStyle name="Note 15 2 7 2 3 2 2" xfId="8842"/>
    <cellStyle name="Note 15 2 7 2 3 2 2 2" xfId="8843"/>
    <cellStyle name="Note 15 2 7 2 3 2 3" xfId="8844"/>
    <cellStyle name="Note 15 2 7 2 3 3" xfId="8845"/>
    <cellStyle name="Note 15 2 7 2 3 3 2" xfId="8846"/>
    <cellStyle name="Note 15 2 7 2 3 3 2 2" xfId="8847"/>
    <cellStyle name="Note 15 2 7 2 3 3 3" xfId="8848"/>
    <cellStyle name="Note 15 2 7 2 3 4" xfId="8849"/>
    <cellStyle name="Note 15 2 7 2 3 4 2" xfId="8850"/>
    <cellStyle name="Note 15 2 7 2 3 5" xfId="8851"/>
    <cellStyle name="Note 15 2 7 2 3 5 2" xfId="8852"/>
    <cellStyle name="Note 15 2 7 2 3 6" xfId="8853"/>
    <cellStyle name="Note 15 2 7 2 3 6 2" xfId="8854"/>
    <cellStyle name="Note 15 2 7 2 3 7" xfId="8855"/>
    <cellStyle name="Note 15 2 7 2 4" xfId="8856"/>
    <cellStyle name="Note 15 2 7 2 4 2" xfId="8857"/>
    <cellStyle name="Note 15 2 7 2 5" xfId="8858"/>
    <cellStyle name="Note 15 2 7 2 5 2" xfId="8859"/>
    <cellStyle name="Note 15 2 7 3" xfId="8860"/>
    <cellStyle name="Note 15 2 7 3 2" xfId="8861"/>
    <cellStyle name="Note 15 2 7 3 2 2" xfId="8862"/>
    <cellStyle name="Note 15 2 7 3 2 2 2" xfId="8863"/>
    <cellStyle name="Note 15 2 7 3 2 2 2 2" xfId="8864"/>
    <cellStyle name="Note 15 2 7 3 2 2 3" xfId="8865"/>
    <cellStyle name="Note 15 2 7 3 2 3" xfId="8866"/>
    <cellStyle name="Note 15 2 7 3 2 3 2" xfId="8867"/>
    <cellStyle name="Note 15 2 7 3 2 3 2 2" xfId="8868"/>
    <cellStyle name="Note 15 2 7 3 2 3 3" xfId="8869"/>
    <cellStyle name="Note 15 2 7 3 2 4" xfId="8870"/>
    <cellStyle name="Note 15 2 7 3 2 4 2" xfId="8871"/>
    <cellStyle name="Note 15 2 7 3 2 5" xfId="8872"/>
    <cellStyle name="Note 15 2 7 3 2 5 2" xfId="8873"/>
    <cellStyle name="Note 15 2 7 3 2 6" xfId="8874"/>
    <cellStyle name="Note 15 2 7 3 2 6 2" xfId="8875"/>
    <cellStyle name="Note 15 2 7 3 2 7" xfId="8876"/>
    <cellStyle name="Note 15 2 7 3 3" xfId="8877"/>
    <cellStyle name="Note 15 2 7 3 3 2" xfId="8878"/>
    <cellStyle name="Note 15 2 7 3 3 2 2" xfId="8879"/>
    <cellStyle name="Note 15 2 7 3 3 2 2 2" xfId="8880"/>
    <cellStyle name="Note 15 2 7 3 3 2 3" xfId="8881"/>
    <cellStyle name="Note 15 2 7 3 3 3" xfId="8882"/>
    <cellStyle name="Note 15 2 7 3 3 3 2" xfId="8883"/>
    <cellStyle name="Note 15 2 7 3 3 3 2 2" xfId="8884"/>
    <cellStyle name="Note 15 2 7 3 3 3 3" xfId="8885"/>
    <cellStyle name="Note 15 2 7 3 3 4" xfId="8886"/>
    <cellStyle name="Note 15 2 7 3 3 4 2" xfId="8887"/>
    <cellStyle name="Note 15 2 7 3 3 5" xfId="8888"/>
    <cellStyle name="Note 15 2 7 3 3 5 2" xfId="8889"/>
    <cellStyle name="Note 15 2 7 3 3 6" xfId="8890"/>
    <cellStyle name="Note 15 2 7 3 3 6 2" xfId="8891"/>
    <cellStyle name="Note 15 2 7 3 3 7" xfId="8892"/>
    <cellStyle name="Note 15 2 7 3 4" xfId="8893"/>
    <cellStyle name="Note 15 2 7 3 4 2" xfId="8894"/>
    <cellStyle name="Note 15 2 7 3 5" xfId="8895"/>
    <cellStyle name="Note 15 2 7 3 5 2" xfId="8896"/>
    <cellStyle name="Note 15 2 7 4" xfId="8897"/>
    <cellStyle name="Note 15 2 7 4 2" xfId="8898"/>
    <cellStyle name="Note 15 2 7 4 2 2" xfId="8899"/>
    <cellStyle name="Note 15 2 7 4 2 2 2" xfId="8900"/>
    <cellStyle name="Note 15 2 7 4 2 3" xfId="8901"/>
    <cellStyle name="Note 15 2 7 4 3" xfId="8902"/>
    <cellStyle name="Note 15 2 7 4 3 2" xfId="8903"/>
    <cellStyle name="Note 15 2 7 4 3 2 2" xfId="8904"/>
    <cellStyle name="Note 15 2 7 4 3 3" xfId="8905"/>
    <cellStyle name="Note 15 2 7 4 4" xfId="8906"/>
    <cellStyle name="Note 15 2 7 4 4 2" xfId="8907"/>
    <cellStyle name="Note 15 2 7 4 5" xfId="8908"/>
    <cellStyle name="Note 15 2 7 4 5 2" xfId="8909"/>
    <cellStyle name="Note 15 2 7 4 6" xfId="8910"/>
    <cellStyle name="Note 15 2 7 4 6 2" xfId="8911"/>
    <cellStyle name="Note 15 2 7 4 7" xfId="8912"/>
    <cellStyle name="Note 15 2 7 5" xfId="8913"/>
    <cellStyle name="Note 15 2 7 5 2" xfId="8914"/>
    <cellStyle name="Note 15 2 7 5 2 2" xfId="8915"/>
    <cellStyle name="Note 15 2 7 5 2 2 2" xfId="8916"/>
    <cellStyle name="Note 15 2 7 5 2 3" xfId="8917"/>
    <cellStyle name="Note 15 2 7 5 3" xfId="8918"/>
    <cellStyle name="Note 15 2 7 5 3 2" xfId="8919"/>
    <cellStyle name="Note 15 2 7 5 3 2 2" xfId="8920"/>
    <cellStyle name="Note 15 2 7 5 3 3" xfId="8921"/>
    <cellStyle name="Note 15 2 7 5 4" xfId="8922"/>
    <cellStyle name="Note 15 2 7 5 4 2" xfId="8923"/>
    <cellStyle name="Note 15 2 7 5 5" xfId="8924"/>
    <cellStyle name="Note 15 2 7 5 5 2" xfId="8925"/>
    <cellStyle name="Note 15 2 7 5 6" xfId="8926"/>
    <cellStyle name="Note 15 2 7 5 6 2" xfId="8927"/>
    <cellStyle name="Note 15 2 7 5 7" xfId="8928"/>
    <cellStyle name="Note 15 2 7 6" xfId="8929"/>
    <cellStyle name="Note 15 2 7 6 2" xfId="8930"/>
    <cellStyle name="Note 15 2 7 7" xfId="8931"/>
    <cellStyle name="Note 15 2 7 7 2" xfId="8932"/>
    <cellStyle name="Note 15 2 8" xfId="8933"/>
    <cellStyle name="Note 15 2 8 2" xfId="8934"/>
    <cellStyle name="Note 15 2 8 2 2" xfId="8935"/>
    <cellStyle name="Note 15 2 8 2 2 2" xfId="8936"/>
    <cellStyle name="Note 15 2 8 2 2 2 2" xfId="8937"/>
    <cellStyle name="Note 15 2 8 2 2 3" xfId="8938"/>
    <cellStyle name="Note 15 2 8 2 3" xfId="8939"/>
    <cellStyle name="Note 15 2 8 2 3 2" xfId="8940"/>
    <cellStyle name="Note 15 2 8 2 3 2 2" xfId="8941"/>
    <cellStyle name="Note 15 2 8 2 3 3" xfId="8942"/>
    <cellStyle name="Note 15 2 8 2 4" xfId="8943"/>
    <cellStyle name="Note 15 2 8 2 4 2" xfId="8944"/>
    <cellStyle name="Note 15 2 8 2 5" xfId="8945"/>
    <cellStyle name="Note 15 2 8 2 5 2" xfId="8946"/>
    <cellStyle name="Note 15 2 8 2 6" xfId="8947"/>
    <cellStyle name="Note 15 2 8 2 6 2" xfId="8948"/>
    <cellStyle name="Note 15 2 8 2 7" xfId="8949"/>
    <cellStyle name="Note 15 2 8 3" xfId="8950"/>
    <cellStyle name="Note 15 2 8 3 2" xfId="8951"/>
    <cellStyle name="Note 15 2 8 3 2 2" xfId="8952"/>
    <cellStyle name="Note 15 2 8 3 2 2 2" xfId="8953"/>
    <cellStyle name="Note 15 2 8 3 2 3" xfId="8954"/>
    <cellStyle name="Note 15 2 8 3 3" xfId="8955"/>
    <cellStyle name="Note 15 2 8 3 3 2" xfId="8956"/>
    <cellStyle name="Note 15 2 8 3 3 2 2" xfId="8957"/>
    <cellStyle name="Note 15 2 8 3 3 3" xfId="8958"/>
    <cellStyle name="Note 15 2 8 3 4" xfId="8959"/>
    <cellStyle name="Note 15 2 8 3 4 2" xfId="8960"/>
    <cellStyle name="Note 15 2 8 3 5" xfId="8961"/>
    <cellStyle name="Note 15 2 8 3 5 2" xfId="8962"/>
    <cellStyle name="Note 15 2 8 3 6" xfId="8963"/>
    <cellStyle name="Note 15 2 8 3 6 2" xfId="8964"/>
    <cellStyle name="Note 15 2 8 3 7" xfId="8965"/>
    <cellStyle name="Note 15 2 8 4" xfId="8966"/>
    <cellStyle name="Note 15 2 8 4 2" xfId="8967"/>
    <cellStyle name="Note 15 2 8 5" xfId="8968"/>
    <cellStyle name="Note 15 2 8 5 2" xfId="8969"/>
    <cellStyle name="Note 15 2 9" xfId="8970"/>
    <cellStyle name="Note 15 2 9 2" xfId="8971"/>
    <cellStyle name="Note 15 2 9 2 2" xfId="8972"/>
    <cellStyle name="Note 15 2 9 2 2 2" xfId="8973"/>
    <cellStyle name="Note 15 2 9 2 2 2 2" xfId="8974"/>
    <cellStyle name="Note 15 2 9 2 2 3" xfId="8975"/>
    <cellStyle name="Note 15 2 9 2 3" xfId="8976"/>
    <cellStyle name="Note 15 2 9 2 3 2" xfId="8977"/>
    <cellStyle name="Note 15 2 9 2 3 2 2" xfId="8978"/>
    <cellStyle name="Note 15 2 9 2 3 3" xfId="8979"/>
    <cellStyle name="Note 15 2 9 2 4" xfId="8980"/>
    <cellStyle name="Note 15 2 9 2 4 2" xfId="8981"/>
    <cellStyle name="Note 15 2 9 2 5" xfId="8982"/>
    <cellStyle name="Note 15 2 9 2 5 2" xfId="8983"/>
    <cellStyle name="Note 15 2 9 2 6" xfId="8984"/>
    <cellStyle name="Note 15 2 9 2 6 2" xfId="8985"/>
    <cellStyle name="Note 15 2 9 2 7" xfId="8986"/>
    <cellStyle name="Note 15 2 9 3" xfId="8987"/>
    <cellStyle name="Note 15 2 9 3 2" xfId="8988"/>
    <cellStyle name="Note 15 2 9 3 2 2" xfId="8989"/>
    <cellStyle name="Note 15 2 9 3 2 2 2" xfId="8990"/>
    <cellStyle name="Note 15 2 9 3 2 3" xfId="8991"/>
    <cellStyle name="Note 15 2 9 3 3" xfId="8992"/>
    <cellStyle name="Note 15 2 9 3 3 2" xfId="8993"/>
    <cellStyle name="Note 15 2 9 3 3 2 2" xfId="8994"/>
    <cellStyle name="Note 15 2 9 3 3 3" xfId="8995"/>
    <cellStyle name="Note 15 2 9 3 4" xfId="8996"/>
    <cellStyle name="Note 15 2 9 3 4 2" xfId="8997"/>
    <cellStyle name="Note 15 2 9 3 5" xfId="8998"/>
    <cellStyle name="Note 15 2 9 3 5 2" xfId="8999"/>
    <cellStyle name="Note 15 2 9 3 6" xfId="9000"/>
    <cellStyle name="Note 15 2 9 3 6 2" xfId="9001"/>
    <cellStyle name="Note 15 2 9 3 7" xfId="9002"/>
    <cellStyle name="Note 15 2 9 4" xfId="9003"/>
    <cellStyle name="Note 15 2 9 4 2" xfId="9004"/>
    <cellStyle name="Note 15 2 9 5" xfId="9005"/>
    <cellStyle name="Note 15 2 9 5 2" xfId="9006"/>
    <cellStyle name="Note 15 3" xfId="9007"/>
    <cellStyle name="Note 15 3 2" xfId="9008"/>
    <cellStyle name="Note 15 3 2 2" xfId="9009"/>
    <cellStyle name="Note 15 3 2 2 2" xfId="9010"/>
    <cellStyle name="Note 15 3 2 2 2 2" xfId="9011"/>
    <cellStyle name="Note 15 3 2 2 3" xfId="9012"/>
    <cellStyle name="Note 15 3 2 3" xfId="9013"/>
    <cellStyle name="Note 15 3 2 3 2" xfId="9014"/>
    <cellStyle name="Note 15 3 2 3 2 2" xfId="9015"/>
    <cellStyle name="Note 15 3 2 3 3" xfId="9016"/>
    <cellStyle name="Note 15 3 2 4" xfId="9017"/>
    <cellStyle name="Note 15 3 2 4 2" xfId="9018"/>
    <cellStyle name="Note 15 3 2 5" xfId="9019"/>
    <cellStyle name="Note 15 3 2 5 2" xfId="9020"/>
    <cellStyle name="Note 15 3 2 6" xfId="9021"/>
    <cellStyle name="Note 15 3 2 6 2" xfId="9022"/>
    <cellStyle name="Note 15 3 2 7" xfId="9023"/>
    <cellStyle name="Note 15 3 3" xfId="9024"/>
    <cellStyle name="Note 15 3 3 2" xfId="9025"/>
    <cellStyle name="Note 15 3 3 2 2" xfId="9026"/>
    <cellStyle name="Note 15 3 3 2 2 2" xfId="9027"/>
    <cellStyle name="Note 15 3 3 2 3" xfId="9028"/>
    <cellStyle name="Note 15 3 3 3" xfId="9029"/>
    <cellStyle name="Note 15 3 3 3 2" xfId="9030"/>
    <cellStyle name="Note 15 3 3 3 2 2" xfId="9031"/>
    <cellStyle name="Note 15 3 3 3 3" xfId="9032"/>
    <cellStyle name="Note 15 3 3 4" xfId="9033"/>
    <cellStyle name="Note 15 3 3 4 2" xfId="9034"/>
    <cellStyle name="Note 15 3 3 5" xfId="9035"/>
    <cellStyle name="Note 15 3 3 5 2" xfId="9036"/>
    <cellStyle name="Note 15 3 3 6" xfId="9037"/>
    <cellStyle name="Note 15 3 3 6 2" xfId="9038"/>
    <cellStyle name="Note 15 3 3 7" xfId="9039"/>
    <cellStyle name="Note 15 3 4" xfId="9040"/>
    <cellStyle name="Note 15 3 4 2" xfId="9041"/>
    <cellStyle name="Note 15 3 5" xfId="9042"/>
    <cellStyle name="Note 15 3 5 2" xfId="9043"/>
    <cellStyle name="Note 15 4" xfId="9044"/>
    <cellStyle name="Note 15 4 2" xfId="9045"/>
    <cellStyle name="Note 15 4 2 2" xfId="9046"/>
    <cellStyle name="Note 15 4 2 2 2" xfId="9047"/>
    <cellStyle name="Note 15 4 2 2 2 2" xfId="9048"/>
    <cellStyle name="Note 15 4 2 2 3" xfId="9049"/>
    <cellStyle name="Note 15 4 2 3" xfId="9050"/>
    <cellStyle name="Note 15 4 2 3 2" xfId="9051"/>
    <cellStyle name="Note 15 4 2 3 2 2" xfId="9052"/>
    <cellStyle name="Note 15 4 2 3 3" xfId="9053"/>
    <cellStyle name="Note 15 4 2 4" xfId="9054"/>
    <cellStyle name="Note 15 4 2 4 2" xfId="9055"/>
    <cellStyle name="Note 15 4 2 5" xfId="9056"/>
    <cellStyle name="Note 15 4 2 5 2" xfId="9057"/>
    <cellStyle name="Note 15 4 2 6" xfId="9058"/>
    <cellStyle name="Note 15 4 2 6 2" xfId="9059"/>
    <cellStyle name="Note 15 4 2 7" xfId="9060"/>
    <cellStyle name="Note 15 4 3" xfId="9061"/>
    <cellStyle name="Note 15 4 3 2" xfId="9062"/>
    <cellStyle name="Note 15 4 3 2 2" xfId="9063"/>
    <cellStyle name="Note 15 4 3 2 2 2" xfId="9064"/>
    <cellStyle name="Note 15 4 3 2 3" xfId="9065"/>
    <cellStyle name="Note 15 4 3 3" xfId="9066"/>
    <cellStyle name="Note 15 4 3 3 2" xfId="9067"/>
    <cellStyle name="Note 15 4 3 3 2 2" xfId="9068"/>
    <cellStyle name="Note 15 4 3 3 3" xfId="9069"/>
    <cellStyle name="Note 15 4 3 4" xfId="9070"/>
    <cellStyle name="Note 15 4 3 4 2" xfId="9071"/>
    <cellStyle name="Note 15 4 3 5" xfId="9072"/>
    <cellStyle name="Note 15 4 3 5 2" xfId="9073"/>
    <cellStyle name="Note 15 4 3 6" xfId="9074"/>
    <cellStyle name="Note 15 4 3 6 2" xfId="9075"/>
    <cellStyle name="Note 15 4 3 7" xfId="9076"/>
    <cellStyle name="Note 15 4 4" xfId="9077"/>
    <cellStyle name="Note 15 4 4 2" xfId="9078"/>
    <cellStyle name="Note 15 4 5" xfId="9079"/>
    <cellStyle name="Note 15 4 5 2" xfId="9080"/>
    <cellStyle name="Note 15 5" xfId="9081"/>
    <cellStyle name="Note 15 5 2" xfId="9082"/>
    <cellStyle name="Note 15 5 2 2" xfId="9083"/>
    <cellStyle name="Note 15 5 2 2 2" xfId="9084"/>
    <cellStyle name="Note 15 5 2 3" xfId="9085"/>
    <cellStyle name="Note 15 5 3" xfId="9086"/>
    <cellStyle name="Note 15 5 3 2" xfId="9087"/>
    <cellStyle name="Note 15 5 3 2 2" xfId="9088"/>
    <cellStyle name="Note 15 5 3 3" xfId="9089"/>
    <cellStyle name="Note 15 5 4" xfId="9090"/>
    <cellStyle name="Note 15 5 4 2" xfId="9091"/>
    <cellStyle name="Note 15 5 5" xfId="9092"/>
    <cellStyle name="Note 15 5 5 2" xfId="9093"/>
    <cellStyle name="Note 15 5 6" xfId="9094"/>
    <cellStyle name="Note 15 5 6 2" xfId="9095"/>
    <cellStyle name="Note 15 5 7" xfId="9096"/>
    <cellStyle name="Note 15 6" xfId="9097"/>
    <cellStyle name="Note 15 6 2" xfId="9098"/>
    <cellStyle name="Note 15 6 2 2" xfId="9099"/>
    <cellStyle name="Note 15 6 2 2 2" xfId="9100"/>
    <cellStyle name="Note 15 6 2 3" xfId="9101"/>
    <cellStyle name="Note 15 6 3" xfId="9102"/>
    <cellStyle name="Note 15 6 3 2" xfId="9103"/>
    <cellStyle name="Note 15 6 3 2 2" xfId="9104"/>
    <cellStyle name="Note 15 6 3 3" xfId="9105"/>
    <cellStyle name="Note 15 6 4" xfId="9106"/>
    <cellStyle name="Note 15 6 4 2" xfId="9107"/>
    <cellStyle name="Note 15 6 5" xfId="9108"/>
    <cellStyle name="Note 15 6 5 2" xfId="9109"/>
    <cellStyle name="Note 15 6 6" xfId="9110"/>
    <cellStyle name="Note 15 6 6 2" xfId="9111"/>
    <cellStyle name="Note 15 6 7" xfId="9112"/>
    <cellStyle name="Note 15 7" xfId="9113"/>
    <cellStyle name="Note 15 7 2" xfId="9114"/>
    <cellStyle name="Note 15 8" xfId="9115"/>
    <cellStyle name="Note 15 8 2" xfId="9116"/>
    <cellStyle name="Note 15 9" xfId="9117"/>
    <cellStyle name="Note 15 9 2" xfId="9118"/>
    <cellStyle name="Note 16" xfId="290"/>
    <cellStyle name="Note 16 2" xfId="9119"/>
    <cellStyle name="Note 16 2 10" xfId="9120"/>
    <cellStyle name="Note 16 2 10 2" xfId="9121"/>
    <cellStyle name="Note 16 2 10 2 2" xfId="9122"/>
    <cellStyle name="Note 16 2 10 2 2 2" xfId="9123"/>
    <cellStyle name="Note 16 2 10 2 3" xfId="9124"/>
    <cellStyle name="Note 16 2 10 3" xfId="9125"/>
    <cellStyle name="Note 16 2 10 3 2" xfId="9126"/>
    <cellStyle name="Note 16 2 10 3 2 2" xfId="9127"/>
    <cellStyle name="Note 16 2 10 3 3" xfId="9128"/>
    <cellStyle name="Note 16 2 10 4" xfId="9129"/>
    <cellStyle name="Note 16 2 10 4 2" xfId="9130"/>
    <cellStyle name="Note 16 2 10 5" xfId="9131"/>
    <cellStyle name="Note 16 2 10 5 2" xfId="9132"/>
    <cellStyle name="Note 16 2 10 6" xfId="9133"/>
    <cellStyle name="Note 16 2 10 6 2" xfId="9134"/>
    <cellStyle name="Note 16 2 10 7" xfId="9135"/>
    <cellStyle name="Note 16 2 11" xfId="9136"/>
    <cellStyle name="Note 16 2 11 2" xfId="9137"/>
    <cellStyle name="Note 16 2 11 2 2" xfId="9138"/>
    <cellStyle name="Note 16 2 11 2 2 2" xfId="9139"/>
    <cellStyle name="Note 16 2 11 2 3" xfId="9140"/>
    <cellStyle name="Note 16 2 11 3" xfId="9141"/>
    <cellStyle name="Note 16 2 11 3 2" xfId="9142"/>
    <cellStyle name="Note 16 2 11 3 2 2" xfId="9143"/>
    <cellStyle name="Note 16 2 11 3 3" xfId="9144"/>
    <cellStyle name="Note 16 2 11 4" xfId="9145"/>
    <cellStyle name="Note 16 2 11 4 2" xfId="9146"/>
    <cellStyle name="Note 16 2 11 5" xfId="9147"/>
    <cellStyle name="Note 16 2 11 5 2" xfId="9148"/>
    <cellStyle name="Note 16 2 11 6" xfId="9149"/>
    <cellStyle name="Note 16 2 11 6 2" xfId="9150"/>
    <cellStyle name="Note 16 2 11 7" xfId="9151"/>
    <cellStyle name="Note 16 2 12" xfId="9152"/>
    <cellStyle name="Note 16 2 12 2" xfId="9153"/>
    <cellStyle name="Note 16 2 13" xfId="9154"/>
    <cellStyle name="Note 16 2 13 2" xfId="9155"/>
    <cellStyle name="Note 16 2 2" xfId="9156"/>
    <cellStyle name="Note 16 2 2 2" xfId="9157"/>
    <cellStyle name="Note 16 2 2 2 2" xfId="9158"/>
    <cellStyle name="Note 16 2 2 2 2 2" xfId="9159"/>
    <cellStyle name="Note 16 2 2 2 2 2 2" xfId="9160"/>
    <cellStyle name="Note 16 2 2 2 2 2 2 2" xfId="9161"/>
    <cellStyle name="Note 16 2 2 2 2 2 3" xfId="9162"/>
    <cellStyle name="Note 16 2 2 2 2 3" xfId="9163"/>
    <cellStyle name="Note 16 2 2 2 2 3 2" xfId="9164"/>
    <cellStyle name="Note 16 2 2 2 2 3 2 2" xfId="9165"/>
    <cellStyle name="Note 16 2 2 2 2 3 3" xfId="9166"/>
    <cellStyle name="Note 16 2 2 2 2 4" xfId="9167"/>
    <cellStyle name="Note 16 2 2 2 2 4 2" xfId="9168"/>
    <cellStyle name="Note 16 2 2 2 2 5" xfId="9169"/>
    <cellStyle name="Note 16 2 2 2 2 5 2" xfId="9170"/>
    <cellStyle name="Note 16 2 2 2 2 6" xfId="9171"/>
    <cellStyle name="Note 16 2 2 2 2 6 2" xfId="9172"/>
    <cellStyle name="Note 16 2 2 2 2 7" xfId="9173"/>
    <cellStyle name="Note 16 2 2 2 3" xfId="9174"/>
    <cellStyle name="Note 16 2 2 2 3 2" xfId="9175"/>
    <cellStyle name="Note 16 2 2 2 3 2 2" xfId="9176"/>
    <cellStyle name="Note 16 2 2 2 3 2 2 2" xfId="9177"/>
    <cellStyle name="Note 16 2 2 2 3 2 3" xfId="9178"/>
    <cellStyle name="Note 16 2 2 2 3 3" xfId="9179"/>
    <cellStyle name="Note 16 2 2 2 3 3 2" xfId="9180"/>
    <cellStyle name="Note 16 2 2 2 3 3 2 2" xfId="9181"/>
    <cellStyle name="Note 16 2 2 2 3 3 3" xfId="9182"/>
    <cellStyle name="Note 16 2 2 2 3 4" xfId="9183"/>
    <cellStyle name="Note 16 2 2 2 3 4 2" xfId="9184"/>
    <cellStyle name="Note 16 2 2 2 3 5" xfId="9185"/>
    <cellStyle name="Note 16 2 2 2 3 5 2" xfId="9186"/>
    <cellStyle name="Note 16 2 2 2 3 6" xfId="9187"/>
    <cellStyle name="Note 16 2 2 2 3 6 2" xfId="9188"/>
    <cellStyle name="Note 16 2 2 2 3 7" xfId="9189"/>
    <cellStyle name="Note 16 2 2 2 4" xfId="9190"/>
    <cellStyle name="Note 16 2 2 2 4 2" xfId="9191"/>
    <cellStyle name="Note 16 2 2 2 5" xfId="9192"/>
    <cellStyle name="Note 16 2 2 2 5 2" xfId="9193"/>
    <cellStyle name="Note 16 2 2 3" xfId="9194"/>
    <cellStyle name="Note 16 2 2 3 2" xfId="9195"/>
    <cellStyle name="Note 16 2 2 3 2 2" xfId="9196"/>
    <cellStyle name="Note 16 2 2 3 2 2 2" xfId="9197"/>
    <cellStyle name="Note 16 2 2 3 2 2 2 2" xfId="9198"/>
    <cellStyle name="Note 16 2 2 3 2 2 3" xfId="9199"/>
    <cellStyle name="Note 16 2 2 3 2 3" xfId="9200"/>
    <cellStyle name="Note 16 2 2 3 2 3 2" xfId="9201"/>
    <cellStyle name="Note 16 2 2 3 2 3 2 2" xfId="9202"/>
    <cellStyle name="Note 16 2 2 3 2 3 3" xfId="9203"/>
    <cellStyle name="Note 16 2 2 3 2 4" xfId="9204"/>
    <cellStyle name="Note 16 2 2 3 2 4 2" xfId="9205"/>
    <cellStyle name="Note 16 2 2 3 2 5" xfId="9206"/>
    <cellStyle name="Note 16 2 2 3 2 5 2" xfId="9207"/>
    <cellStyle name="Note 16 2 2 3 2 6" xfId="9208"/>
    <cellStyle name="Note 16 2 2 3 2 6 2" xfId="9209"/>
    <cellStyle name="Note 16 2 2 3 2 7" xfId="9210"/>
    <cellStyle name="Note 16 2 2 3 3" xfId="9211"/>
    <cellStyle name="Note 16 2 2 3 3 2" xfId="9212"/>
    <cellStyle name="Note 16 2 2 3 3 2 2" xfId="9213"/>
    <cellStyle name="Note 16 2 2 3 3 2 2 2" xfId="9214"/>
    <cellStyle name="Note 16 2 2 3 3 2 3" xfId="9215"/>
    <cellStyle name="Note 16 2 2 3 3 3" xfId="9216"/>
    <cellStyle name="Note 16 2 2 3 3 3 2" xfId="9217"/>
    <cellStyle name="Note 16 2 2 3 3 3 2 2" xfId="9218"/>
    <cellStyle name="Note 16 2 2 3 3 3 3" xfId="9219"/>
    <cellStyle name="Note 16 2 2 3 3 4" xfId="9220"/>
    <cellStyle name="Note 16 2 2 3 3 4 2" xfId="9221"/>
    <cellStyle name="Note 16 2 2 3 3 5" xfId="9222"/>
    <cellStyle name="Note 16 2 2 3 3 5 2" xfId="9223"/>
    <cellStyle name="Note 16 2 2 3 3 6" xfId="9224"/>
    <cellStyle name="Note 16 2 2 3 3 6 2" xfId="9225"/>
    <cellStyle name="Note 16 2 2 3 3 7" xfId="9226"/>
    <cellStyle name="Note 16 2 2 3 4" xfId="9227"/>
    <cellStyle name="Note 16 2 2 3 4 2" xfId="9228"/>
    <cellStyle name="Note 16 2 2 3 5" xfId="9229"/>
    <cellStyle name="Note 16 2 2 3 5 2" xfId="9230"/>
    <cellStyle name="Note 16 2 2 4" xfId="9231"/>
    <cellStyle name="Note 16 2 2 4 2" xfId="9232"/>
    <cellStyle name="Note 16 2 2 4 2 2" xfId="9233"/>
    <cellStyle name="Note 16 2 2 4 2 2 2" xfId="9234"/>
    <cellStyle name="Note 16 2 2 4 2 3" xfId="9235"/>
    <cellStyle name="Note 16 2 2 4 3" xfId="9236"/>
    <cellStyle name="Note 16 2 2 4 3 2" xfId="9237"/>
    <cellStyle name="Note 16 2 2 4 3 2 2" xfId="9238"/>
    <cellStyle name="Note 16 2 2 4 3 3" xfId="9239"/>
    <cellStyle name="Note 16 2 2 4 4" xfId="9240"/>
    <cellStyle name="Note 16 2 2 4 4 2" xfId="9241"/>
    <cellStyle name="Note 16 2 2 4 5" xfId="9242"/>
    <cellStyle name="Note 16 2 2 4 5 2" xfId="9243"/>
    <cellStyle name="Note 16 2 2 4 6" xfId="9244"/>
    <cellStyle name="Note 16 2 2 4 6 2" xfId="9245"/>
    <cellStyle name="Note 16 2 2 4 7" xfId="9246"/>
    <cellStyle name="Note 16 2 2 5" xfId="9247"/>
    <cellStyle name="Note 16 2 2 5 2" xfId="9248"/>
    <cellStyle name="Note 16 2 2 5 2 2" xfId="9249"/>
    <cellStyle name="Note 16 2 2 5 2 2 2" xfId="9250"/>
    <cellStyle name="Note 16 2 2 5 2 3" xfId="9251"/>
    <cellStyle name="Note 16 2 2 5 3" xfId="9252"/>
    <cellStyle name="Note 16 2 2 5 3 2" xfId="9253"/>
    <cellStyle name="Note 16 2 2 5 3 2 2" xfId="9254"/>
    <cellStyle name="Note 16 2 2 5 3 3" xfId="9255"/>
    <cellStyle name="Note 16 2 2 5 4" xfId="9256"/>
    <cellStyle name="Note 16 2 2 5 4 2" xfId="9257"/>
    <cellStyle name="Note 16 2 2 5 5" xfId="9258"/>
    <cellStyle name="Note 16 2 2 5 5 2" xfId="9259"/>
    <cellStyle name="Note 16 2 2 5 6" xfId="9260"/>
    <cellStyle name="Note 16 2 2 5 6 2" xfId="9261"/>
    <cellStyle name="Note 16 2 2 5 7" xfId="9262"/>
    <cellStyle name="Note 16 2 2 6" xfId="9263"/>
    <cellStyle name="Note 16 2 2 6 2" xfId="9264"/>
    <cellStyle name="Note 16 2 2 6 2 2" xfId="9265"/>
    <cellStyle name="Note 16 2 2 6 2 2 2" xfId="9266"/>
    <cellStyle name="Note 16 2 2 6 2 3" xfId="9267"/>
    <cellStyle name="Note 16 2 2 6 3" xfId="9268"/>
    <cellStyle name="Note 16 2 2 6 3 2" xfId="9269"/>
    <cellStyle name="Note 16 2 2 6 3 2 2" xfId="9270"/>
    <cellStyle name="Note 16 2 2 6 3 3" xfId="9271"/>
    <cellStyle name="Note 16 2 2 6 4" xfId="9272"/>
    <cellStyle name="Note 16 2 2 6 4 2" xfId="9273"/>
    <cellStyle name="Note 16 2 2 6 5" xfId="9274"/>
    <cellStyle name="Note 16 2 2 6 5 2" xfId="9275"/>
    <cellStyle name="Note 16 2 2 6 6" xfId="9276"/>
    <cellStyle name="Note 16 2 2 6 6 2" xfId="9277"/>
    <cellStyle name="Note 16 2 2 6 7" xfId="9278"/>
    <cellStyle name="Note 16 2 2 7" xfId="9279"/>
    <cellStyle name="Note 16 2 2 7 2" xfId="9280"/>
    <cellStyle name="Note 16 2 2 8" xfId="9281"/>
    <cellStyle name="Note 16 2 2 8 2" xfId="9282"/>
    <cellStyle name="Note 16 2 3" xfId="9283"/>
    <cellStyle name="Note 16 2 3 2" xfId="9284"/>
    <cellStyle name="Note 16 2 3 2 2" xfId="9285"/>
    <cellStyle name="Note 16 2 3 2 2 2" xfId="9286"/>
    <cellStyle name="Note 16 2 3 2 2 2 2" xfId="9287"/>
    <cellStyle name="Note 16 2 3 2 2 2 2 2" xfId="9288"/>
    <cellStyle name="Note 16 2 3 2 2 2 3" xfId="9289"/>
    <cellStyle name="Note 16 2 3 2 2 3" xfId="9290"/>
    <cellStyle name="Note 16 2 3 2 2 3 2" xfId="9291"/>
    <cellStyle name="Note 16 2 3 2 2 3 2 2" xfId="9292"/>
    <cellStyle name="Note 16 2 3 2 2 3 3" xfId="9293"/>
    <cellStyle name="Note 16 2 3 2 2 4" xfId="9294"/>
    <cellStyle name="Note 16 2 3 2 2 4 2" xfId="9295"/>
    <cellStyle name="Note 16 2 3 2 2 5" xfId="9296"/>
    <cellStyle name="Note 16 2 3 2 2 5 2" xfId="9297"/>
    <cellStyle name="Note 16 2 3 2 2 6" xfId="9298"/>
    <cellStyle name="Note 16 2 3 2 2 6 2" xfId="9299"/>
    <cellStyle name="Note 16 2 3 2 2 7" xfId="9300"/>
    <cellStyle name="Note 16 2 3 2 3" xfId="9301"/>
    <cellStyle name="Note 16 2 3 2 3 2" xfId="9302"/>
    <cellStyle name="Note 16 2 3 2 3 2 2" xfId="9303"/>
    <cellStyle name="Note 16 2 3 2 3 2 2 2" xfId="9304"/>
    <cellStyle name="Note 16 2 3 2 3 2 3" xfId="9305"/>
    <cellStyle name="Note 16 2 3 2 3 3" xfId="9306"/>
    <cellStyle name="Note 16 2 3 2 3 3 2" xfId="9307"/>
    <cellStyle name="Note 16 2 3 2 3 3 2 2" xfId="9308"/>
    <cellStyle name="Note 16 2 3 2 3 3 3" xfId="9309"/>
    <cellStyle name="Note 16 2 3 2 3 4" xfId="9310"/>
    <cellStyle name="Note 16 2 3 2 3 4 2" xfId="9311"/>
    <cellStyle name="Note 16 2 3 2 3 5" xfId="9312"/>
    <cellStyle name="Note 16 2 3 2 3 5 2" xfId="9313"/>
    <cellStyle name="Note 16 2 3 2 3 6" xfId="9314"/>
    <cellStyle name="Note 16 2 3 2 3 6 2" xfId="9315"/>
    <cellStyle name="Note 16 2 3 2 3 7" xfId="9316"/>
    <cellStyle name="Note 16 2 3 2 4" xfId="9317"/>
    <cellStyle name="Note 16 2 3 2 4 2" xfId="9318"/>
    <cellStyle name="Note 16 2 3 2 5" xfId="9319"/>
    <cellStyle name="Note 16 2 3 2 5 2" xfId="9320"/>
    <cellStyle name="Note 16 2 3 3" xfId="9321"/>
    <cellStyle name="Note 16 2 3 3 2" xfId="9322"/>
    <cellStyle name="Note 16 2 3 3 2 2" xfId="9323"/>
    <cellStyle name="Note 16 2 3 3 2 2 2" xfId="9324"/>
    <cellStyle name="Note 16 2 3 3 2 2 2 2" xfId="9325"/>
    <cellStyle name="Note 16 2 3 3 2 2 3" xfId="9326"/>
    <cellStyle name="Note 16 2 3 3 2 3" xfId="9327"/>
    <cellStyle name="Note 16 2 3 3 2 3 2" xfId="9328"/>
    <cellStyle name="Note 16 2 3 3 2 3 2 2" xfId="9329"/>
    <cellStyle name="Note 16 2 3 3 2 3 3" xfId="9330"/>
    <cellStyle name="Note 16 2 3 3 2 4" xfId="9331"/>
    <cellStyle name="Note 16 2 3 3 2 4 2" xfId="9332"/>
    <cellStyle name="Note 16 2 3 3 2 5" xfId="9333"/>
    <cellStyle name="Note 16 2 3 3 2 5 2" xfId="9334"/>
    <cellStyle name="Note 16 2 3 3 2 6" xfId="9335"/>
    <cellStyle name="Note 16 2 3 3 2 6 2" xfId="9336"/>
    <cellStyle name="Note 16 2 3 3 2 7" xfId="9337"/>
    <cellStyle name="Note 16 2 3 3 3" xfId="9338"/>
    <cellStyle name="Note 16 2 3 3 3 2" xfId="9339"/>
    <cellStyle name="Note 16 2 3 3 3 2 2" xfId="9340"/>
    <cellStyle name="Note 16 2 3 3 3 2 2 2" xfId="9341"/>
    <cellStyle name="Note 16 2 3 3 3 2 3" xfId="9342"/>
    <cellStyle name="Note 16 2 3 3 3 3" xfId="9343"/>
    <cellStyle name="Note 16 2 3 3 3 3 2" xfId="9344"/>
    <cellStyle name="Note 16 2 3 3 3 3 2 2" xfId="9345"/>
    <cellStyle name="Note 16 2 3 3 3 3 3" xfId="9346"/>
    <cellStyle name="Note 16 2 3 3 3 4" xfId="9347"/>
    <cellStyle name="Note 16 2 3 3 3 4 2" xfId="9348"/>
    <cellStyle name="Note 16 2 3 3 3 5" xfId="9349"/>
    <cellStyle name="Note 16 2 3 3 3 5 2" xfId="9350"/>
    <cellStyle name="Note 16 2 3 3 3 6" xfId="9351"/>
    <cellStyle name="Note 16 2 3 3 3 6 2" xfId="9352"/>
    <cellStyle name="Note 16 2 3 3 3 7" xfId="9353"/>
    <cellStyle name="Note 16 2 3 3 4" xfId="9354"/>
    <cellStyle name="Note 16 2 3 3 4 2" xfId="9355"/>
    <cellStyle name="Note 16 2 3 3 5" xfId="9356"/>
    <cellStyle name="Note 16 2 3 3 5 2" xfId="9357"/>
    <cellStyle name="Note 16 2 3 4" xfId="9358"/>
    <cellStyle name="Note 16 2 3 4 2" xfId="9359"/>
    <cellStyle name="Note 16 2 3 4 2 2" xfId="9360"/>
    <cellStyle name="Note 16 2 3 4 2 2 2" xfId="9361"/>
    <cellStyle name="Note 16 2 3 4 2 3" xfId="9362"/>
    <cellStyle name="Note 16 2 3 4 3" xfId="9363"/>
    <cellStyle name="Note 16 2 3 4 3 2" xfId="9364"/>
    <cellStyle name="Note 16 2 3 4 3 2 2" xfId="9365"/>
    <cellStyle name="Note 16 2 3 4 3 3" xfId="9366"/>
    <cellStyle name="Note 16 2 3 4 4" xfId="9367"/>
    <cellStyle name="Note 16 2 3 4 4 2" xfId="9368"/>
    <cellStyle name="Note 16 2 3 4 5" xfId="9369"/>
    <cellStyle name="Note 16 2 3 4 5 2" xfId="9370"/>
    <cellStyle name="Note 16 2 3 4 6" xfId="9371"/>
    <cellStyle name="Note 16 2 3 4 6 2" xfId="9372"/>
    <cellStyle name="Note 16 2 3 4 7" xfId="9373"/>
    <cellStyle name="Note 16 2 3 5" xfId="9374"/>
    <cellStyle name="Note 16 2 3 5 2" xfId="9375"/>
    <cellStyle name="Note 16 2 3 5 2 2" xfId="9376"/>
    <cellStyle name="Note 16 2 3 5 2 2 2" xfId="9377"/>
    <cellStyle name="Note 16 2 3 5 2 3" xfId="9378"/>
    <cellStyle name="Note 16 2 3 5 3" xfId="9379"/>
    <cellStyle name="Note 16 2 3 5 3 2" xfId="9380"/>
    <cellStyle name="Note 16 2 3 5 3 2 2" xfId="9381"/>
    <cellStyle name="Note 16 2 3 5 3 3" xfId="9382"/>
    <cellStyle name="Note 16 2 3 5 4" xfId="9383"/>
    <cellStyle name="Note 16 2 3 5 4 2" xfId="9384"/>
    <cellStyle name="Note 16 2 3 5 5" xfId="9385"/>
    <cellStyle name="Note 16 2 3 5 5 2" xfId="9386"/>
    <cellStyle name="Note 16 2 3 5 6" xfId="9387"/>
    <cellStyle name="Note 16 2 3 5 6 2" xfId="9388"/>
    <cellStyle name="Note 16 2 3 5 7" xfId="9389"/>
    <cellStyle name="Note 16 2 3 6" xfId="9390"/>
    <cellStyle name="Note 16 2 3 6 2" xfId="9391"/>
    <cellStyle name="Note 16 2 3 6 2 2" xfId="9392"/>
    <cellStyle name="Note 16 2 3 6 2 2 2" xfId="9393"/>
    <cellStyle name="Note 16 2 3 6 2 3" xfId="9394"/>
    <cellStyle name="Note 16 2 3 6 3" xfId="9395"/>
    <cellStyle name="Note 16 2 3 6 3 2" xfId="9396"/>
    <cellStyle name="Note 16 2 3 6 3 2 2" xfId="9397"/>
    <cellStyle name="Note 16 2 3 6 3 3" xfId="9398"/>
    <cellStyle name="Note 16 2 3 6 4" xfId="9399"/>
    <cellStyle name="Note 16 2 3 6 4 2" xfId="9400"/>
    <cellStyle name="Note 16 2 3 6 5" xfId="9401"/>
    <cellStyle name="Note 16 2 3 6 5 2" xfId="9402"/>
    <cellStyle name="Note 16 2 3 6 6" xfId="9403"/>
    <cellStyle name="Note 16 2 3 6 6 2" xfId="9404"/>
    <cellStyle name="Note 16 2 3 6 7" xfId="9405"/>
    <cellStyle name="Note 16 2 3 7" xfId="9406"/>
    <cellStyle name="Note 16 2 3 7 2" xfId="9407"/>
    <cellStyle name="Note 16 2 3 8" xfId="9408"/>
    <cellStyle name="Note 16 2 3 8 2" xfId="9409"/>
    <cellStyle name="Note 16 2 4" xfId="9410"/>
    <cellStyle name="Note 16 2 4 2" xfId="9411"/>
    <cellStyle name="Note 16 2 4 2 2" xfId="9412"/>
    <cellStyle name="Note 16 2 4 2 2 2" xfId="9413"/>
    <cellStyle name="Note 16 2 4 2 2 2 2" xfId="9414"/>
    <cellStyle name="Note 16 2 4 2 2 2 2 2" xfId="9415"/>
    <cellStyle name="Note 16 2 4 2 2 2 3" xfId="9416"/>
    <cellStyle name="Note 16 2 4 2 2 3" xfId="9417"/>
    <cellStyle name="Note 16 2 4 2 2 3 2" xfId="9418"/>
    <cellStyle name="Note 16 2 4 2 2 3 2 2" xfId="9419"/>
    <cellStyle name="Note 16 2 4 2 2 3 3" xfId="9420"/>
    <cellStyle name="Note 16 2 4 2 2 4" xfId="9421"/>
    <cellStyle name="Note 16 2 4 2 2 4 2" xfId="9422"/>
    <cellStyle name="Note 16 2 4 2 2 5" xfId="9423"/>
    <cellStyle name="Note 16 2 4 2 2 5 2" xfId="9424"/>
    <cellStyle name="Note 16 2 4 2 2 6" xfId="9425"/>
    <cellStyle name="Note 16 2 4 2 2 6 2" xfId="9426"/>
    <cellStyle name="Note 16 2 4 2 2 7" xfId="9427"/>
    <cellStyle name="Note 16 2 4 2 3" xfId="9428"/>
    <cellStyle name="Note 16 2 4 2 3 2" xfId="9429"/>
    <cellStyle name="Note 16 2 4 2 3 2 2" xfId="9430"/>
    <cellStyle name="Note 16 2 4 2 3 2 2 2" xfId="9431"/>
    <cellStyle name="Note 16 2 4 2 3 2 3" xfId="9432"/>
    <cellStyle name="Note 16 2 4 2 3 3" xfId="9433"/>
    <cellStyle name="Note 16 2 4 2 3 3 2" xfId="9434"/>
    <cellStyle name="Note 16 2 4 2 3 3 2 2" xfId="9435"/>
    <cellStyle name="Note 16 2 4 2 3 3 3" xfId="9436"/>
    <cellStyle name="Note 16 2 4 2 3 4" xfId="9437"/>
    <cellStyle name="Note 16 2 4 2 3 4 2" xfId="9438"/>
    <cellStyle name="Note 16 2 4 2 3 5" xfId="9439"/>
    <cellStyle name="Note 16 2 4 2 3 5 2" xfId="9440"/>
    <cellStyle name="Note 16 2 4 2 3 6" xfId="9441"/>
    <cellStyle name="Note 16 2 4 2 3 6 2" xfId="9442"/>
    <cellStyle name="Note 16 2 4 2 3 7" xfId="9443"/>
    <cellStyle name="Note 16 2 4 2 4" xfId="9444"/>
    <cellStyle name="Note 16 2 4 2 4 2" xfId="9445"/>
    <cellStyle name="Note 16 2 4 2 5" xfId="9446"/>
    <cellStyle name="Note 16 2 4 2 5 2" xfId="9447"/>
    <cellStyle name="Note 16 2 4 3" xfId="9448"/>
    <cellStyle name="Note 16 2 4 3 2" xfId="9449"/>
    <cellStyle name="Note 16 2 4 3 2 2" xfId="9450"/>
    <cellStyle name="Note 16 2 4 3 2 2 2" xfId="9451"/>
    <cellStyle name="Note 16 2 4 3 2 2 2 2" xfId="9452"/>
    <cellStyle name="Note 16 2 4 3 2 2 3" xfId="9453"/>
    <cellStyle name="Note 16 2 4 3 2 3" xfId="9454"/>
    <cellStyle name="Note 16 2 4 3 2 3 2" xfId="9455"/>
    <cellStyle name="Note 16 2 4 3 2 3 2 2" xfId="9456"/>
    <cellStyle name="Note 16 2 4 3 2 3 3" xfId="9457"/>
    <cellStyle name="Note 16 2 4 3 2 4" xfId="9458"/>
    <cellStyle name="Note 16 2 4 3 2 4 2" xfId="9459"/>
    <cellStyle name="Note 16 2 4 3 2 5" xfId="9460"/>
    <cellStyle name="Note 16 2 4 3 2 5 2" xfId="9461"/>
    <cellStyle name="Note 16 2 4 3 2 6" xfId="9462"/>
    <cellStyle name="Note 16 2 4 3 2 6 2" xfId="9463"/>
    <cellStyle name="Note 16 2 4 3 2 7" xfId="9464"/>
    <cellStyle name="Note 16 2 4 3 3" xfId="9465"/>
    <cellStyle name="Note 16 2 4 3 3 2" xfId="9466"/>
    <cellStyle name="Note 16 2 4 3 3 2 2" xfId="9467"/>
    <cellStyle name="Note 16 2 4 3 3 2 2 2" xfId="9468"/>
    <cellStyle name="Note 16 2 4 3 3 2 3" xfId="9469"/>
    <cellStyle name="Note 16 2 4 3 3 3" xfId="9470"/>
    <cellStyle name="Note 16 2 4 3 3 3 2" xfId="9471"/>
    <cellStyle name="Note 16 2 4 3 3 3 2 2" xfId="9472"/>
    <cellStyle name="Note 16 2 4 3 3 3 3" xfId="9473"/>
    <cellStyle name="Note 16 2 4 3 3 4" xfId="9474"/>
    <cellStyle name="Note 16 2 4 3 3 4 2" xfId="9475"/>
    <cellStyle name="Note 16 2 4 3 3 5" xfId="9476"/>
    <cellStyle name="Note 16 2 4 3 3 5 2" xfId="9477"/>
    <cellStyle name="Note 16 2 4 3 3 6" xfId="9478"/>
    <cellStyle name="Note 16 2 4 3 3 6 2" xfId="9479"/>
    <cellStyle name="Note 16 2 4 3 3 7" xfId="9480"/>
    <cellStyle name="Note 16 2 4 3 4" xfId="9481"/>
    <cellStyle name="Note 16 2 4 3 4 2" xfId="9482"/>
    <cellStyle name="Note 16 2 4 3 5" xfId="9483"/>
    <cellStyle name="Note 16 2 4 3 5 2" xfId="9484"/>
    <cellStyle name="Note 16 2 4 4" xfId="9485"/>
    <cellStyle name="Note 16 2 4 4 2" xfId="9486"/>
    <cellStyle name="Note 16 2 4 4 2 2" xfId="9487"/>
    <cellStyle name="Note 16 2 4 4 2 2 2" xfId="9488"/>
    <cellStyle name="Note 16 2 4 4 2 3" xfId="9489"/>
    <cellStyle name="Note 16 2 4 4 3" xfId="9490"/>
    <cellStyle name="Note 16 2 4 4 3 2" xfId="9491"/>
    <cellStyle name="Note 16 2 4 4 3 2 2" xfId="9492"/>
    <cellStyle name="Note 16 2 4 4 3 3" xfId="9493"/>
    <cellStyle name="Note 16 2 4 4 4" xfId="9494"/>
    <cellStyle name="Note 16 2 4 4 4 2" xfId="9495"/>
    <cellStyle name="Note 16 2 4 4 5" xfId="9496"/>
    <cellStyle name="Note 16 2 4 4 5 2" xfId="9497"/>
    <cellStyle name="Note 16 2 4 4 6" xfId="9498"/>
    <cellStyle name="Note 16 2 4 4 6 2" xfId="9499"/>
    <cellStyle name="Note 16 2 4 4 7" xfId="9500"/>
    <cellStyle name="Note 16 2 4 5" xfId="9501"/>
    <cellStyle name="Note 16 2 4 5 2" xfId="9502"/>
    <cellStyle name="Note 16 2 4 5 2 2" xfId="9503"/>
    <cellStyle name="Note 16 2 4 5 2 2 2" xfId="9504"/>
    <cellStyle name="Note 16 2 4 5 2 3" xfId="9505"/>
    <cellStyle name="Note 16 2 4 5 3" xfId="9506"/>
    <cellStyle name="Note 16 2 4 5 3 2" xfId="9507"/>
    <cellStyle name="Note 16 2 4 5 3 2 2" xfId="9508"/>
    <cellStyle name="Note 16 2 4 5 3 3" xfId="9509"/>
    <cellStyle name="Note 16 2 4 5 4" xfId="9510"/>
    <cellStyle name="Note 16 2 4 5 4 2" xfId="9511"/>
    <cellStyle name="Note 16 2 4 5 5" xfId="9512"/>
    <cellStyle name="Note 16 2 4 5 5 2" xfId="9513"/>
    <cellStyle name="Note 16 2 4 5 6" xfId="9514"/>
    <cellStyle name="Note 16 2 4 5 6 2" xfId="9515"/>
    <cellStyle name="Note 16 2 4 5 7" xfId="9516"/>
    <cellStyle name="Note 16 2 4 6" xfId="9517"/>
    <cellStyle name="Note 16 2 4 6 2" xfId="9518"/>
    <cellStyle name="Note 16 2 4 6 2 2" xfId="9519"/>
    <cellStyle name="Note 16 2 4 6 2 2 2" xfId="9520"/>
    <cellStyle name="Note 16 2 4 6 2 3" xfId="9521"/>
    <cellStyle name="Note 16 2 4 6 3" xfId="9522"/>
    <cellStyle name="Note 16 2 4 6 3 2" xfId="9523"/>
    <cellStyle name="Note 16 2 4 6 3 2 2" xfId="9524"/>
    <cellStyle name="Note 16 2 4 6 3 3" xfId="9525"/>
    <cellStyle name="Note 16 2 4 6 4" xfId="9526"/>
    <cellStyle name="Note 16 2 4 6 4 2" xfId="9527"/>
    <cellStyle name="Note 16 2 4 6 5" xfId="9528"/>
    <cellStyle name="Note 16 2 4 6 5 2" xfId="9529"/>
    <cellStyle name="Note 16 2 4 6 6" xfId="9530"/>
    <cellStyle name="Note 16 2 4 6 6 2" xfId="9531"/>
    <cellStyle name="Note 16 2 4 6 7" xfId="9532"/>
    <cellStyle name="Note 16 2 4 7" xfId="9533"/>
    <cellStyle name="Note 16 2 4 7 2" xfId="9534"/>
    <cellStyle name="Note 16 2 4 8" xfId="9535"/>
    <cellStyle name="Note 16 2 4 8 2" xfId="9536"/>
    <cellStyle name="Note 16 2 5" xfId="9537"/>
    <cellStyle name="Note 16 2 5 2" xfId="9538"/>
    <cellStyle name="Note 16 2 5 2 2" xfId="9539"/>
    <cellStyle name="Note 16 2 5 2 2 2" xfId="9540"/>
    <cellStyle name="Note 16 2 5 2 2 2 2" xfId="9541"/>
    <cellStyle name="Note 16 2 5 2 2 2 2 2" xfId="9542"/>
    <cellStyle name="Note 16 2 5 2 2 2 3" xfId="9543"/>
    <cellStyle name="Note 16 2 5 2 2 3" xfId="9544"/>
    <cellStyle name="Note 16 2 5 2 2 3 2" xfId="9545"/>
    <cellStyle name="Note 16 2 5 2 2 3 2 2" xfId="9546"/>
    <cellStyle name="Note 16 2 5 2 2 3 3" xfId="9547"/>
    <cellStyle name="Note 16 2 5 2 2 4" xfId="9548"/>
    <cellStyle name="Note 16 2 5 2 2 4 2" xfId="9549"/>
    <cellStyle name="Note 16 2 5 2 2 5" xfId="9550"/>
    <cellStyle name="Note 16 2 5 2 2 5 2" xfId="9551"/>
    <cellStyle name="Note 16 2 5 2 2 6" xfId="9552"/>
    <cellStyle name="Note 16 2 5 2 2 6 2" xfId="9553"/>
    <cellStyle name="Note 16 2 5 2 2 7" xfId="9554"/>
    <cellStyle name="Note 16 2 5 2 3" xfId="9555"/>
    <cellStyle name="Note 16 2 5 2 3 2" xfId="9556"/>
    <cellStyle name="Note 16 2 5 2 3 2 2" xfId="9557"/>
    <cellStyle name="Note 16 2 5 2 3 2 2 2" xfId="9558"/>
    <cellStyle name="Note 16 2 5 2 3 2 3" xfId="9559"/>
    <cellStyle name="Note 16 2 5 2 3 3" xfId="9560"/>
    <cellStyle name="Note 16 2 5 2 3 3 2" xfId="9561"/>
    <cellStyle name="Note 16 2 5 2 3 3 2 2" xfId="9562"/>
    <cellStyle name="Note 16 2 5 2 3 3 3" xfId="9563"/>
    <cellStyle name="Note 16 2 5 2 3 4" xfId="9564"/>
    <cellStyle name="Note 16 2 5 2 3 4 2" xfId="9565"/>
    <cellStyle name="Note 16 2 5 2 3 5" xfId="9566"/>
    <cellStyle name="Note 16 2 5 2 3 5 2" xfId="9567"/>
    <cellStyle name="Note 16 2 5 2 3 6" xfId="9568"/>
    <cellStyle name="Note 16 2 5 2 3 6 2" xfId="9569"/>
    <cellStyle name="Note 16 2 5 2 3 7" xfId="9570"/>
    <cellStyle name="Note 16 2 5 2 4" xfId="9571"/>
    <cellStyle name="Note 16 2 5 2 4 2" xfId="9572"/>
    <cellStyle name="Note 16 2 5 2 5" xfId="9573"/>
    <cellStyle name="Note 16 2 5 2 5 2" xfId="9574"/>
    <cellStyle name="Note 16 2 5 3" xfId="9575"/>
    <cellStyle name="Note 16 2 5 3 2" xfId="9576"/>
    <cellStyle name="Note 16 2 5 3 2 2" xfId="9577"/>
    <cellStyle name="Note 16 2 5 3 2 2 2" xfId="9578"/>
    <cellStyle name="Note 16 2 5 3 2 2 2 2" xfId="9579"/>
    <cellStyle name="Note 16 2 5 3 2 2 3" xfId="9580"/>
    <cellStyle name="Note 16 2 5 3 2 3" xfId="9581"/>
    <cellStyle name="Note 16 2 5 3 2 3 2" xfId="9582"/>
    <cellStyle name="Note 16 2 5 3 2 3 2 2" xfId="9583"/>
    <cellStyle name="Note 16 2 5 3 2 3 3" xfId="9584"/>
    <cellStyle name="Note 16 2 5 3 2 4" xfId="9585"/>
    <cellStyle name="Note 16 2 5 3 2 4 2" xfId="9586"/>
    <cellStyle name="Note 16 2 5 3 2 5" xfId="9587"/>
    <cellStyle name="Note 16 2 5 3 2 5 2" xfId="9588"/>
    <cellStyle name="Note 16 2 5 3 2 6" xfId="9589"/>
    <cellStyle name="Note 16 2 5 3 2 6 2" xfId="9590"/>
    <cellStyle name="Note 16 2 5 3 2 7" xfId="9591"/>
    <cellStyle name="Note 16 2 5 3 3" xfId="9592"/>
    <cellStyle name="Note 16 2 5 3 3 2" xfId="9593"/>
    <cellStyle name="Note 16 2 5 3 3 2 2" xfId="9594"/>
    <cellStyle name="Note 16 2 5 3 3 2 2 2" xfId="9595"/>
    <cellStyle name="Note 16 2 5 3 3 2 3" xfId="9596"/>
    <cellStyle name="Note 16 2 5 3 3 3" xfId="9597"/>
    <cellStyle name="Note 16 2 5 3 3 3 2" xfId="9598"/>
    <cellStyle name="Note 16 2 5 3 3 3 2 2" xfId="9599"/>
    <cellStyle name="Note 16 2 5 3 3 3 3" xfId="9600"/>
    <cellStyle name="Note 16 2 5 3 3 4" xfId="9601"/>
    <cellStyle name="Note 16 2 5 3 3 4 2" xfId="9602"/>
    <cellStyle name="Note 16 2 5 3 3 5" xfId="9603"/>
    <cellStyle name="Note 16 2 5 3 3 5 2" xfId="9604"/>
    <cellStyle name="Note 16 2 5 3 3 6" xfId="9605"/>
    <cellStyle name="Note 16 2 5 3 3 6 2" xfId="9606"/>
    <cellStyle name="Note 16 2 5 3 3 7" xfId="9607"/>
    <cellStyle name="Note 16 2 5 3 4" xfId="9608"/>
    <cellStyle name="Note 16 2 5 3 4 2" xfId="9609"/>
    <cellStyle name="Note 16 2 5 3 5" xfId="9610"/>
    <cellStyle name="Note 16 2 5 3 5 2" xfId="9611"/>
    <cellStyle name="Note 16 2 5 4" xfId="9612"/>
    <cellStyle name="Note 16 2 5 4 2" xfId="9613"/>
    <cellStyle name="Note 16 2 5 4 2 2" xfId="9614"/>
    <cellStyle name="Note 16 2 5 4 2 2 2" xfId="9615"/>
    <cellStyle name="Note 16 2 5 4 2 3" xfId="9616"/>
    <cellStyle name="Note 16 2 5 4 3" xfId="9617"/>
    <cellStyle name="Note 16 2 5 4 3 2" xfId="9618"/>
    <cellStyle name="Note 16 2 5 4 3 2 2" xfId="9619"/>
    <cellStyle name="Note 16 2 5 4 3 3" xfId="9620"/>
    <cellStyle name="Note 16 2 5 4 4" xfId="9621"/>
    <cellStyle name="Note 16 2 5 4 4 2" xfId="9622"/>
    <cellStyle name="Note 16 2 5 4 5" xfId="9623"/>
    <cellStyle name="Note 16 2 5 4 5 2" xfId="9624"/>
    <cellStyle name="Note 16 2 5 4 6" xfId="9625"/>
    <cellStyle name="Note 16 2 5 4 6 2" xfId="9626"/>
    <cellStyle name="Note 16 2 5 4 7" xfId="9627"/>
    <cellStyle name="Note 16 2 5 5" xfId="9628"/>
    <cellStyle name="Note 16 2 5 5 2" xfId="9629"/>
    <cellStyle name="Note 16 2 5 5 2 2" xfId="9630"/>
    <cellStyle name="Note 16 2 5 5 2 2 2" xfId="9631"/>
    <cellStyle name="Note 16 2 5 5 2 3" xfId="9632"/>
    <cellStyle name="Note 16 2 5 5 3" xfId="9633"/>
    <cellStyle name="Note 16 2 5 5 3 2" xfId="9634"/>
    <cellStyle name="Note 16 2 5 5 3 2 2" xfId="9635"/>
    <cellStyle name="Note 16 2 5 5 3 3" xfId="9636"/>
    <cellStyle name="Note 16 2 5 5 4" xfId="9637"/>
    <cellStyle name="Note 16 2 5 5 4 2" xfId="9638"/>
    <cellStyle name="Note 16 2 5 5 5" xfId="9639"/>
    <cellStyle name="Note 16 2 5 5 5 2" xfId="9640"/>
    <cellStyle name="Note 16 2 5 5 6" xfId="9641"/>
    <cellStyle name="Note 16 2 5 5 6 2" xfId="9642"/>
    <cellStyle name="Note 16 2 5 5 7" xfId="9643"/>
    <cellStyle name="Note 16 2 5 6" xfId="9644"/>
    <cellStyle name="Note 16 2 5 6 2" xfId="9645"/>
    <cellStyle name="Note 16 2 5 6 2 2" xfId="9646"/>
    <cellStyle name="Note 16 2 5 6 2 2 2" xfId="9647"/>
    <cellStyle name="Note 16 2 5 6 2 3" xfId="9648"/>
    <cellStyle name="Note 16 2 5 6 3" xfId="9649"/>
    <cellStyle name="Note 16 2 5 6 3 2" xfId="9650"/>
    <cellStyle name="Note 16 2 5 6 3 2 2" xfId="9651"/>
    <cellStyle name="Note 16 2 5 6 3 3" xfId="9652"/>
    <cellStyle name="Note 16 2 5 6 4" xfId="9653"/>
    <cellStyle name="Note 16 2 5 6 4 2" xfId="9654"/>
    <cellStyle name="Note 16 2 5 6 5" xfId="9655"/>
    <cellStyle name="Note 16 2 5 6 5 2" xfId="9656"/>
    <cellStyle name="Note 16 2 5 6 6" xfId="9657"/>
    <cellStyle name="Note 16 2 5 6 6 2" xfId="9658"/>
    <cellStyle name="Note 16 2 5 6 7" xfId="9659"/>
    <cellStyle name="Note 16 2 5 7" xfId="9660"/>
    <cellStyle name="Note 16 2 5 7 2" xfId="9661"/>
    <cellStyle name="Note 16 2 5 8" xfId="9662"/>
    <cellStyle name="Note 16 2 5 8 2" xfId="9663"/>
    <cellStyle name="Note 16 2 6" xfId="9664"/>
    <cellStyle name="Note 16 2 6 2" xfId="9665"/>
    <cellStyle name="Note 16 2 6 2 2" xfId="9666"/>
    <cellStyle name="Note 16 2 6 2 2 2" xfId="9667"/>
    <cellStyle name="Note 16 2 6 2 2 2 2" xfId="9668"/>
    <cellStyle name="Note 16 2 6 2 2 2 2 2" xfId="9669"/>
    <cellStyle name="Note 16 2 6 2 2 2 3" xfId="9670"/>
    <cellStyle name="Note 16 2 6 2 2 3" xfId="9671"/>
    <cellStyle name="Note 16 2 6 2 2 3 2" xfId="9672"/>
    <cellStyle name="Note 16 2 6 2 2 3 2 2" xfId="9673"/>
    <cellStyle name="Note 16 2 6 2 2 3 3" xfId="9674"/>
    <cellStyle name="Note 16 2 6 2 2 4" xfId="9675"/>
    <cellStyle name="Note 16 2 6 2 2 4 2" xfId="9676"/>
    <cellStyle name="Note 16 2 6 2 2 5" xfId="9677"/>
    <cellStyle name="Note 16 2 6 2 2 5 2" xfId="9678"/>
    <cellStyle name="Note 16 2 6 2 2 6" xfId="9679"/>
    <cellStyle name="Note 16 2 6 2 2 6 2" xfId="9680"/>
    <cellStyle name="Note 16 2 6 2 2 7" xfId="9681"/>
    <cellStyle name="Note 16 2 6 2 3" xfId="9682"/>
    <cellStyle name="Note 16 2 6 2 3 2" xfId="9683"/>
    <cellStyle name="Note 16 2 6 2 3 2 2" xfId="9684"/>
    <cellStyle name="Note 16 2 6 2 3 2 2 2" xfId="9685"/>
    <cellStyle name="Note 16 2 6 2 3 2 3" xfId="9686"/>
    <cellStyle name="Note 16 2 6 2 3 3" xfId="9687"/>
    <cellStyle name="Note 16 2 6 2 3 3 2" xfId="9688"/>
    <cellStyle name="Note 16 2 6 2 3 3 2 2" xfId="9689"/>
    <cellStyle name="Note 16 2 6 2 3 3 3" xfId="9690"/>
    <cellStyle name="Note 16 2 6 2 3 4" xfId="9691"/>
    <cellStyle name="Note 16 2 6 2 3 4 2" xfId="9692"/>
    <cellStyle name="Note 16 2 6 2 3 5" xfId="9693"/>
    <cellStyle name="Note 16 2 6 2 3 5 2" xfId="9694"/>
    <cellStyle name="Note 16 2 6 2 3 6" xfId="9695"/>
    <cellStyle name="Note 16 2 6 2 3 6 2" xfId="9696"/>
    <cellStyle name="Note 16 2 6 2 3 7" xfId="9697"/>
    <cellStyle name="Note 16 2 6 2 4" xfId="9698"/>
    <cellStyle name="Note 16 2 6 2 4 2" xfId="9699"/>
    <cellStyle name="Note 16 2 6 2 5" xfId="9700"/>
    <cellStyle name="Note 16 2 6 2 5 2" xfId="9701"/>
    <cellStyle name="Note 16 2 6 3" xfId="9702"/>
    <cellStyle name="Note 16 2 6 3 2" xfId="9703"/>
    <cellStyle name="Note 16 2 6 3 2 2" xfId="9704"/>
    <cellStyle name="Note 16 2 6 3 2 2 2" xfId="9705"/>
    <cellStyle name="Note 16 2 6 3 2 2 2 2" xfId="9706"/>
    <cellStyle name="Note 16 2 6 3 2 2 3" xfId="9707"/>
    <cellStyle name="Note 16 2 6 3 2 3" xfId="9708"/>
    <cellStyle name="Note 16 2 6 3 2 3 2" xfId="9709"/>
    <cellStyle name="Note 16 2 6 3 2 3 2 2" xfId="9710"/>
    <cellStyle name="Note 16 2 6 3 2 3 3" xfId="9711"/>
    <cellStyle name="Note 16 2 6 3 2 4" xfId="9712"/>
    <cellStyle name="Note 16 2 6 3 2 4 2" xfId="9713"/>
    <cellStyle name="Note 16 2 6 3 2 5" xfId="9714"/>
    <cellStyle name="Note 16 2 6 3 2 5 2" xfId="9715"/>
    <cellStyle name="Note 16 2 6 3 2 6" xfId="9716"/>
    <cellStyle name="Note 16 2 6 3 2 6 2" xfId="9717"/>
    <cellStyle name="Note 16 2 6 3 2 7" xfId="9718"/>
    <cellStyle name="Note 16 2 6 3 3" xfId="9719"/>
    <cellStyle name="Note 16 2 6 3 3 2" xfId="9720"/>
    <cellStyle name="Note 16 2 6 3 3 2 2" xfId="9721"/>
    <cellStyle name="Note 16 2 6 3 3 2 2 2" xfId="9722"/>
    <cellStyle name="Note 16 2 6 3 3 2 3" xfId="9723"/>
    <cellStyle name="Note 16 2 6 3 3 3" xfId="9724"/>
    <cellStyle name="Note 16 2 6 3 3 3 2" xfId="9725"/>
    <cellStyle name="Note 16 2 6 3 3 3 2 2" xfId="9726"/>
    <cellStyle name="Note 16 2 6 3 3 3 3" xfId="9727"/>
    <cellStyle name="Note 16 2 6 3 3 4" xfId="9728"/>
    <cellStyle name="Note 16 2 6 3 3 4 2" xfId="9729"/>
    <cellStyle name="Note 16 2 6 3 3 5" xfId="9730"/>
    <cellStyle name="Note 16 2 6 3 3 5 2" xfId="9731"/>
    <cellStyle name="Note 16 2 6 3 3 6" xfId="9732"/>
    <cellStyle name="Note 16 2 6 3 3 6 2" xfId="9733"/>
    <cellStyle name="Note 16 2 6 3 3 7" xfId="9734"/>
    <cellStyle name="Note 16 2 6 3 4" xfId="9735"/>
    <cellStyle name="Note 16 2 6 3 4 2" xfId="9736"/>
    <cellStyle name="Note 16 2 6 3 5" xfId="9737"/>
    <cellStyle name="Note 16 2 6 3 5 2" xfId="9738"/>
    <cellStyle name="Note 16 2 6 4" xfId="9739"/>
    <cellStyle name="Note 16 2 6 4 2" xfId="9740"/>
    <cellStyle name="Note 16 2 6 4 2 2" xfId="9741"/>
    <cellStyle name="Note 16 2 6 4 2 2 2" xfId="9742"/>
    <cellStyle name="Note 16 2 6 4 2 3" xfId="9743"/>
    <cellStyle name="Note 16 2 6 4 3" xfId="9744"/>
    <cellStyle name="Note 16 2 6 4 3 2" xfId="9745"/>
    <cellStyle name="Note 16 2 6 4 3 2 2" xfId="9746"/>
    <cellStyle name="Note 16 2 6 4 3 3" xfId="9747"/>
    <cellStyle name="Note 16 2 6 4 4" xfId="9748"/>
    <cellStyle name="Note 16 2 6 4 4 2" xfId="9749"/>
    <cellStyle name="Note 16 2 6 4 5" xfId="9750"/>
    <cellStyle name="Note 16 2 6 4 5 2" xfId="9751"/>
    <cellStyle name="Note 16 2 6 4 6" xfId="9752"/>
    <cellStyle name="Note 16 2 6 4 6 2" xfId="9753"/>
    <cellStyle name="Note 16 2 6 4 7" xfId="9754"/>
    <cellStyle name="Note 16 2 6 5" xfId="9755"/>
    <cellStyle name="Note 16 2 6 5 2" xfId="9756"/>
    <cellStyle name="Note 16 2 6 5 2 2" xfId="9757"/>
    <cellStyle name="Note 16 2 6 5 2 2 2" xfId="9758"/>
    <cellStyle name="Note 16 2 6 5 2 3" xfId="9759"/>
    <cellStyle name="Note 16 2 6 5 3" xfId="9760"/>
    <cellStyle name="Note 16 2 6 5 3 2" xfId="9761"/>
    <cellStyle name="Note 16 2 6 5 3 2 2" xfId="9762"/>
    <cellStyle name="Note 16 2 6 5 3 3" xfId="9763"/>
    <cellStyle name="Note 16 2 6 5 4" xfId="9764"/>
    <cellStyle name="Note 16 2 6 5 4 2" xfId="9765"/>
    <cellStyle name="Note 16 2 6 5 5" xfId="9766"/>
    <cellStyle name="Note 16 2 6 5 5 2" xfId="9767"/>
    <cellStyle name="Note 16 2 6 5 6" xfId="9768"/>
    <cellStyle name="Note 16 2 6 5 6 2" xfId="9769"/>
    <cellStyle name="Note 16 2 6 5 7" xfId="9770"/>
    <cellStyle name="Note 16 2 6 6" xfId="9771"/>
    <cellStyle name="Note 16 2 6 6 2" xfId="9772"/>
    <cellStyle name="Note 16 2 6 6 2 2" xfId="9773"/>
    <cellStyle name="Note 16 2 6 6 2 2 2" xfId="9774"/>
    <cellStyle name="Note 16 2 6 6 2 3" xfId="9775"/>
    <cellStyle name="Note 16 2 6 6 3" xfId="9776"/>
    <cellStyle name="Note 16 2 6 6 3 2" xfId="9777"/>
    <cellStyle name="Note 16 2 6 6 3 2 2" xfId="9778"/>
    <cellStyle name="Note 16 2 6 6 3 3" xfId="9779"/>
    <cellStyle name="Note 16 2 6 6 4" xfId="9780"/>
    <cellStyle name="Note 16 2 6 6 4 2" xfId="9781"/>
    <cellStyle name="Note 16 2 6 6 5" xfId="9782"/>
    <cellStyle name="Note 16 2 6 6 5 2" xfId="9783"/>
    <cellStyle name="Note 16 2 6 6 6" xfId="9784"/>
    <cellStyle name="Note 16 2 6 6 6 2" xfId="9785"/>
    <cellStyle name="Note 16 2 6 6 7" xfId="9786"/>
    <cellStyle name="Note 16 2 6 7" xfId="9787"/>
    <cellStyle name="Note 16 2 6 7 2" xfId="9788"/>
    <cellStyle name="Note 16 2 6 8" xfId="9789"/>
    <cellStyle name="Note 16 2 6 8 2" xfId="9790"/>
    <cellStyle name="Note 16 2 7" xfId="9791"/>
    <cellStyle name="Note 16 2 7 2" xfId="9792"/>
    <cellStyle name="Note 16 2 7 2 2" xfId="9793"/>
    <cellStyle name="Note 16 2 7 2 2 2" xfId="9794"/>
    <cellStyle name="Note 16 2 7 2 2 2 2" xfId="9795"/>
    <cellStyle name="Note 16 2 7 2 2 2 2 2" xfId="9796"/>
    <cellStyle name="Note 16 2 7 2 2 2 3" xfId="9797"/>
    <cellStyle name="Note 16 2 7 2 2 3" xfId="9798"/>
    <cellStyle name="Note 16 2 7 2 2 3 2" xfId="9799"/>
    <cellStyle name="Note 16 2 7 2 2 3 2 2" xfId="9800"/>
    <cellStyle name="Note 16 2 7 2 2 3 3" xfId="9801"/>
    <cellStyle name="Note 16 2 7 2 2 4" xfId="9802"/>
    <cellStyle name="Note 16 2 7 2 2 4 2" xfId="9803"/>
    <cellStyle name="Note 16 2 7 2 2 5" xfId="9804"/>
    <cellStyle name="Note 16 2 7 2 2 5 2" xfId="9805"/>
    <cellStyle name="Note 16 2 7 2 2 6" xfId="9806"/>
    <cellStyle name="Note 16 2 7 2 2 6 2" xfId="9807"/>
    <cellStyle name="Note 16 2 7 2 2 7" xfId="9808"/>
    <cellStyle name="Note 16 2 7 2 3" xfId="9809"/>
    <cellStyle name="Note 16 2 7 2 3 2" xfId="9810"/>
    <cellStyle name="Note 16 2 7 2 3 2 2" xfId="9811"/>
    <cellStyle name="Note 16 2 7 2 3 2 2 2" xfId="9812"/>
    <cellStyle name="Note 16 2 7 2 3 2 3" xfId="9813"/>
    <cellStyle name="Note 16 2 7 2 3 3" xfId="9814"/>
    <cellStyle name="Note 16 2 7 2 3 3 2" xfId="9815"/>
    <cellStyle name="Note 16 2 7 2 3 3 2 2" xfId="9816"/>
    <cellStyle name="Note 16 2 7 2 3 3 3" xfId="9817"/>
    <cellStyle name="Note 16 2 7 2 3 4" xfId="9818"/>
    <cellStyle name="Note 16 2 7 2 3 4 2" xfId="9819"/>
    <cellStyle name="Note 16 2 7 2 3 5" xfId="9820"/>
    <cellStyle name="Note 16 2 7 2 3 5 2" xfId="9821"/>
    <cellStyle name="Note 16 2 7 2 3 6" xfId="9822"/>
    <cellStyle name="Note 16 2 7 2 3 6 2" xfId="9823"/>
    <cellStyle name="Note 16 2 7 2 3 7" xfId="9824"/>
    <cellStyle name="Note 16 2 7 2 4" xfId="9825"/>
    <cellStyle name="Note 16 2 7 2 4 2" xfId="9826"/>
    <cellStyle name="Note 16 2 7 2 5" xfId="9827"/>
    <cellStyle name="Note 16 2 7 2 5 2" xfId="9828"/>
    <cellStyle name="Note 16 2 7 3" xfId="9829"/>
    <cellStyle name="Note 16 2 7 3 2" xfId="9830"/>
    <cellStyle name="Note 16 2 7 3 2 2" xfId="9831"/>
    <cellStyle name="Note 16 2 7 3 2 2 2" xfId="9832"/>
    <cellStyle name="Note 16 2 7 3 2 2 2 2" xfId="9833"/>
    <cellStyle name="Note 16 2 7 3 2 2 3" xfId="9834"/>
    <cellStyle name="Note 16 2 7 3 2 3" xfId="9835"/>
    <cellStyle name="Note 16 2 7 3 2 3 2" xfId="9836"/>
    <cellStyle name="Note 16 2 7 3 2 3 2 2" xfId="9837"/>
    <cellStyle name="Note 16 2 7 3 2 3 3" xfId="9838"/>
    <cellStyle name="Note 16 2 7 3 2 4" xfId="9839"/>
    <cellStyle name="Note 16 2 7 3 2 4 2" xfId="9840"/>
    <cellStyle name="Note 16 2 7 3 2 5" xfId="9841"/>
    <cellStyle name="Note 16 2 7 3 2 5 2" xfId="9842"/>
    <cellStyle name="Note 16 2 7 3 2 6" xfId="9843"/>
    <cellStyle name="Note 16 2 7 3 2 6 2" xfId="9844"/>
    <cellStyle name="Note 16 2 7 3 2 7" xfId="9845"/>
    <cellStyle name="Note 16 2 7 3 3" xfId="9846"/>
    <cellStyle name="Note 16 2 7 3 3 2" xfId="9847"/>
    <cellStyle name="Note 16 2 7 3 3 2 2" xfId="9848"/>
    <cellStyle name="Note 16 2 7 3 3 2 2 2" xfId="9849"/>
    <cellStyle name="Note 16 2 7 3 3 2 3" xfId="9850"/>
    <cellStyle name="Note 16 2 7 3 3 3" xfId="9851"/>
    <cellStyle name="Note 16 2 7 3 3 3 2" xfId="9852"/>
    <cellStyle name="Note 16 2 7 3 3 3 2 2" xfId="9853"/>
    <cellStyle name="Note 16 2 7 3 3 3 3" xfId="9854"/>
    <cellStyle name="Note 16 2 7 3 3 4" xfId="9855"/>
    <cellStyle name="Note 16 2 7 3 3 4 2" xfId="9856"/>
    <cellStyle name="Note 16 2 7 3 3 5" xfId="9857"/>
    <cellStyle name="Note 16 2 7 3 3 5 2" xfId="9858"/>
    <cellStyle name="Note 16 2 7 3 3 6" xfId="9859"/>
    <cellStyle name="Note 16 2 7 3 3 6 2" xfId="9860"/>
    <cellStyle name="Note 16 2 7 3 3 7" xfId="9861"/>
    <cellStyle name="Note 16 2 7 3 4" xfId="9862"/>
    <cellStyle name="Note 16 2 7 3 4 2" xfId="9863"/>
    <cellStyle name="Note 16 2 7 3 5" xfId="9864"/>
    <cellStyle name="Note 16 2 7 3 5 2" xfId="9865"/>
    <cellStyle name="Note 16 2 7 4" xfId="9866"/>
    <cellStyle name="Note 16 2 7 4 2" xfId="9867"/>
    <cellStyle name="Note 16 2 7 4 2 2" xfId="9868"/>
    <cellStyle name="Note 16 2 7 4 2 2 2" xfId="9869"/>
    <cellStyle name="Note 16 2 7 4 2 3" xfId="9870"/>
    <cellStyle name="Note 16 2 7 4 3" xfId="9871"/>
    <cellStyle name="Note 16 2 7 4 3 2" xfId="9872"/>
    <cellStyle name="Note 16 2 7 4 3 2 2" xfId="9873"/>
    <cellStyle name="Note 16 2 7 4 3 3" xfId="9874"/>
    <cellStyle name="Note 16 2 7 4 4" xfId="9875"/>
    <cellStyle name="Note 16 2 7 4 4 2" xfId="9876"/>
    <cellStyle name="Note 16 2 7 4 5" xfId="9877"/>
    <cellStyle name="Note 16 2 7 4 5 2" xfId="9878"/>
    <cellStyle name="Note 16 2 7 4 6" xfId="9879"/>
    <cellStyle name="Note 16 2 7 4 6 2" xfId="9880"/>
    <cellStyle name="Note 16 2 7 4 7" xfId="9881"/>
    <cellStyle name="Note 16 2 7 5" xfId="9882"/>
    <cellStyle name="Note 16 2 7 5 2" xfId="9883"/>
    <cellStyle name="Note 16 2 7 5 2 2" xfId="9884"/>
    <cellStyle name="Note 16 2 7 5 2 2 2" xfId="9885"/>
    <cellStyle name="Note 16 2 7 5 2 3" xfId="9886"/>
    <cellStyle name="Note 16 2 7 5 3" xfId="9887"/>
    <cellStyle name="Note 16 2 7 5 3 2" xfId="9888"/>
    <cellStyle name="Note 16 2 7 5 3 2 2" xfId="9889"/>
    <cellStyle name="Note 16 2 7 5 3 3" xfId="9890"/>
    <cellStyle name="Note 16 2 7 5 4" xfId="9891"/>
    <cellStyle name="Note 16 2 7 5 4 2" xfId="9892"/>
    <cellStyle name="Note 16 2 7 5 5" xfId="9893"/>
    <cellStyle name="Note 16 2 7 5 5 2" xfId="9894"/>
    <cellStyle name="Note 16 2 7 5 6" xfId="9895"/>
    <cellStyle name="Note 16 2 7 5 6 2" xfId="9896"/>
    <cellStyle name="Note 16 2 7 5 7" xfId="9897"/>
    <cellStyle name="Note 16 2 7 6" xfId="9898"/>
    <cellStyle name="Note 16 2 7 6 2" xfId="9899"/>
    <cellStyle name="Note 16 2 7 7" xfId="9900"/>
    <cellStyle name="Note 16 2 7 7 2" xfId="9901"/>
    <cellStyle name="Note 16 2 8" xfId="9902"/>
    <cellStyle name="Note 16 2 8 2" xfId="9903"/>
    <cellStyle name="Note 16 2 8 2 2" xfId="9904"/>
    <cellStyle name="Note 16 2 8 2 2 2" xfId="9905"/>
    <cellStyle name="Note 16 2 8 2 2 2 2" xfId="9906"/>
    <cellStyle name="Note 16 2 8 2 2 3" xfId="9907"/>
    <cellStyle name="Note 16 2 8 2 3" xfId="9908"/>
    <cellStyle name="Note 16 2 8 2 3 2" xfId="9909"/>
    <cellStyle name="Note 16 2 8 2 3 2 2" xfId="9910"/>
    <cellStyle name="Note 16 2 8 2 3 3" xfId="9911"/>
    <cellStyle name="Note 16 2 8 2 4" xfId="9912"/>
    <cellStyle name="Note 16 2 8 2 4 2" xfId="9913"/>
    <cellStyle name="Note 16 2 8 2 5" xfId="9914"/>
    <cellStyle name="Note 16 2 8 2 5 2" xfId="9915"/>
    <cellStyle name="Note 16 2 8 2 6" xfId="9916"/>
    <cellStyle name="Note 16 2 8 2 6 2" xfId="9917"/>
    <cellStyle name="Note 16 2 8 2 7" xfId="9918"/>
    <cellStyle name="Note 16 2 8 3" xfId="9919"/>
    <cellStyle name="Note 16 2 8 3 2" xfId="9920"/>
    <cellStyle name="Note 16 2 8 3 2 2" xfId="9921"/>
    <cellStyle name="Note 16 2 8 3 2 2 2" xfId="9922"/>
    <cellStyle name="Note 16 2 8 3 2 3" xfId="9923"/>
    <cellStyle name="Note 16 2 8 3 3" xfId="9924"/>
    <cellStyle name="Note 16 2 8 3 3 2" xfId="9925"/>
    <cellStyle name="Note 16 2 8 3 3 2 2" xfId="9926"/>
    <cellStyle name="Note 16 2 8 3 3 3" xfId="9927"/>
    <cellStyle name="Note 16 2 8 3 4" xfId="9928"/>
    <cellStyle name="Note 16 2 8 3 4 2" xfId="9929"/>
    <cellStyle name="Note 16 2 8 3 5" xfId="9930"/>
    <cellStyle name="Note 16 2 8 3 5 2" xfId="9931"/>
    <cellStyle name="Note 16 2 8 3 6" xfId="9932"/>
    <cellStyle name="Note 16 2 8 3 6 2" xfId="9933"/>
    <cellStyle name="Note 16 2 8 3 7" xfId="9934"/>
    <cellStyle name="Note 16 2 8 4" xfId="9935"/>
    <cellStyle name="Note 16 2 8 4 2" xfId="9936"/>
    <cellStyle name="Note 16 2 8 5" xfId="9937"/>
    <cellStyle name="Note 16 2 8 5 2" xfId="9938"/>
    <cellStyle name="Note 16 2 9" xfId="9939"/>
    <cellStyle name="Note 16 2 9 2" xfId="9940"/>
    <cellStyle name="Note 16 2 9 2 2" xfId="9941"/>
    <cellStyle name="Note 16 2 9 2 2 2" xfId="9942"/>
    <cellStyle name="Note 16 2 9 2 2 2 2" xfId="9943"/>
    <cellStyle name="Note 16 2 9 2 2 3" xfId="9944"/>
    <cellStyle name="Note 16 2 9 2 3" xfId="9945"/>
    <cellStyle name="Note 16 2 9 2 3 2" xfId="9946"/>
    <cellStyle name="Note 16 2 9 2 3 2 2" xfId="9947"/>
    <cellStyle name="Note 16 2 9 2 3 3" xfId="9948"/>
    <cellStyle name="Note 16 2 9 2 4" xfId="9949"/>
    <cellStyle name="Note 16 2 9 2 4 2" xfId="9950"/>
    <cellStyle name="Note 16 2 9 2 5" xfId="9951"/>
    <cellStyle name="Note 16 2 9 2 5 2" xfId="9952"/>
    <cellStyle name="Note 16 2 9 2 6" xfId="9953"/>
    <cellStyle name="Note 16 2 9 2 6 2" xfId="9954"/>
    <cellStyle name="Note 16 2 9 2 7" xfId="9955"/>
    <cellStyle name="Note 16 2 9 3" xfId="9956"/>
    <cellStyle name="Note 16 2 9 3 2" xfId="9957"/>
    <cellStyle name="Note 16 2 9 3 2 2" xfId="9958"/>
    <cellStyle name="Note 16 2 9 3 2 2 2" xfId="9959"/>
    <cellStyle name="Note 16 2 9 3 2 3" xfId="9960"/>
    <cellStyle name="Note 16 2 9 3 3" xfId="9961"/>
    <cellStyle name="Note 16 2 9 3 3 2" xfId="9962"/>
    <cellStyle name="Note 16 2 9 3 3 2 2" xfId="9963"/>
    <cellStyle name="Note 16 2 9 3 3 3" xfId="9964"/>
    <cellStyle name="Note 16 2 9 3 4" xfId="9965"/>
    <cellStyle name="Note 16 2 9 3 4 2" xfId="9966"/>
    <cellStyle name="Note 16 2 9 3 5" xfId="9967"/>
    <cellStyle name="Note 16 2 9 3 5 2" xfId="9968"/>
    <cellStyle name="Note 16 2 9 3 6" xfId="9969"/>
    <cellStyle name="Note 16 2 9 3 6 2" xfId="9970"/>
    <cellStyle name="Note 16 2 9 3 7" xfId="9971"/>
    <cellStyle name="Note 16 2 9 4" xfId="9972"/>
    <cellStyle name="Note 16 2 9 4 2" xfId="9973"/>
    <cellStyle name="Note 16 2 9 5" xfId="9974"/>
    <cellStyle name="Note 16 2 9 5 2" xfId="9975"/>
    <cellStyle name="Note 16 3" xfId="9976"/>
    <cellStyle name="Note 16 3 2" xfId="9977"/>
    <cellStyle name="Note 16 3 2 2" xfId="9978"/>
    <cellStyle name="Note 16 3 2 2 2" xfId="9979"/>
    <cellStyle name="Note 16 3 2 2 2 2" xfId="9980"/>
    <cellStyle name="Note 16 3 2 2 3" xfId="9981"/>
    <cellStyle name="Note 16 3 2 3" xfId="9982"/>
    <cellStyle name="Note 16 3 2 3 2" xfId="9983"/>
    <cellStyle name="Note 16 3 2 3 2 2" xfId="9984"/>
    <cellStyle name="Note 16 3 2 3 3" xfId="9985"/>
    <cellStyle name="Note 16 3 2 4" xfId="9986"/>
    <cellStyle name="Note 16 3 2 4 2" xfId="9987"/>
    <cellStyle name="Note 16 3 2 5" xfId="9988"/>
    <cellStyle name="Note 16 3 2 5 2" xfId="9989"/>
    <cellStyle name="Note 16 3 2 6" xfId="9990"/>
    <cellStyle name="Note 16 3 2 6 2" xfId="9991"/>
    <cellStyle name="Note 16 3 2 7" xfId="9992"/>
    <cellStyle name="Note 16 3 3" xfId="9993"/>
    <cellStyle name="Note 16 3 3 2" xfId="9994"/>
    <cellStyle name="Note 16 3 3 2 2" xfId="9995"/>
    <cellStyle name="Note 16 3 3 2 2 2" xfId="9996"/>
    <cellStyle name="Note 16 3 3 2 3" xfId="9997"/>
    <cellStyle name="Note 16 3 3 3" xfId="9998"/>
    <cellStyle name="Note 16 3 3 3 2" xfId="9999"/>
    <cellStyle name="Note 16 3 3 3 2 2" xfId="10000"/>
    <cellStyle name="Note 16 3 3 3 3" xfId="10001"/>
    <cellStyle name="Note 16 3 3 4" xfId="10002"/>
    <cellStyle name="Note 16 3 3 4 2" xfId="10003"/>
    <cellStyle name="Note 16 3 3 5" xfId="10004"/>
    <cellStyle name="Note 16 3 3 5 2" xfId="10005"/>
    <cellStyle name="Note 16 3 3 6" xfId="10006"/>
    <cellStyle name="Note 16 3 3 6 2" xfId="10007"/>
    <cellStyle name="Note 16 3 3 7" xfId="10008"/>
    <cellStyle name="Note 16 3 4" xfId="10009"/>
    <cellStyle name="Note 16 3 4 2" xfId="10010"/>
    <cellStyle name="Note 16 3 5" xfId="10011"/>
    <cellStyle name="Note 16 3 5 2" xfId="10012"/>
    <cellStyle name="Note 16 4" xfId="10013"/>
    <cellStyle name="Note 16 4 2" xfId="10014"/>
    <cellStyle name="Note 16 4 2 2" xfId="10015"/>
    <cellStyle name="Note 16 4 2 2 2" xfId="10016"/>
    <cellStyle name="Note 16 4 2 2 2 2" xfId="10017"/>
    <cellStyle name="Note 16 4 2 2 3" xfId="10018"/>
    <cellStyle name="Note 16 4 2 3" xfId="10019"/>
    <cellStyle name="Note 16 4 2 3 2" xfId="10020"/>
    <cellStyle name="Note 16 4 2 3 2 2" xfId="10021"/>
    <cellStyle name="Note 16 4 2 3 3" xfId="10022"/>
    <cellStyle name="Note 16 4 2 4" xfId="10023"/>
    <cellStyle name="Note 16 4 2 4 2" xfId="10024"/>
    <cellStyle name="Note 16 4 2 5" xfId="10025"/>
    <cellStyle name="Note 16 4 2 5 2" xfId="10026"/>
    <cellStyle name="Note 16 4 2 6" xfId="10027"/>
    <cellStyle name="Note 16 4 2 6 2" xfId="10028"/>
    <cellStyle name="Note 16 4 2 7" xfId="10029"/>
    <cellStyle name="Note 16 4 3" xfId="10030"/>
    <cellStyle name="Note 16 4 3 2" xfId="10031"/>
    <cellStyle name="Note 16 4 3 2 2" xfId="10032"/>
    <cellStyle name="Note 16 4 3 2 2 2" xfId="10033"/>
    <cellStyle name="Note 16 4 3 2 3" xfId="10034"/>
    <cellStyle name="Note 16 4 3 3" xfId="10035"/>
    <cellStyle name="Note 16 4 3 3 2" xfId="10036"/>
    <cellStyle name="Note 16 4 3 3 2 2" xfId="10037"/>
    <cellStyle name="Note 16 4 3 3 3" xfId="10038"/>
    <cellStyle name="Note 16 4 3 4" xfId="10039"/>
    <cellStyle name="Note 16 4 3 4 2" xfId="10040"/>
    <cellStyle name="Note 16 4 3 5" xfId="10041"/>
    <cellStyle name="Note 16 4 3 5 2" xfId="10042"/>
    <cellStyle name="Note 16 4 3 6" xfId="10043"/>
    <cellStyle name="Note 16 4 3 6 2" xfId="10044"/>
    <cellStyle name="Note 16 4 3 7" xfId="10045"/>
    <cellStyle name="Note 16 4 4" xfId="10046"/>
    <cellStyle name="Note 16 4 4 2" xfId="10047"/>
    <cellStyle name="Note 16 4 5" xfId="10048"/>
    <cellStyle name="Note 16 4 5 2" xfId="10049"/>
    <cellStyle name="Note 16 5" xfId="10050"/>
    <cellStyle name="Note 16 5 2" xfId="10051"/>
    <cellStyle name="Note 16 5 2 2" xfId="10052"/>
    <cellStyle name="Note 16 5 2 2 2" xfId="10053"/>
    <cellStyle name="Note 16 5 2 3" xfId="10054"/>
    <cellStyle name="Note 16 5 3" xfId="10055"/>
    <cellStyle name="Note 16 5 3 2" xfId="10056"/>
    <cellStyle name="Note 16 5 3 2 2" xfId="10057"/>
    <cellStyle name="Note 16 5 3 3" xfId="10058"/>
    <cellStyle name="Note 16 5 4" xfId="10059"/>
    <cellStyle name="Note 16 5 4 2" xfId="10060"/>
    <cellStyle name="Note 16 5 5" xfId="10061"/>
    <cellStyle name="Note 16 5 5 2" xfId="10062"/>
    <cellStyle name="Note 16 5 6" xfId="10063"/>
    <cellStyle name="Note 16 5 6 2" xfId="10064"/>
    <cellStyle name="Note 16 5 7" xfId="10065"/>
    <cellStyle name="Note 16 6" xfId="10066"/>
    <cellStyle name="Note 16 6 2" xfId="10067"/>
    <cellStyle name="Note 16 6 2 2" xfId="10068"/>
    <cellStyle name="Note 16 6 2 2 2" xfId="10069"/>
    <cellStyle name="Note 16 6 2 3" xfId="10070"/>
    <cellStyle name="Note 16 6 3" xfId="10071"/>
    <cellStyle name="Note 16 6 3 2" xfId="10072"/>
    <cellStyle name="Note 16 6 3 2 2" xfId="10073"/>
    <cellStyle name="Note 16 6 3 3" xfId="10074"/>
    <cellStyle name="Note 16 6 4" xfId="10075"/>
    <cellStyle name="Note 16 6 4 2" xfId="10076"/>
    <cellStyle name="Note 16 6 5" xfId="10077"/>
    <cellStyle name="Note 16 6 5 2" xfId="10078"/>
    <cellStyle name="Note 16 6 6" xfId="10079"/>
    <cellStyle name="Note 16 6 6 2" xfId="10080"/>
    <cellStyle name="Note 16 6 7" xfId="10081"/>
    <cellStyle name="Note 16 7" xfId="10082"/>
    <cellStyle name="Note 16 7 2" xfId="10083"/>
    <cellStyle name="Note 16 8" xfId="10084"/>
    <cellStyle name="Note 16 8 2" xfId="10085"/>
    <cellStyle name="Note 16 9" xfId="10086"/>
    <cellStyle name="Note 16 9 2" xfId="10087"/>
    <cellStyle name="Note 17" xfId="291"/>
    <cellStyle name="Note 17 2" xfId="10088"/>
    <cellStyle name="Note 17 2 10" xfId="10089"/>
    <cellStyle name="Note 17 2 10 2" xfId="10090"/>
    <cellStyle name="Note 17 2 10 2 2" xfId="10091"/>
    <cellStyle name="Note 17 2 10 2 2 2" xfId="10092"/>
    <cellStyle name="Note 17 2 10 2 3" xfId="10093"/>
    <cellStyle name="Note 17 2 10 3" xfId="10094"/>
    <cellStyle name="Note 17 2 10 3 2" xfId="10095"/>
    <cellStyle name="Note 17 2 10 3 2 2" xfId="10096"/>
    <cellStyle name="Note 17 2 10 3 3" xfId="10097"/>
    <cellStyle name="Note 17 2 10 4" xfId="10098"/>
    <cellStyle name="Note 17 2 10 4 2" xfId="10099"/>
    <cellStyle name="Note 17 2 10 5" xfId="10100"/>
    <cellStyle name="Note 17 2 10 5 2" xfId="10101"/>
    <cellStyle name="Note 17 2 10 6" xfId="10102"/>
    <cellStyle name="Note 17 2 10 6 2" xfId="10103"/>
    <cellStyle name="Note 17 2 10 7" xfId="10104"/>
    <cellStyle name="Note 17 2 11" xfId="10105"/>
    <cellStyle name="Note 17 2 11 2" xfId="10106"/>
    <cellStyle name="Note 17 2 11 2 2" xfId="10107"/>
    <cellStyle name="Note 17 2 11 2 2 2" xfId="10108"/>
    <cellStyle name="Note 17 2 11 2 3" xfId="10109"/>
    <cellStyle name="Note 17 2 11 3" xfId="10110"/>
    <cellStyle name="Note 17 2 11 3 2" xfId="10111"/>
    <cellStyle name="Note 17 2 11 3 2 2" xfId="10112"/>
    <cellStyle name="Note 17 2 11 3 3" xfId="10113"/>
    <cellStyle name="Note 17 2 11 4" xfId="10114"/>
    <cellStyle name="Note 17 2 11 4 2" xfId="10115"/>
    <cellStyle name="Note 17 2 11 5" xfId="10116"/>
    <cellStyle name="Note 17 2 11 5 2" xfId="10117"/>
    <cellStyle name="Note 17 2 11 6" xfId="10118"/>
    <cellStyle name="Note 17 2 11 6 2" xfId="10119"/>
    <cellStyle name="Note 17 2 11 7" xfId="10120"/>
    <cellStyle name="Note 17 2 12" xfId="10121"/>
    <cellStyle name="Note 17 2 12 2" xfId="10122"/>
    <cellStyle name="Note 17 2 13" xfId="10123"/>
    <cellStyle name="Note 17 2 13 2" xfId="10124"/>
    <cellStyle name="Note 17 2 2" xfId="10125"/>
    <cellStyle name="Note 17 2 2 2" xfId="10126"/>
    <cellStyle name="Note 17 2 2 2 2" xfId="10127"/>
    <cellStyle name="Note 17 2 2 2 2 2" xfId="10128"/>
    <cellStyle name="Note 17 2 2 2 2 2 2" xfId="10129"/>
    <cellStyle name="Note 17 2 2 2 2 2 2 2" xfId="10130"/>
    <cellStyle name="Note 17 2 2 2 2 2 3" xfId="10131"/>
    <cellStyle name="Note 17 2 2 2 2 3" xfId="10132"/>
    <cellStyle name="Note 17 2 2 2 2 3 2" xfId="10133"/>
    <cellStyle name="Note 17 2 2 2 2 3 2 2" xfId="10134"/>
    <cellStyle name="Note 17 2 2 2 2 3 3" xfId="10135"/>
    <cellStyle name="Note 17 2 2 2 2 4" xfId="10136"/>
    <cellStyle name="Note 17 2 2 2 2 4 2" xfId="10137"/>
    <cellStyle name="Note 17 2 2 2 2 5" xfId="10138"/>
    <cellStyle name="Note 17 2 2 2 2 5 2" xfId="10139"/>
    <cellStyle name="Note 17 2 2 2 2 6" xfId="10140"/>
    <cellStyle name="Note 17 2 2 2 2 6 2" xfId="10141"/>
    <cellStyle name="Note 17 2 2 2 2 7" xfId="10142"/>
    <cellStyle name="Note 17 2 2 2 3" xfId="10143"/>
    <cellStyle name="Note 17 2 2 2 3 2" xfId="10144"/>
    <cellStyle name="Note 17 2 2 2 3 2 2" xfId="10145"/>
    <cellStyle name="Note 17 2 2 2 3 2 2 2" xfId="10146"/>
    <cellStyle name="Note 17 2 2 2 3 2 3" xfId="10147"/>
    <cellStyle name="Note 17 2 2 2 3 3" xfId="10148"/>
    <cellStyle name="Note 17 2 2 2 3 3 2" xfId="10149"/>
    <cellStyle name="Note 17 2 2 2 3 3 2 2" xfId="10150"/>
    <cellStyle name="Note 17 2 2 2 3 3 3" xfId="10151"/>
    <cellStyle name="Note 17 2 2 2 3 4" xfId="10152"/>
    <cellStyle name="Note 17 2 2 2 3 4 2" xfId="10153"/>
    <cellStyle name="Note 17 2 2 2 3 5" xfId="10154"/>
    <cellStyle name="Note 17 2 2 2 3 5 2" xfId="10155"/>
    <cellStyle name="Note 17 2 2 2 3 6" xfId="10156"/>
    <cellStyle name="Note 17 2 2 2 3 6 2" xfId="10157"/>
    <cellStyle name="Note 17 2 2 2 3 7" xfId="10158"/>
    <cellStyle name="Note 17 2 2 2 4" xfId="10159"/>
    <cellStyle name="Note 17 2 2 2 4 2" xfId="10160"/>
    <cellStyle name="Note 17 2 2 2 5" xfId="10161"/>
    <cellStyle name="Note 17 2 2 2 5 2" xfId="10162"/>
    <cellStyle name="Note 17 2 2 3" xfId="10163"/>
    <cellStyle name="Note 17 2 2 3 2" xfId="10164"/>
    <cellStyle name="Note 17 2 2 3 2 2" xfId="10165"/>
    <cellStyle name="Note 17 2 2 3 2 2 2" xfId="10166"/>
    <cellStyle name="Note 17 2 2 3 2 2 2 2" xfId="10167"/>
    <cellStyle name="Note 17 2 2 3 2 2 3" xfId="10168"/>
    <cellStyle name="Note 17 2 2 3 2 3" xfId="10169"/>
    <cellStyle name="Note 17 2 2 3 2 3 2" xfId="10170"/>
    <cellStyle name="Note 17 2 2 3 2 3 2 2" xfId="10171"/>
    <cellStyle name="Note 17 2 2 3 2 3 3" xfId="10172"/>
    <cellStyle name="Note 17 2 2 3 2 4" xfId="10173"/>
    <cellStyle name="Note 17 2 2 3 2 4 2" xfId="10174"/>
    <cellStyle name="Note 17 2 2 3 2 5" xfId="10175"/>
    <cellStyle name="Note 17 2 2 3 2 5 2" xfId="10176"/>
    <cellStyle name="Note 17 2 2 3 2 6" xfId="10177"/>
    <cellStyle name="Note 17 2 2 3 2 6 2" xfId="10178"/>
    <cellStyle name="Note 17 2 2 3 2 7" xfId="10179"/>
    <cellStyle name="Note 17 2 2 3 3" xfId="10180"/>
    <cellStyle name="Note 17 2 2 3 3 2" xfId="10181"/>
    <cellStyle name="Note 17 2 2 3 3 2 2" xfId="10182"/>
    <cellStyle name="Note 17 2 2 3 3 2 2 2" xfId="10183"/>
    <cellStyle name="Note 17 2 2 3 3 2 3" xfId="10184"/>
    <cellStyle name="Note 17 2 2 3 3 3" xfId="10185"/>
    <cellStyle name="Note 17 2 2 3 3 3 2" xfId="10186"/>
    <cellStyle name="Note 17 2 2 3 3 3 2 2" xfId="10187"/>
    <cellStyle name="Note 17 2 2 3 3 3 3" xfId="10188"/>
    <cellStyle name="Note 17 2 2 3 3 4" xfId="10189"/>
    <cellStyle name="Note 17 2 2 3 3 4 2" xfId="10190"/>
    <cellStyle name="Note 17 2 2 3 3 5" xfId="10191"/>
    <cellStyle name="Note 17 2 2 3 3 5 2" xfId="10192"/>
    <cellStyle name="Note 17 2 2 3 3 6" xfId="10193"/>
    <cellStyle name="Note 17 2 2 3 3 6 2" xfId="10194"/>
    <cellStyle name="Note 17 2 2 3 3 7" xfId="10195"/>
    <cellStyle name="Note 17 2 2 3 4" xfId="10196"/>
    <cellStyle name="Note 17 2 2 3 4 2" xfId="10197"/>
    <cellStyle name="Note 17 2 2 3 5" xfId="10198"/>
    <cellStyle name="Note 17 2 2 3 5 2" xfId="10199"/>
    <cellStyle name="Note 17 2 2 4" xfId="10200"/>
    <cellStyle name="Note 17 2 2 4 2" xfId="10201"/>
    <cellStyle name="Note 17 2 2 4 2 2" xfId="10202"/>
    <cellStyle name="Note 17 2 2 4 2 2 2" xfId="10203"/>
    <cellStyle name="Note 17 2 2 4 2 3" xfId="10204"/>
    <cellStyle name="Note 17 2 2 4 3" xfId="10205"/>
    <cellStyle name="Note 17 2 2 4 3 2" xfId="10206"/>
    <cellStyle name="Note 17 2 2 4 3 2 2" xfId="10207"/>
    <cellStyle name="Note 17 2 2 4 3 3" xfId="10208"/>
    <cellStyle name="Note 17 2 2 4 4" xfId="10209"/>
    <cellStyle name="Note 17 2 2 4 4 2" xfId="10210"/>
    <cellStyle name="Note 17 2 2 4 5" xfId="10211"/>
    <cellStyle name="Note 17 2 2 4 5 2" xfId="10212"/>
    <cellStyle name="Note 17 2 2 4 6" xfId="10213"/>
    <cellStyle name="Note 17 2 2 4 6 2" xfId="10214"/>
    <cellStyle name="Note 17 2 2 4 7" xfId="10215"/>
    <cellStyle name="Note 17 2 2 5" xfId="10216"/>
    <cellStyle name="Note 17 2 2 5 2" xfId="10217"/>
    <cellStyle name="Note 17 2 2 5 2 2" xfId="10218"/>
    <cellStyle name="Note 17 2 2 5 2 2 2" xfId="10219"/>
    <cellStyle name="Note 17 2 2 5 2 3" xfId="10220"/>
    <cellStyle name="Note 17 2 2 5 3" xfId="10221"/>
    <cellStyle name="Note 17 2 2 5 3 2" xfId="10222"/>
    <cellStyle name="Note 17 2 2 5 3 2 2" xfId="10223"/>
    <cellStyle name="Note 17 2 2 5 3 3" xfId="10224"/>
    <cellStyle name="Note 17 2 2 5 4" xfId="10225"/>
    <cellStyle name="Note 17 2 2 5 4 2" xfId="10226"/>
    <cellStyle name="Note 17 2 2 5 5" xfId="10227"/>
    <cellStyle name="Note 17 2 2 5 5 2" xfId="10228"/>
    <cellStyle name="Note 17 2 2 5 6" xfId="10229"/>
    <cellStyle name="Note 17 2 2 5 6 2" xfId="10230"/>
    <cellStyle name="Note 17 2 2 5 7" xfId="10231"/>
    <cellStyle name="Note 17 2 2 6" xfId="10232"/>
    <cellStyle name="Note 17 2 2 6 2" xfId="10233"/>
    <cellStyle name="Note 17 2 2 6 2 2" xfId="10234"/>
    <cellStyle name="Note 17 2 2 6 2 2 2" xfId="10235"/>
    <cellStyle name="Note 17 2 2 6 2 3" xfId="10236"/>
    <cellStyle name="Note 17 2 2 6 3" xfId="10237"/>
    <cellStyle name="Note 17 2 2 6 3 2" xfId="10238"/>
    <cellStyle name="Note 17 2 2 6 3 2 2" xfId="10239"/>
    <cellStyle name="Note 17 2 2 6 3 3" xfId="10240"/>
    <cellStyle name="Note 17 2 2 6 4" xfId="10241"/>
    <cellStyle name="Note 17 2 2 6 4 2" xfId="10242"/>
    <cellStyle name="Note 17 2 2 6 5" xfId="10243"/>
    <cellStyle name="Note 17 2 2 6 5 2" xfId="10244"/>
    <cellStyle name="Note 17 2 2 6 6" xfId="10245"/>
    <cellStyle name="Note 17 2 2 6 6 2" xfId="10246"/>
    <cellStyle name="Note 17 2 2 6 7" xfId="10247"/>
    <cellStyle name="Note 17 2 2 7" xfId="10248"/>
    <cellStyle name="Note 17 2 2 7 2" xfId="10249"/>
    <cellStyle name="Note 17 2 2 8" xfId="10250"/>
    <cellStyle name="Note 17 2 2 8 2" xfId="10251"/>
    <cellStyle name="Note 17 2 3" xfId="10252"/>
    <cellStyle name="Note 17 2 3 2" xfId="10253"/>
    <cellStyle name="Note 17 2 3 2 2" xfId="10254"/>
    <cellStyle name="Note 17 2 3 2 2 2" xfId="10255"/>
    <cellStyle name="Note 17 2 3 2 2 2 2" xfId="10256"/>
    <cellStyle name="Note 17 2 3 2 2 2 2 2" xfId="10257"/>
    <cellStyle name="Note 17 2 3 2 2 2 3" xfId="10258"/>
    <cellStyle name="Note 17 2 3 2 2 3" xfId="10259"/>
    <cellStyle name="Note 17 2 3 2 2 3 2" xfId="10260"/>
    <cellStyle name="Note 17 2 3 2 2 3 2 2" xfId="10261"/>
    <cellStyle name="Note 17 2 3 2 2 3 3" xfId="10262"/>
    <cellStyle name="Note 17 2 3 2 2 4" xfId="10263"/>
    <cellStyle name="Note 17 2 3 2 2 4 2" xfId="10264"/>
    <cellStyle name="Note 17 2 3 2 2 5" xfId="10265"/>
    <cellStyle name="Note 17 2 3 2 2 5 2" xfId="10266"/>
    <cellStyle name="Note 17 2 3 2 2 6" xfId="10267"/>
    <cellStyle name="Note 17 2 3 2 2 6 2" xfId="10268"/>
    <cellStyle name="Note 17 2 3 2 2 7" xfId="10269"/>
    <cellStyle name="Note 17 2 3 2 3" xfId="10270"/>
    <cellStyle name="Note 17 2 3 2 3 2" xfId="10271"/>
    <cellStyle name="Note 17 2 3 2 3 2 2" xfId="10272"/>
    <cellStyle name="Note 17 2 3 2 3 2 2 2" xfId="10273"/>
    <cellStyle name="Note 17 2 3 2 3 2 3" xfId="10274"/>
    <cellStyle name="Note 17 2 3 2 3 3" xfId="10275"/>
    <cellStyle name="Note 17 2 3 2 3 3 2" xfId="10276"/>
    <cellStyle name="Note 17 2 3 2 3 3 2 2" xfId="10277"/>
    <cellStyle name="Note 17 2 3 2 3 3 3" xfId="10278"/>
    <cellStyle name="Note 17 2 3 2 3 4" xfId="10279"/>
    <cellStyle name="Note 17 2 3 2 3 4 2" xfId="10280"/>
    <cellStyle name="Note 17 2 3 2 3 5" xfId="10281"/>
    <cellStyle name="Note 17 2 3 2 3 5 2" xfId="10282"/>
    <cellStyle name="Note 17 2 3 2 3 6" xfId="10283"/>
    <cellStyle name="Note 17 2 3 2 3 6 2" xfId="10284"/>
    <cellStyle name="Note 17 2 3 2 3 7" xfId="10285"/>
    <cellStyle name="Note 17 2 3 2 4" xfId="10286"/>
    <cellStyle name="Note 17 2 3 2 4 2" xfId="10287"/>
    <cellStyle name="Note 17 2 3 2 5" xfId="10288"/>
    <cellStyle name="Note 17 2 3 2 5 2" xfId="10289"/>
    <cellStyle name="Note 17 2 3 3" xfId="10290"/>
    <cellStyle name="Note 17 2 3 3 2" xfId="10291"/>
    <cellStyle name="Note 17 2 3 3 2 2" xfId="10292"/>
    <cellStyle name="Note 17 2 3 3 2 2 2" xfId="10293"/>
    <cellStyle name="Note 17 2 3 3 2 2 2 2" xfId="10294"/>
    <cellStyle name="Note 17 2 3 3 2 2 3" xfId="10295"/>
    <cellStyle name="Note 17 2 3 3 2 3" xfId="10296"/>
    <cellStyle name="Note 17 2 3 3 2 3 2" xfId="10297"/>
    <cellStyle name="Note 17 2 3 3 2 3 2 2" xfId="10298"/>
    <cellStyle name="Note 17 2 3 3 2 3 3" xfId="10299"/>
    <cellStyle name="Note 17 2 3 3 2 4" xfId="10300"/>
    <cellStyle name="Note 17 2 3 3 2 4 2" xfId="10301"/>
    <cellStyle name="Note 17 2 3 3 2 5" xfId="10302"/>
    <cellStyle name="Note 17 2 3 3 2 5 2" xfId="10303"/>
    <cellStyle name="Note 17 2 3 3 2 6" xfId="10304"/>
    <cellStyle name="Note 17 2 3 3 2 6 2" xfId="10305"/>
    <cellStyle name="Note 17 2 3 3 2 7" xfId="10306"/>
    <cellStyle name="Note 17 2 3 3 3" xfId="10307"/>
    <cellStyle name="Note 17 2 3 3 3 2" xfId="10308"/>
    <cellStyle name="Note 17 2 3 3 3 2 2" xfId="10309"/>
    <cellStyle name="Note 17 2 3 3 3 2 2 2" xfId="10310"/>
    <cellStyle name="Note 17 2 3 3 3 2 3" xfId="10311"/>
    <cellStyle name="Note 17 2 3 3 3 3" xfId="10312"/>
    <cellStyle name="Note 17 2 3 3 3 3 2" xfId="10313"/>
    <cellStyle name="Note 17 2 3 3 3 3 2 2" xfId="10314"/>
    <cellStyle name="Note 17 2 3 3 3 3 3" xfId="10315"/>
    <cellStyle name="Note 17 2 3 3 3 4" xfId="10316"/>
    <cellStyle name="Note 17 2 3 3 3 4 2" xfId="10317"/>
    <cellStyle name="Note 17 2 3 3 3 5" xfId="10318"/>
    <cellStyle name="Note 17 2 3 3 3 5 2" xfId="10319"/>
    <cellStyle name="Note 17 2 3 3 3 6" xfId="10320"/>
    <cellStyle name="Note 17 2 3 3 3 6 2" xfId="10321"/>
    <cellStyle name="Note 17 2 3 3 3 7" xfId="10322"/>
    <cellStyle name="Note 17 2 3 3 4" xfId="10323"/>
    <cellStyle name="Note 17 2 3 3 4 2" xfId="10324"/>
    <cellStyle name="Note 17 2 3 3 5" xfId="10325"/>
    <cellStyle name="Note 17 2 3 3 5 2" xfId="10326"/>
    <cellStyle name="Note 17 2 3 4" xfId="10327"/>
    <cellStyle name="Note 17 2 3 4 2" xfId="10328"/>
    <cellStyle name="Note 17 2 3 4 2 2" xfId="10329"/>
    <cellStyle name="Note 17 2 3 4 2 2 2" xfId="10330"/>
    <cellStyle name="Note 17 2 3 4 2 3" xfId="10331"/>
    <cellStyle name="Note 17 2 3 4 3" xfId="10332"/>
    <cellStyle name="Note 17 2 3 4 3 2" xfId="10333"/>
    <cellStyle name="Note 17 2 3 4 3 2 2" xfId="10334"/>
    <cellStyle name="Note 17 2 3 4 3 3" xfId="10335"/>
    <cellStyle name="Note 17 2 3 4 4" xfId="10336"/>
    <cellStyle name="Note 17 2 3 4 4 2" xfId="10337"/>
    <cellStyle name="Note 17 2 3 4 5" xfId="10338"/>
    <cellStyle name="Note 17 2 3 4 5 2" xfId="10339"/>
    <cellStyle name="Note 17 2 3 4 6" xfId="10340"/>
    <cellStyle name="Note 17 2 3 4 6 2" xfId="10341"/>
    <cellStyle name="Note 17 2 3 4 7" xfId="10342"/>
    <cellStyle name="Note 17 2 3 5" xfId="10343"/>
    <cellStyle name="Note 17 2 3 5 2" xfId="10344"/>
    <cellStyle name="Note 17 2 3 5 2 2" xfId="10345"/>
    <cellStyle name="Note 17 2 3 5 2 2 2" xfId="10346"/>
    <cellStyle name="Note 17 2 3 5 2 3" xfId="10347"/>
    <cellStyle name="Note 17 2 3 5 3" xfId="10348"/>
    <cellStyle name="Note 17 2 3 5 3 2" xfId="10349"/>
    <cellStyle name="Note 17 2 3 5 3 2 2" xfId="10350"/>
    <cellStyle name="Note 17 2 3 5 3 3" xfId="10351"/>
    <cellStyle name="Note 17 2 3 5 4" xfId="10352"/>
    <cellStyle name="Note 17 2 3 5 4 2" xfId="10353"/>
    <cellStyle name="Note 17 2 3 5 5" xfId="10354"/>
    <cellStyle name="Note 17 2 3 5 5 2" xfId="10355"/>
    <cellStyle name="Note 17 2 3 5 6" xfId="10356"/>
    <cellStyle name="Note 17 2 3 5 6 2" xfId="10357"/>
    <cellStyle name="Note 17 2 3 5 7" xfId="10358"/>
    <cellStyle name="Note 17 2 3 6" xfId="10359"/>
    <cellStyle name="Note 17 2 3 6 2" xfId="10360"/>
    <cellStyle name="Note 17 2 3 6 2 2" xfId="10361"/>
    <cellStyle name="Note 17 2 3 6 2 2 2" xfId="10362"/>
    <cellStyle name="Note 17 2 3 6 2 3" xfId="10363"/>
    <cellStyle name="Note 17 2 3 6 3" xfId="10364"/>
    <cellStyle name="Note 17 2 3 6 3 2" xfId="10365"/>
    <cellStyle name="Note 17 2 3 6 3 2 2" xfId="10366"/>
    <cellStyle name="Note 17 2 3 6 3 3" xfId="10367"/>
    <cellStyle name="Note 17 2 3 6 4" xfId="10368"/>
    <cellStyle name="Note 17 2 3 6 4 2" xfId="10369"/>
    <cellStyle name="Note 17 2 3 6 5" xfId="10370"/>
    <cellStyle name="Note 17 2 3 6 5 2" xfId="10371"/>
    <cellStyle name="Note 17 2 3 6 6" xfId="10372"/>
    <cellStyle name="Note 17 2 3 6 6 2" xfId="10373"/>
    <cellStyle name="Note 17 2 3 6 7" xfId="10374"/>
    <cellStyle name="Note 17 2 3 7" xfId="10375"/>
    <cellStyle name="Note 17 2 3 7 2" xfId="10376"/>
    <cellStyle name="Note 17 2 3 8" xfId="10377"/>
    <cellStyle name="Note 17 2 3 8 2" xfId="10378"/>
    <cellStyle name="Note 17 2 4" xfId="10379"/>
    <cellStyle name="Note 17 2 4 2" xfId="10380"/>
    <cellStyle name="Note 17 2 4 2 2" xfId="10381"/>
    <cellStyle name="Note 17 2 4 2 2 2" xfId="10382"/>
    <cellStyle name="Note 17 2 4 2 2 2 2" xfId="10383"/>
    <cellStyle name="Note 17 2 4 2 2 2 2 2" xfId="10384"/>
    <cellStyle name="Note 17 2 4 2 2 2 3" xfId="10385"/>
    <cellStyle name="Note 17 2 4 2 2 3" xfId="10386"/>
    <cellStyle name="Note 17 2 4 2 2 3 2" xfId="10387"/>
    <cellStyle name="Note 17 2 4 2 2 3 2 2" xfId="10388"/>
    <cellStyle name="Note 17 2 4 2 2 3 3" xfId="10389"/>
    <cellStyle name="Note 17 2 4 2 2 4" xfId="10390"/>
    <cellStyle name="Note 17 2 4 2 2 4 2" xfId="10391"/>
    <cellStyle name="Note 17 2 4 2 2 5" xfId="10392"/>
    <cellStyle name="Note 17 2 4 2 2 5 2" xfId="10393"/>
    <cellStyle name="Note 17 2 4 2 2 6" xfId="10394"/>
    <cellStyle name="Note 17 2 4 2 2 6 2" xfId="10395"/>
    <cellStyle name="Note 17 2 4 2 2 7" xfId="10396"/>
    <cellStyle name="Note 17 2 4 2 3" xfId="10397"/>
    <cellStyle name="Note 17 2 4 2 3 2" xfId="10398"/>
    <cellStyle name="Note 17 2 4 2 3 2 2" xfId="10399"/>
    <cellStyle name="Note 17 2 4 2 3 2 2 2" xfId="10400"/>
    <cellStyle name="Note 17 2 4 2 3 2 3" xfId="10401"/>
    <cellStyle name="Note 17 2 4 2 3 3" xfId="10402"/>
    <cellStyle name="Note 17 2 4 2 3 3 2" xfId="10403"/>
    <cellStyle name="Note 17 2 4 2 3 3 2 2" xfId="10404"/>
    <cellStyle name="Note 17 2 4 2 3 3 3" xfId="10405"/>
    <cellStyle name="Note 17 2 4 2 3 4" xfId="10406"/>
    <cellStyle name="Note 17 2 4 2 3 4 2" xfId="10407"/>
    <cellStyle name="Note 17 2 4 2 3 5" xfId="10408"/>
    <cellStyle name="Note 17 2 4 2 3 5 2" xfId="10409"/>
    <cellStyle name="Note 17 2 4 2 3 6" xfId="10410"/>
    <cellStyle name="Note 17 2 4 2 3 6 2" xfId="10411"/>
    <cellStyle name="Note 17 2 4 2 3 7" xfId="10412"/>
    <cellStyle name="Note 17 2 4 2 4" xfId="10413"/>
    <cellStyle name="Note 17 2 4 2 4 2" xfId="10414"/>
    <cellStyle name="Note 17 2 4 2 5" xfId="10415"/>
    <cellStyle name="Note 17 2 4 2 5 2" xfId="10416"/>
    <cellStyle name="Note 17 2 4 3" xfId="10417"/>
    <cellStyle name="Note 17 2 4 3 2" xfId="10418"/>
    <cellStyle name="Note 17 2 4 3 2 2" xfId="10419"/>
    <cellStyle name="Note 17 2 4 3 2 2 2" xfId="10420"/>
    <cellStyle name="Note 17 2 4 3 2 2 2 2" xfId="10421"/>
    <cellStyle name="Note 17 2 4 3 2 2 3" xfId="10422"/>
    <cellStyle name="Note 17 2 4 3 2 3" xfId="10423"/>
    <cellStyle name="Note 17 2 4 3 2 3 2" xfId="10424"/>
    <cellStyle name="Note 17 2 4 3 2 3 2 2" xfId="10425"/>
    <cellStyle name="Note 17 2 4 3 2 3 3" xfId="10426"/>
    <cellStyle name="Note 17 2 4 3 2 4" xfId="10427"/>
    <cellStyle name="Note 17 2 4 3 2 4 2" xfId="10428"/>
    <cellStyle name="Note 17 2 4 3 2 5" xfId="10429"/>
    <cellStyle name="Note 17 2 4 3 2 5 2" xfId="10430"/>
    <cellStyle name="Note 17 2 4 3 2 6" xfId="10431"/>
    <cellStyle name="Note 17 2 4 3 2 6 2" xfId="10432"/>
    <cellStyle name="Note 17 2 4 3 2 7" xfId="10433"/>
    <cellStyle name="Note 17 2 4 3 3" xfId="10434"/>
    <cellStyle name="Note 17 2 4 3 3 2" xfId="10435"/>
    <cellStyle name="Note 17 2 4 3 3 2 2" xfId="10436"/>
    <cellStyle name="Note 17 2 4 3 3 2 2 2" xfId="10437"/>
    <cellStyle name="Note 17 2 4 3 3 2 3" xfId="10438"/>
    <cellStyle name="Note 17 2 4 3 3 3" xfId="10439"/>
    <cellStyle name="Note 17 2 4 3 3 3 2" xfId="10440"/>
    <cellStyle name="Note 17 2 4 3 3 3 2 2" xfId="10441"/>
    <cellStyle name="Note 17 2 4 3 3 3 3" xfId="10442"/>
    <cellStyle name="Note 17 2 4 3 3 4" xfId="10443"/>
    <cellStyle name="Note 17 2 4 3 3 4 2" xfId="10444"/>
    <cellStyle name="Note 17 2 4 3 3 5" xfId="10445"/>
    <cellStyle name="Note 17 2 4 3 3 5 2" xfId="10446"/>
    <cellStyle name="Note 17 2 4 3 3 6" xfId="10447"/>
    <cellStyle name="Note 17 2 4 3 3 6 2" xfId="10448"/>
    <cellStyle name="Note 17 2 4 3 3 7" xfId="10449"/>
    <cellStyle name="Note 17 2 4 3 4" xfId="10450"/>
    <cellStyle name="Note 17 2 4 3 4 2" xfId="10451"/>
    <cellStyle name="Note 17 2 4 3 5" xfId="10452"/>
    <cellStyle name="Note 17 2 4 3 5 2" xfId="10453"/>
    <cellStyle name="Note 17 2 4 4" xfId="10454"/>
    <cellStyle name="Note 17 2 4 4 2" xfId="10455"/>
    <cellStyle name="Note 17 2 4 4 2 2" xfId="10456"/>
    <cellStyle name="Note 17 2 4 4 2 2 2" xfId="10457"/>
    <cellStyle name="Note 17 2 4 4 2 3" xfId="10458"/>
    <cellStyle name="Note 17 2 4 4 3" xfId="10459"/>
    <cellStyle name="Note 17 2 4 4 3 2" xfId="10460"/>
    <cellStyle name="Note 17 2 4 4 3 2 2" xfId="10461"/>
    <cellStyle name="Note 17 2 4 4 3 3" xfId="10462"/>
    <cellStyle name="Note 17 2 4 4 4" xfId="10463"/>
    <cellStyle name="Note 17 2 4 4 4 2" xfId="10464"/>
    <cellStyle name="Note 17 2 4 4 5" xfId="10465"/>
    <cellStyle name="Note 17 2 4 4 5 2" xfId="10466"/>
    <cellStyle name="Note 17 2 4 4 6" xfId="10467"/>
    <cellStyle name="Note 17 2 4 4 6 2" xfId="10468"/>
    <cellStyle name="Note 17 2 4 4 7" xfId="10469"/>
    <cellStyle name="Note 17 2 4 5" xfId="10470"/>
    <cellStyle name="Note 17 2 4 5 2" xfId="10471"/>
    <cellStyle name="Note 17 2 4 5 2 2" xfId="10472"/>
    <cellStyle name="Note 17 2 4 5 2 2 2" xfId="10473"/>
    <cellStyle name="Note 17 2 4 5 2 3" xfId="10474"/>
    <cellStyle name="Note 17 2 4 5 3" xfId="10475"/>
    <cellStyle name="Note 17 2 4 5 3 2" xfId="10476"/>
    <cellStyle name="Note 17 2 4 5 3 2 2" xfId="10477"/>
    <cellStyle name="Note 17 2 4 5 3 3" xfId="10478"/>
    <cellStyle name="Note 17 2 4 5 4" xfId="10479"/>
    <cellStyle name="Note 17 2 4 5 4 2" xfId="10480"/>
    <cellStyle name="Note 17 2 4 5 5" xfId="10481"/>
    <cellStyle name="Note 17 2 4 5 5 2" xfId="10482"/>
    <cellStyle name="Note 17 2 4 5 6" xfId="10483"/>
    <cellStyle name="Note 17 2 4 5 6 2" xfId="10484"/>
    <cellStyle name="Note 17 2 4 5 7" xfId="10485"/>
    <cellStyle name="Note 17 2 4 6" xfId="10486"/>
    <cellStyle name="Note 17 2 4 6 2" xfId="10487"/>
    <cellStyle name="Note 17 2 4 6 2 2" xfId="10488"/>
    <cellStyle name="Note 17 2 4 6 2 2 2" xfId="10489"/>
    <cellStyle name="Note 17 2 4 6 2 3" xfId="10490"/>
    <cellStyle name="Note 17 2 4 6 3" xfId="10491"/>
    <cellStyle name="Note 17 2 4 6 3 2" xfId="10492"/>
    <cellStyle name="Note 17 2 4 6 3 2 2" xfId="10493"/>
    <cellStyle name="Note 17 2 4 6 3 3" xfId="10494"/>
    <cellStyle name="Note 17 2 4 6 4" xfId="10495"/>
    <cellStyle name="Note 17 2 4 6 4 2" xfId="10496"/>
    <cellStyle name="Note 17 2 4 6 5" xfId="10497"/>
    <cellStyle name="Note 17 2 4 6 5 2" xfId="10498"/>
    <cellStyle name="Note 17 2 4 6 6" xfId="10499"/>
    <cellStyle name="Note 17 2 4 6 6 2" xfId="10500"/>
    <cellStyle name="Note 17 2 4 6 7" xfId="10501"/>
    <cellStyle name="Note 17 2 4 7" xfId="10502"/>
    <cellStyle name="Note 17 2 4 7 2" xfId="10503"/>
    <cellStyle name="Note 17 2 4 8" xfId="10504"/>
    <cellStyle name="Note 17 2 4 8 2" xfId="10505"/>
    <cellStyle name="Note 17 2 5" xfId="10506"/>
    <cellStyle name="Note 17 2 5 2" xfId="10507"/>
    <cellStyle name="Note 17 2 5 2 2" xfId="10508"/>
    <cellStyle name="Note 17 2 5 2 2 2" xfId="10509"/>
    <cellStyle name="Note 17 2 5 2 2 2 2" xfId="10510"/>
    <cellStyle name="Note 17 2 5 2 2 2 2 2" xfId="10511"/>
    <cellStyle name="Note 17 2 5 2 2 2 3" xfId="10512"/>
    <cellStyle name="Note 17 2 5 2 2 3" xfId="10513"/>
    <cellStyle name="Note 17 2 5 2 2 3 2" xfId="10514"/>
    <cellStyle name="Note 17 2 5 2 2 3 2 2" xfId="10515"/>
    <cellStyle name="Note 17 2 5 2 2 3 3" xfId="10516"/>
    <cellStyle name="Note 17 2 5 2 2 4" xfId="10517"/>
    <cellStyle name="Note 17 2 5 2 2 4 2" xfId="10518"/>
    <cellStyle name="Note 17 2 5 2 2 5" xfId="10519"/>
    <cellStyle name="Note 17 2 5 2 2 5 2" xfId="10520"/>
    <cellStyle name="Note 17 2 5 2 2 6" xfId="10521"/>
    <cellStyle name="Note 17 2 5 2 2 6 2" xfId="10522"/>
    <cellStyle name="Note 17 2 5 2 2 7" xfId="10523"/>
    <cellStyle name="Note 17 2 5 2 3" xfId="10524"/>
    <cellStyle name="Note 17 2 5 2 3 2" xfId="10525"/>
    <cellStyle name="Note 17 2 5 2 3 2 2" xfId="10526"/>
    <cellStyle name="Note 17 2 5 2 3 2 2 2" xfId="10527"/>
    <cellStyle name="Note 17 2 5 2 3 2 3" xfId="10528"/>
    <cellStyle name="Note 17 2 5 2 3 3" xfId="10529"/>
    <cellStyle name="Note 17 2 5 2 3 3 2" xfId="10530"/>
    <cellStyle name="Note 17 2 5 2 3 3 2 2" xfId="10531"/>
    <cellStyle name="Note 17 2 5 2 3 3 3" xfId="10532"/>
    <cellStyle name="Note 17 2 5 2 3 4" xfId="10533"/>
    <cellStyle name="Note 17 2 5 2 3 4 2" xfId="10534"/>
    <cellStyle name="Note 17 2 5 2 3 5" xfId="10535"/>
    <cellStyle name="Note 17 2 5 2 3 5 2" xfId="10536"/>
    <cellStyle name="Note 17 2 5 2 3 6" xfId="10537"/>
    <cellStyle name="Note 17 2 5 2 3 6 2" xfId="10538"/>
    <cellStyle name="Note 17 2 5 2 3 7" xfId="10539"/>
    <cellStyle name="Note 17 2 5 2 4" xfId="10540"/>
    <cellStyle name="Note 17 2 5 2 4 2" xfId="10541"/>
    <cellStyle name="Note 17 2 5 2 5" xfId="10542"/>
    <cellStyle name="Note 17 2 5 2 5 2" xfId="10543"/>
    <cellStyle name="Note 17 2 5 3" xfId="10544"/>
    <cellStyle name="Note 17 2 5 3 2" xfId="10545"/>
    <cellStyle name="Note 17 2 5 3 2 2" xfId="10546"/>
    <cellStyle name="Note 17 2 5 3 2 2 2" xfId="10547"/>
    <cellStyle name="Note 17 2 5 3 2 2 2 2" xfId="10548"/>
    <cellStyle name="Note 17 2 5 3 2 2 3" xfId="10549"/>
    <cellStyle name="Note 17 2 5 3 2 3" xfId="10550"/>
    <cellStyle name="Note 17 2 5 3 2 3 2" xfId="10551"/>
    <cellStyle name="Note 17 2 5 3 2 3 2 2" xfId="10552"/>
    <cellStyle name="Note 17 2 5 3 2 3 3" xfId="10553"/>
    <cellStyle name="Note 17 2 5 3 2 4" xfId="10554"/>
    <cellStyle name="Note 17 2 5 3 2 4 2" xfId="10555"/>
    <cellStyle name="Note 17 2 5 3 2 5" xfId="10556"/>
    <cellStyle name="Note 17 2 5 3 2 5 2" xfId="10557"/>
    <cellStyle name="Note 17 2 5 3 2 6" xfId="10558"/>
    <cellStyle name="Note 17 2 5 3 2 6 2" xfId="10559"/>
    <cellStyle name="Note 17 2 5 3 2 7" xfId="10560"/>
    <cellStyle name="Note 17 2 5 3 3" xfId="10561"/>
    <cellStyle name="Note 17 2 5 3 3 2" xfId="10562"/>
    <cellStyle name="Note 17 2 5 3 3 2 2" xfId="10563"/>
    <cellStyle name="Note 17 2 5 3 3 2 2 2" xfId="10564"/>
    <cellStyle name="Note 17 2 5 3 3 2 3" xfId="10565"/>
    <cellStyle name="Note 17 2 5 3 3 3" xfId="10566"/>
    <cellStyle name="Note 17 2 5 3 3 3 2" xfId="10567"/>
    <cellStyle name="Note 17 2 5 3 3 3 2 2" xfId="10568"/>
    <cellStyle name="Note 17 2 5 3 3 3 3" xfId="10569"/>
    <cellStyle name="Note 17 2 5 3 3 4" xfId="10570"/>
    <cellStyle name="Note 17 2 5 3 3 4 2" xfId="10571"/>
    <cellStyle name="Note 17 2 5 3 3 5" xfId="10572"/>
    <cellStyle name="Note 17 2 5 3 3 5 2" xfId="10573"/>
    <cellStyle name="Note 17 2 5 3 3 6" xfId="10574"/>
    <cellStyle name="Note 17 2 5 3 3 6 2" xfId="10575"/>
    <cellStyle name="Note 17 2 5 3 3 7" xfId="10576"/>
    <cellStyle name="Note 17 2 5 3 4" xfId="10577"/>
    <cellStyle name="Note 17 2 5 3 4 2" xfId="10578"/>
    <cellStyle name="Note 17 2 5 3 5" xfId="10579"/>
    <cellStyle name="Note 17 2 5 3 5 2" xfId="10580"/>
    <cellStyle name="Note 17 2 5 4" xfId="10581"/>
    <cellStyle name="Note 17 2 5 4 2" xfId="10582"/>
    <cellStyle name="Note 17 2 5 4 2 2" xfId="10583"/>
    <cellStyle name="Note 17 2 5 4 2 2 2" xfId="10584"/>
    <cellStyle name="Note 17 2 5 4 2 3" xfId="10585"/>
    <cellStyle name="Note 17 2 5 4 3" xfId="10586"/>
    <cellStyle name="Note 17 2 5 4 3 2" xfId="10587"/>
    <cellStyle name="Note 17 2 5 4 3 2 2" xfId="10588"/>
    <cellStyle name="Note 17 2 5 4 3 3" xfId="10589"/>
    <cellStyle name="Note 17 2 5 4 4" xfId="10590"/>
    <cellStyle name="Note 17 2 5 4 4 2" xfId="10591"/>
    <cellStyle name="Note 17 2 5 4 5" xfId="10592"/>
    <cellStyle name="Note 17 2 5 4 5 2" xfId="10593"/>
    <cellStyle name="Note 17 2 5 4 6" xfId="10594"/>
    <cellStyle name="Note 17 2 5 4 6 2" xfId="10595"/>
    <cellStyle name="Note 17 2 5 4 7" xfId="10596"/>
    <cellStyle name="Note 17 2 5 5" xfId="10597"/>
    <cellStyle name="Note 17 2 5 5 2" xfId="10598"/>
    <cellStyle name="Note 17 2 5 5 2 2" xfId="10599"/>
    <cellStyle name="Note 17 2 5 5 2 2 2" xfId="10600"/>
    <cellStyle name="Note 17 2 5 5 2 3" xfId="10601"/>
    <cellStyle name="Note 17 2 5 5 3" xfId="10602"/>
    <cellStyle name="Note 17 2 5 5 3 2" xfId="10603"/>
    <cellStyle name="Note 17 2 5 5 3 2 2" xfId="10604"/>
    <cellStyle name="Note 17 2 5 5 3 3" xfId="10605"/>
    <cellStyle name="Note 17 2 5 5 4" xfId="10606"/>
    <cellStyle name="Note 17 2 5 5 4 2" xfId="10607"/>
    <cellStyle name="Note 17 2 5 5 5" xfId="10608"/>
    <cellStyle name="Note 17 2 5 5 5 2" xfId="10609"/>
    <cellStyle name="Note 17 2 5 5 6" xfId="10610"/>
    <cellStyle name="Note 17 2 5 5 6 2" xfId="10611"/>
    <cellStyle name="Note 17 2 5 5 7" xfId="10612"/>
    <cellStyle name="Note 17 2 5 6" xfId="10613"/>
    <cellStyle name="Note 17 2 5 6 2" xfId="10614"/>
    <cellStyle name="Note 17 2 5 6 2 2" xfId="10615"/>
    <cellStyle name="Note 17 2 5 6 2 2 2" xfId="10616"/>
    <cellStyle name="Note 17 2 5 6 2 3" xfId="10617"/>
    <cellStyle name="Note 17 2 5 6 3" xfId="10618"/>
    <cellStyle name="Note 17 2 5 6 3 2" xfId="10619"/>
    <cellStyle name="Note 17 2 5 6 3 2 2" xfId="10620"/>
    <cellStyle name="Note 17 2 5 6 3 3" xfId="10621"/>
    <cellStyle name="Note 17 2 5 6 4" xfId="10622"/>
    <cellStyle name="Note 17 2 5 6 4 2" xfId="10623"/>
    <cellStyle name="Note 17 2 5 6 5" xfId="10624"/>
    <cellStyle name="Note 17 2 5 6 5 2" xfId="10625"/>
    <cellStyle name="Note 17 2 5 6 6" xfId="10626"/>
    <cellStyle name="Note 17 2 5 6 6 2" xfId="10627"/>
    <cellStyle name="Note 17 2 5 6 7" xfId="10628"/>
    <cellStyle name="Note 17 2 5 7" xfId="10629"/>
    <cellStyle name="Note 17 2 5 7 2" xfId="10630"/>
    <cellStyle name="Note 17 2 5 8" xfId="10631"/>
    <cellStyle name="Note 17 2 5 8 2" xfId="10632"/>
    <cellStyle name="Note 17 2 6" xfId="10633"/>
    <cellStyle name="Note 17 2 6 2" xfId="10634"/>
    <cellStyle name="Note 17 2 6 2 2" xfId="10635"/>
    <cellStyle name="Note 17 2 6 2 2 2" xfId="10636"/>
    <cellStyle name="Note 17 2 6 2 2 2 2" xfId="10637"/>
    <cellStyle name="Note 17 2 6 2 2 2 2 2" xfId="10638"/>
    <cellStyle name="Note 17 2 6 2 2 2 3" xfId="10639"/>
    <cellStyle name="Note 17 2 6 2 2 3" xfId="10640"/>
    <cellStyle name="Note 17 2 6 2 2 3 2" xfId="10641"/>
    <cellStyle name="Note 17 2 6 2 2 3 2 2" xfId="10642"/>
    <cellStyle name="Note 17 2 6 2 2 3 3" xfId="10643"/>
    <cellStyle name="Note 17 2 6 2 2 4" xfId="10644"/>
    <cellStyle name="Note 17 2 6 2 2 4 2" xfId="10645"/>
    <cellStyle name="Note 17 2 6 2 2 5" xfId="10646"/>
    <cellStyle name="Note 17 2 6 2 2 5 2" xfId="10647"/>
    <cellStyle name="Note 17 2 6 2 2 6" xfId="10648"/>
    <cellStyle name="Note 17 2 6 2 2 6 2" xfId="10649"/>
    <cellStyle name="Note 17 2 6 2 2 7" xfId="10650"/>
    <cellStyle name="Note 17 2 6 2 3" xfId="10651"/>
    <cellStyle name="Note 17 2 6 2 3 2" xfId="10652"/>
    <cellStyle name="Note 17 2 6 2 3 2 2" xfId="10653"/>
    <cellStyle name="Note 17 2 6 2 3 2 2 2" xfId="10654"/>
    <cellStyle name="Note 17 2 6 2 3 2 3" xfId="10655"/>
    <cellStyle name="Note 17 2 6 2 3 3" xfId="10656"/>
    <cellStyle name="Note 17 2 6 2 3 3 2" xfId="10657"/>
    <cellStyle name="Note 17 2 6 2 3 3 2 2" xfId="10658"/>
    <cellStyle name="Note 17 2 6 2 3 3 3" xfId="10659"/>
    <cellStyle name="Note 17 2 6 2 3 4" xfId="10660"/>
    <cellStyle name="Note 17 2 6 2 3 4 2" xfId="10661"/>
    <cellStyle name="Note 17 2 6 2 3 5" xfId="10662"/>
    <cellStyle name="Note 17 2 6 2 3 5 2" xfId="10663"/>
    <cellStyle name="Note 17 2 6 2 3 6" xfId="10664"/>
    <cellStyle name="Note 17 2 6 2 3 6 2" xfId="10665"/>
    <cellStyle name="Note 17 2 6 2 3 7" xfId="10666"/>
    <cellStyle name="Note 17 2 6 2 4" xfId="10667"/>
    <cellStyle name="Note 17 2 6 2 4 2" xfId="10668"/>
    <cellStyle name="Note 17 2 6 2 5" xfId="10669"/>
    <cellStyle name="Note 17 2 6 2 5 2" xfId="10670"/>
    <cellStyle name="Note 17 2 6 3" xfId="10671"/>
    <cellStyle name="Note 17 2 6 3 2" xfId="10672"/>
    <cellStyle name="Note 17 2 6 3 2 2" xfId="10673"/>
    <cellStyle name="Note 17 2 6 3 2 2 2" xfId="10674"/>
    <cellStyle name="Note 17 2 6 3 2 2 2 2" xfId="10675"/>
    <cellStyle name="Note 17 2 6 3 2 2 3" xfId="10676"/>
    <cellStyle name="Note 17 2 6 3 2 3" xfId="10677"/>
    <cellStyle name="Note 17 2 6 3 2 3 2" xfId="10678"/>
    <cellStyle name="Note 17 2 6 3 2 3 2 2" xfId="10679"/>
    <cellStyle name="Note 17 2 6 3 2 3 3" xfId="10680"/>
    <cellStyle name="Note 17 2 6 3 2 4" xfId="10681"/>
    <cellStyle name="Note 17 2 6 3 2 4 2" xfId="10682"/>
    <cellStyle name="Note 17 2 6 3 2 5" xfId="10683"/>
    <cellStyle name="Note 17 2 6 3 2 5 2" xfId="10684"/>
    <cellStyle name="Note 17 2 6 3 2 6" xfId="10685"/>
    <cellStyle name="Note 17 2 6 3 2 6 2" xfId="10686"/>
    <cellStyle name="Note 17 2 6 3 2 7" xfId="10687"/>
    <cellStyle name="Note 17 2 6 3 3" xfId="10688"/>
    <cellStyle name="Note 17 2 6 3 3 2" xfId="10689"/>
    <cellStyle name="Note 17 2 6 3 3 2 2" xfId="10690"/>
    <cellStyle name="Note 17 2 6 3 3 2 2 2" xfId="10691"/>
    <cellStyle name="Note 17 2 6 3 3 2 3" xfId="10692"/>
    <cellStyle name="Note 17 2 6 3 3 3" xfId="10693"/>
    <cellStyle name="Note 17 2 6 3 3 3 2" xfId="10694"/>
    <cellStyle name="Note 17 2 6 3 3 3 2 2" xfId="10695"/>
    <cellStyle name="Note 17 2 6 3 3 3 3" xfId="10696"/>
    <cellStyle name="Note 17 2 6 3 3 4" xfId="10697"/>
    <cellStyle name="Note 17 2 6 3 3 4 2" xfId="10698"/>
    <cellStyle name="Note 17 2 6 3 3 5" xfId="10699"/>
    <cellStyle name="Note 17 2 6 3 3 5 2" xfId="10700"/>
    <cellStyle name="Note 17 2 6 3 3 6" xfId="10701"/>
    <cellStyle name="Note 17 2 6 3 3 6 2" xfId="10702"/>
    <cellStyle name="Note 17 2 6 3 3 7" xfId="10703"/>
    <cellStyle name="Note 17 2 6 3 4" xfId="10704"/>
    <cellStyle name="Note 17 2 6 3 4 2" xfId="10705"/>
    <cellStyle name="Note 17 2 6 3 5" xfId="10706"/>
    <cellStyle name="Note 17 2 6 3 5 2" xfId="10707"/>
    <cellStyle name="Note 17 2 6 4" xfId="10708"/>
    <cellStyle name="Note 17 2 6 4 2" xfId="10709"/>
    <cellStyle name="Note 17 2 6 4 2 2" xfId="10710"/>
    <cellStyle name="Note 17 2 6 4 2 2 2" xfId="10711"/>
    <cellStyle name="Note 17 2 6 4 2 3" xfId="10712"/>
    <cellStyle name="Note 17 2 6 4 3" xfId="10713"/>
    <cellStyle name="Note 17 2 6 4 3 2" xfId="10714"/>
    <cellStyle name="Note 17 2 6 4 3 2 2" xfId="10715"/>
    <cellStyle name="Note 17 2 6 4 3 3" xfId="10716"/>
    <cellStyle name="Note 17 2 6 4 4" xfId="10717"/>
    <cellStyle name="Note 17 2 6 4 4 2" xfId="10718"/>
    <cellStyle name="Note 17 2 6 4 5" xfId="10719"/>
    <cellStyle name="Note 17 2 6 4 5 2" xfId="10720"/>
    <cellStyle name="Note 17 2 6 4 6" xfId="10721"/>
    <cellStyle name="Note 17 2 6 4 6 2" xfId="10722"/>
    <cellStyle name="Note 17 2 6 4 7" xfId="10723"/>
    <cellStyle name="Note 17 2 6 5" xfId="10724"/>
    <cellStyle name="Note 17 2 6 5 2" xfId="10725"/>
    <cellStyle name="Note 17 2 6 5 2 2" xfId="10726"/>
    <cellStyle name="Note 17 2 6 5 2 2 2" xfId="10727"/>
    <cellStyle name="Note 17 2 6 5 2 3" xfId="10728"/>
    <cellStyle name="Note 17 2 6 5 3" xfId="10729"/>
    <cellStyle name="Note 17 2 6 5 3 2" xfId="10730"/>
    <cellStyle name="Note 17 2 6 5 3 2 2" xfId="10731"/>
    <cellStyle name="Note 17 2 6 5 3 3" xfId="10732"/>
    <cellStyle name="Note 17 2 6 5 4" xfId="10733"/>
    <cellStyle name="Note 17 2 6 5 4 2" xfId="10734"/>
    <cellStyle name="Note 17 2 6 5 5" xfId="10735"/>
    <cellStyle name="Note 17 2 6 5 5 2" xfId="10736"/>
    <cellStyle name="Note 17 2 6 5 6" xfId="10737"/>
    <cellStyle name="Note 17 2 6 5 6 2" xfId="10738"/>
    <cellStyle name="Note 17 2 6 5 7" xfId="10739"/>
    <cellStyle name="Note 17 2 6 6" xfId="10740"/>
    <cellStyle name="Note 17 2 6 6 2" xfId="10741"/>
    <cellStyle name="Note 17 2 6 6 2 2" xfId="10742"/>
    <cellStyle name="Note 17 2 6 6 2 2 2" xfId="10743"/>
    <cellStyle name="Note 17 2 6 6 2 3" xfId="10744"/>
    <cellStyle name="Note 17 2 6 6 3" xfId="10745"/>
    <cellStyle name="Note 17 2 6 6 3 2" xfId="10746"/>
    <cellStyle name="Note 17 2 6 6 3 2 2" xfId="10747"/>
    <cellStyle name="Note 17 2 6 6 3 3" xfId="10748"/>
    <cellStyle name="Note 17 2 6 6 4" xfId="10749"/>
    <cellStyle name="Note 17 2 6 6 4 2" xfId="10750"/>
    <cellStyle name="Note 17 2 6 6 5" xfId="10751"/>
    <cellStyle name="Note 17 2 6 6 5 2" xfId="10752"/>
    <cellStyle name="Note 17 2 6 6 6" xfId="10753"/>
    <cellStyle name="Note 17 2 6 6 6 2" xfId="10754"/>
    <cellStyle name="Note 17 2 6 6 7" xfId="10755"/>
    <cellStyle name="Note 17 2 6 7" xfId="10756"/>
    <cellStyle name="Note 17 2 6 7 2" xfId="10757"/>
    <cellStyle name="Note 17 2 6 8" xfId="10758"/>
    <cellStyle name="Note 17 2 6 8 2" xfId="10759"/>
    <cellStyle name="Note 17 2 7" xfId="10760"/>
    <cellStyle name="Note 17 2 7 2" xfId="10761"/>
    <cellStyle name="Note 17 2 7 2 2" xfId="10762"/>
    <cellStyle name="Note 17 2 7 2 2 2" xfId="10763"/>
    <cellStyle name="Note 17 2 7 2 2 2 2" xfId="10764"/>
    <cellStyle name="Note 17 2 7 2 2 2 2 2" xfId="10765"/>
    <cellStyle name="Note 17 2 7 2 2 2 3" xfId="10766"/>
    <cellStyle name="Note 17 2 7 2 2 3" xfId="10767"/>
    <cellStyle name="Note 17 2 7 2 2 3 2" xfId="10768"/>
    <cellStyle name="Note 17 2 7 2 2 3 2 2" xfId="10769"/>
    <cellStyle name="Note 17 2 7 2 2 3 3" xfId="10770"/>
    <cellStyle name="Note 17 2 7 2 2 4" xfId="10771"/>
    <cellStyle name="Note 17 2 7 2 2 4 2" xfId="10772"/>
    <cellStyle name="Note 17 2 7 2 2 5" xfId="10773"/>
    <cellStyle name="Note 17 2 7 2 2 5 2" xfId="10774"/>
    <cellStyle name="Note 17 2 7 2 2 6" xfId="10775"/>
    <cellStyle name="Note 17 2 7 2 2 6 2" xfId="10776"/>
    <cellStyle name="Note 17 2 7 2 2 7" xfId="10777"/>
    <cellStyle name="Note 17 2 7 2 3" xfId="10778"/>
    <cellStyle name="Note 17 2 7 2 3 2" xfId="10779"/>
    <cellStyle name="Note 17 2 7 2 3 2 2" xfId="10780"/>
    <cellStyle name="Note 17 2 7 2 3 2 2 2" xfId="10781"/>
    <cellStyle name="Note 17 2 7 2 3 2 3" xfId="10782"/>
    <cellStyle name="Note 17 2 7 2 3 3" xfId="10783"/>
    <cellStyle name="Note 17 2 7 2 3 3 2" xfId="10784"/>
    <cellStyle name="Note 17 2 7 2 3 3 2 2" xfId="10785"/>
    <cellStyle name="Note 17 2 7 2 3 3 3" xfId="10786"/>
    <cellStyle name="Note 17 2 7 2 3 4" xfId="10787"/>
    <cellStyle name="Note 17 2 7 2 3 4 2" xfId="10788"/>
    <cellStyle name="Note 17 2 7 2 3 5" xfId="10789"/>
    <cellStyle name="Note 17 2 7 2 3 5 2" xfId="10790"/>
    <cellStyle name="Note 17 2 7 2 3 6" xfId="10791"/>
    <cellStyle name="Note 17 2 7 2 3 6 2" xfId="10792"/>
    <cellStyle name="Note 17 2 7 2 3 7" xfId="10793"/>
    <cellStyle name="Note 17 2 7 2 4" xfId="10794"/>
    <cellStyle name="Note 17 2 7 2 4 2" xfId="10795"/>
    <cellStyle name="Note 17 2 7 2 5" xfId="10796"/>
    <cellStyle name="Note 17 2 7 2 5 2" xfId="10797"/>
    <cellStyle name="Note 17 2 7 3" xfId="10798"/>
    <cellStyle name="Note 17 2 7 3 2" xfId="10799"/>
    <cellStyle name="Note 17 2 7 3 2 2" xfId="10800"/>
    <cellStyle name="Note 17 2 7 3 2 2 2" xfId="10801"/>
    <cellStyle name="Note 17 2 7 3 2 2 2 2" xfId="10802"/>
    <cellStyle name="Note 17 2 7 3 2 2 3" xfId="10803"/>
    <cellStyle name="Note 17 2 7 3 2 3" xfId="10804"/>
    <cellStyle name="Note 17 2 7 3 2 3 2" xfId="10805"/>
    <cellStyle name="Note 17 2 7 3 2 3 2 2" xfId="10806"/>
    <cellStyle name="Note 17 2 7 3 2 3 3" xfId="10807"/>
    <cellStyle name="Note 17 2 7 3 2 4" xfId="10808"/>
    <cellStyle name="Note 17 2 7 3 2 4 2" xfId="10809"/>
    <cellStyle name="Note 17 2 7 3 2 5" xfId="10810"/>
    <cellStyle name="Note 17 2 7 3 2 5 2" xfId="10811"/>
    <cellStyle name="Note 17 2 7 3 2 6" xfId="10812"/>
    <cellStyle name="Note 17 2 7 3 2 6 2" xfId="10813"/>
    <cellStyle name="Note 17 2 7 3 2 7" xfId="10814"/>
    <cellStyle name="Note 17 2 7 3 3" xfId="10815"/>
    <cellStyle name="Note 17 2 7 3 3 2" xfId="10816"/>
    <cellStyle name="Note 17 2 7 3 3 2 2" xfId="10817"/>
    <cellStyle name="Note 17 2 7 3 3 2 2 2" xfId="10818"/>
    <cellStyle name="Note 17 2 7 3 3 2 3" xfId="10819"/>
    <cellStyle name="Note 17 2 7 3 3 3" xfId="10820"/>
    <cellStyle name="Note 17 2 7 3 3 3 2" xfId="10821"/>
    <cellStyle name="Note 17 2 7 3 3 3 2 2" xfId="10822"/>
    <cellStyle name="Note 17 2 7 3 3 3 3" xfId="10823"/>
    <cellStyle name="Note 17 2 7 3 3 4" xfId="10824"/>
    <cellStyle name="Note 17 2 7 3 3 4 2" xfId="10825"/>
    <cellStyle name="Note 17 2 7 3 3 5" xfId="10826"/>
    <cellStyle name="Note 17 2 7 3 3 5 2" xfId="10827"/>
    <cellStyle name="Note 17 2 7 3 3 6" xfId="10828"/>
    <cellStyle name="Note 17 2 7 3 3 6 2" xfId="10829"/>
    <cellStyle name="Note 17 2 7 3 3 7" xfId="10830"/>
    <cellStyle name="Note 17 2 7 3 4" xfId="10831"/>
    <cellStyle name="Note 17 2 7 3 4 2" xfId="10832"/>
    <cellStyle name="Note 17 2 7 3 5" xfId="10833"/>
    <cellStyle name="Note 17 2 7 3 5 2" xfId="10834"/>
    <cellStyle name="Note 17 2 7 4" xfId="10835"/>
    <cellStyle name="Note 17 2 7 4 2" xfId="10836"/>
    <cellStyle name="Note 17 2 7 4 2 2" xfId="10837"/>
    <cellStyle name="Note 17 2 7 4 2 2 2" xfId="10838"/>
    <cellStyle name="Note 17 2 7 4 2 3" xfId="10839"/>
    <cellStyle name="Note 17 2 7 4 3" xfId="10840"/>
    <cellStyle name="Note 17 2 7 4 3 2" xfId="10841"/>
    <cellStyle name="Note 17 2 7 4 3 2 2" xfId="10842"/>
    <cellStyle name="Note 17 2 7 4 3 3" xfId="10843"/>
    <cellStyle name="Note 17 2 7 4 4" xfId="10844"/>
    <cellStyle name="Note 17 2 7 4 4 2" xfId="10845"/>
    <cellStyle name="Note 17 2 7 4 5" xfId="10846"/>
    <cellStyle name="Note 17 2 7 4 5 2" xfId="10847"/>
    <cellStyle name="Note 17 2 7 4 6" xfId="10848"/>
    <cellStyle name="Note 17 2 7 4 6 2" xfId="10849"/>
    <cellStyle name="Note 17 2 7 4 7" xfId="10850"/>
    <cellStyle name="Note 17 2 7 5" xfId="10851"/>
    <cellStyle name="Note 17 2 7 5 2" xfId="10852"/>
    <cellStyle name="Note 17 2 7 5 2 2" xfId="10853"/>
    <cellStyle name="Note 17 2 7 5 2 2 2" xfId="10854"/>
    <cellStyle name="Note 17 2 7 5 2 3" xfId="10855"/>
    <cellStyle name="Note 17 2 7 5 3" xfId="10856"/>
    <cellStyle name="Note 17 2 7 5 3 2" xfId="10857"/>
    <cellStyle name="Note 17 2 7 5 3 2 2" xfId="10858"/>
    <cellStyle name="Note 17 2 7 5 3 3" xfId="10859"/>
    <cellStyle name="Note 17 2 7 5 4" xfId="10860"/>
    <cellStyle name="Note 17 2 7 5 4 2" xfId="10861"/>
    <cellStyle name="Note 17 2 7 5 5" xfId="10862"/>
    <cellStyle name="Note 17 2 7 5 5 2" xfId="10863"/>
    <cellStyle name="Note 17 2 7 5 6" xfId="10864"/>
    <cellStyle name="Note 17 2 7 5 6 2" xfId="10865"/>
    <cellStyle name="Note 17 2 7 5 7" xfId="10866"/>
    <cellStyle name="Note 17 2 7 6" xfId="10867"/>
    <cellStyle name="Note 17 2 7 6 2" xfId="10868"/>
    <cellStyle name="Note 17 2 7 7" xfId="10869"/>
    <cellStyle name="Note 17 2 7 7 2" xfId="10870"/>
    <cellStyle name="Note 17 2 8" xfId="10871"/>
    <cellStyle name="Note 17 2 8 2" xfId="10872"/>
    <cellStyle name="Note 17 2 8 2 2" xfId="10873"/>
    <cellStyle name="Note 17 2 8 2 2 2" xfId="10874"/>
    <cellStyle name="Note 17 2 8 2 2 2 2" xfId="10875"/>
    <cellStyle name="Note 17 2 8 2 2 3" xfId="10876"/>
    <cellStyle name="Note 17 2 8 2 3" xfId="10877"/>
    <cellStyle name="Note 17 2 8 2 3 2" xfId="10878"/>
    <cellStyle name="Note 17 2 8 2 3 2 2" xfId="10879"/>
    <cellStyle name="Note 17 2 8 2 3 3" xfId="10880"/>
    <cellStyle name="Note 17 2 8 2 4" xfId="10881"/>
    <cellStyle name="Note 17 2 8 2 4 2" xfId="10882"/>
    <cellStyle name="Note 17 2 8 2 5" xfId="10883"/>
    <cellStyle name="Note 17 2 8 2 5 2" xfId="10884"/>
    <cellStyle name="Note 17 2 8 2 6" xfId="10885"/>
    <cellStyle name="Note 17 2 8 2 6 2" xfId="10886"/>
    <cellStyle name="Note 17 2 8 2 7" xfId="10887"/>
    <cellStyle name="Note 17 2 8 3" xfId="10888"/>
    <cellStyle name="Note 17 2 8 3 2" xfId="10889"/>
    <cellStyle name="Note 17 2 8 3 2 2" xfId="10890"/>
    <cellStyle name="Note 17 2 8 3 2 2 2" xfId="10891"/>
    <cellStyle name="Note 17 2 8 3 2 3" xfId="10892"/>
    <cellStyle name="Note 17 2 8 3 3" xfId="10893"/>
    <cellStyle name="Note 17 2 8 3 3 2" xfId="10894"/>
    <cellStyle name="Note 17 2 8 3 3 2 2" xfId="10895"/>
    <cellStyle name="Note 17 2 8 3 3 3" xfId="10896"/>
    <cellStyle name="Note 17 2 8 3 4" xfId="10897"/>
    <cellStyle name="Note 17 2 8 3 4 2" xfId="10898"/>
    <cellStyle name="Note 17 2 8 3 5" xfId="10899"/>
    <cellStyle name="Note 17 2 8 3 5 2" xfId="10900"/>
    <cellStyle name="Note 17 2 8 3 6" xfId="10901"/>
    <cellStyle name="Note 17 2 8 3 6 2" xfId="10902"/>
    <cellStyle name="Note 17 2 8 3 7" xfId="10903"/>
    <cellStyle name="Note 17 2 8 4" xfId="10904"/>
    <cellStyle name="Note 17 2 8 4 2" xfId="10905"/>
    <cellStyle name="Note 17 2 8 5" xfId="10906"/>
    <cellStyle name="Note 17 2 8 5 2" xfId="10907"/>
    <cellStyle name="Note 17 2 9" xfId="10908"/>
    <cellStyle name="Note 17 2 9 2" xfId="10909"/>
    <cellStyle name="Note 17 2 9 2 2" xfId="10910"/>
    <cellStyle name="Note 17 2 9 2 2 2" xfId="10911"/>
    <cellStyle name="Note 17 2 9 2 2 2 2" xfId="10912"/>
    <cellStyle name="Note 17 2 9 2 2 3" xfId="10913"/>
    <cellStyle name="Note 17 2 9 2 3" xfId="10914"/>
    <cellStyle name="Note 17 2 9 2 3 2" xfId="10915"/>
    <cellStyle name="Note 17 2 9 2 3 2 2" xfId="10916"/>
    <cellStyle name="Note 17 2 9 2 3 3" xfId="10917"/>
    <cellStyle name="Note 17 2 9 2 4" xfId="10918"/>
    <cellStyle name="Note 17 2 9 2 4 2" xfId="10919"/>
    <cellStyle name="Note 17 2 9 2 5" xfId="10920"/>
    <cellStyle name="Note 17 2 9 2 5 2" xfId="10921"/>
    <cellStyle name="Note 17 2 9 2 6" xfId="10922"/>
    <cellStyle name="Note 17 2 9 2 6 2" xfId="10923"/>
    <cellStyle name="Note 17 2 9 2 7" xfId="10924"/>
    <cellStyle name="Note 17 2 9 3" xfId="10925"/>
    <cellStyle name="Note 17 2 9 3 2" xfId="10926"/>
    <cellStyle name="Note 17 2 9 3 2 2" xfId="10927"/>
    <cellStyle name="Note 17 2 9 3 2 2 2" xfId="10928"/>
    <cellStyle name="Note 17 2 9 3 2 3" xfId="10929"/>
    <cellStyle name="Note 17 2 9 3 3" xfId="10930"/>
    <cellStyle name="Note 17 2 9 3 3 2" xfId="10931"/>
    <cellStyle name="Note 17 2 9 3 3 2 2" xfId="10932"/>
    <cellStyle name="Note 17 2 9 3 3 3" xfId="10933"/>
    <cellStyle name="Note 17 2 9 3 4" xfId="10934"/>
    <cellStyle name="Note 17 2 9 3 4 2" xfId="10935"/>
    <cellStyle name="Note 17 2 9 3 5" xfId="10936"/>
    <cellStyle name="Note 17 2 9 3 5 2" xfId="10937"/>
    <cellStyle name="Note 17 2 9 3 6" xfId="10938"/>
    <cellStyle name="Note 17 2 9 3 6 2" xfId="10939"/>
    <cellStyle name="Note 17 2 9 3 7" xfId="10940"/>
    <cellStyle name="Note 17 2 9 4" xfId="10941"/>
    <cellStyle name="Note 17 2 9 4 2" xfId="10942"/>
    <cellStyle name="Note 17 2 9 5" xfId="10943"/>
    <cellStyle name="Note 17 2 9 5 2" xfId="10944"/>
    <cellStyle name="Note 17 3" xfId="10945"/>
    <cellStyle name="Note 17 3 2" xfId="10946"/>
    <cellStyle name="Note 17 3 2 2" xfId="10947"/>
    <cellStyle name="Note 17 3 2 2 2" xfId="10948"/>
    <cellStyle name="Note 17 3 2 2 2 2" xfId="10949"/>
    <cellStyle name="Note 17 3 2 2 3" xfId="10950"/>
    <cellStyle name="Note 17 3 2 3" xfId="10951"/>
    <cellStyle name="Note 17 3 2 3 2" xfId="10952"/>
    <cellStyle name="Note 17 3 2 3 2 2" xfId="10953"/>
    <cellStyle name="Note 17 3 2 3 3" xfId="10954"/>
    <cellStyle name="Note 17 3 2 4" xfId="10955"/>
    <cellStyle name="Note 17 3 2 4 2" xfId="10956"/>
    <cellStyle name="Note 17 3 2 5" xfId="10957"/>
    <cellStyle name="Note 17 3 2 5 2" xfId="10958"/>
    <cellStyle name="Note 17 3 2 6" xfId="10959"/>
    <cellStyle name="Note 17 3 2 6 2" xfId="10960"/>
    <cellStyle name="Note 17 3 2 7" xfId="10961"/>
    <cellStyle name="Note 17 3 3" xfId="10962"/>
    <cellStyle name="Note 17 3 3 2" xfId="10963"/>
    <cellStyle name="Note 17 3 3 2 2" xfId="10964"/>
    <cellStyle name="Note 17 3 3 2 2 2" xfId="10965"/>
    <cellStyle name="Note 17 3 3 2 3" xfId="10966"/>
    <cellStyle name="Note 17 3 3 3" xfId="10967"/>
    <cellStyle name="Note 17 3 3 3 2" xfId="10968"/>
    <cellStyle name="Note 17 3 3 3 2 2" xfId="10969"/>
    <cellStyle name="Note 17 3 3 3 3" xfId="10970"/>
    <cellStyle name="Note 17 3 3 4" xfId="10971"/>
    <cellStyle name="Note 17 3 3 4 2" xfId="10972"/>
    <cellStyle name="Note 17 3 3 5" xfId="10973"/>
    <cellStyle name="Note 17 3 3 5 2" xfId="10974"/>
    <cellStyle name="Note 17 3 3 6" xfId="10975"/>
    <cellStyle name="Note 17 3 3 6 2" xfId="10976"/>
    <cellStyle name="Note 17 3 3 7" xfId="10977"/>
    <cellStyle name="Note 17 3 4" xfId="10978"/>
    <cellStyle name="Note 17 3 4 2" xfId="10979"/>
    <cellStyle name="Note 17 3 5" xfId="10980"/>
    <cellStyle name="Note 17 3 5 2" xfId="10981"/>
    <cellStyle name="Note 17 4" xfId="10982"/>
    <cellStyle name="Note 17 4 2" xfId="10983"/>
    <cellStyle name="Note 17 4 2 2" xfId="10984"/>
    <cellStyle name="Note 17 4 2 2 2" xfId="10985"/>
    <cellStyle name="Note 17 4 2 2 2 2" xfId="10986"/>
    <cellStyle name="Note 17 4 2 2 3" xfId="10987"/>
    <cellStyle name="Note 17 4 2 3" xfId="10988"/>
    <cellStyle name="Note 17 4 2 3 2" xfId="10989"/>
    <cellStyle name="Note 17 4 2 3 2 2" xfId="10990"/>
    <cellStyle name="Note 17 4 2 3 3" xfId="10991"/>
    <cellStyle name="Note 17 4 2 4" xfId="10992"/>
    <cellStyle name="Note 17 4 2 4 2" xfId="10993"/>
    <cellStyle name="Note 17 4 2 5" xfId="10994"/>
    <cellStyle name="Note 17 4 2 5 2" xfId="10995"/>
    <cellStyle name="Note 17 4 2 6" xfId="10996"/>
    <cellStyle name="Note 17 4 2 6 2" xfId="10997"/>
    <cellStyle name="Note 17 4 2 7" xfId="10998"/>
    <cellStyle name="Note 17 4 3" xfId="10999"/>
    <cellStyle name="Note 17 4 3 2" xfId="11000"/>
    <cellStyle name="Note 17 4 3 2 2" xfId="11001"/>
    <cellStyle name="Note 17 4 3 2 2 2" xfId="11002"/>
    <cellStyle name="Note 17 4 3 2 3" xfId="11003"/>
    <cellStyle name="Note 17 4 3 3" xfId="11004"/>
    <cellStyle name="Note 17 4 3 3 2" xfId="11005"/>
    <cellStyle name="Note 17 4 3 3 2 2" xfId="11006"/>
    <cellStyle name="Note 17 4 3 3 3" xfId="11007"/>
    <cellStyle name="Note 17 4 3 4" xfId="11008"/>
    <cellStyle name="Note 17 4 3 4 2" xfId="11009"/>
    <cellStyle name="Note 17 4 3 5" xfId="11010"/>
    <cellStyle name="Note 17 4 3 5 2" xfId="11011"/>
    <cellStyle name="Note 17 4 3 6" xfId="11012"/>
    <cellStyle name="Note 17 4 3 6 2" xfId="11013"/>
    <cellStyle name="Note 17 4 3 7" xfId="11014"/>
    <cellStyle name="Note 17 4 4" xfId="11015"/>
    <cellStyle name="Note 17 4 4 2" xfId="11016"/>
    <cellStyle name="Note 17 4 5" xfId="11017"/>
    <cellStyle name="Note 17 4 5 2" xfId="11018"/>
    <cellStyle name="Note 17 5" xfId="11019"/>
    <cellStyle name="Note 17 5 2" xfId="11020"/>
    <cellStyle name="Note 17 5 2 2" xfId="11021"/>
    <cellStyle name="Note 17 5 2 2 2" xfId="11022"/>
    <cellStyle name="Note 17 5 2 3" xfId="11023"/>
    <cellStyle name="Note 17 5 3" xfId="11024"/>
    <cellStyle name="Note 17 5 3 2" xfId="11025"/>
    <cellStyle name="Note 17 5 3 2 2" xfId="11026"/>
    <cellStyle name="Note 17 5 3 3" xfId="11027"/>
    <cellStyle name="Note 17 5 4" xfId="11028"/>
    <cellStyle name="Note 17 5 4 2" xfId="11029"/>
    <cellStyle name="Note 17 5 5" xfId="11030"/>
    <cellStyle name="Note 17 5 5 2" xfId="11031"/>
    <cellStyle name="Note 17 5 6" xfId="11032"/>
    <cellStyle name="Note 17 5 6 2" xfId="11033"/>
    <cellStyle name="Note 17 5 7" xfId="11034"/>
    <cellStyle name="Note 17 6" xfId="11035"/>
    <cellStyle name="Note 17 6 2" xfId="11036"/>
    <cellStyle name="Note 17 6 2 2" xfId="11037"/>
    <cellStyle name="Note 17 6 2 2 2" xfId="11038"/>
    <cellStyle name="Note 17 6 2 3" xfId="11039"/>
    <cellStyle name="Note 17 6 3" xfId="11040"/>
    <cellStyle name="Note 17 6 3 2" xfId="11041"/>
    <cellStyle name="Note 17 6 3 2 2" xfId="11042"/>
    <cellStyle name="Note 17 6 3 3" xfId="11043"/>
    <cellStyle name="Note 17 6 4" xfId="11044"/>
    <cellStyle name="Note 17 6 4 2" xfId="11045"/>
    <cellStyle name="Note 17 6 5" xfId="11046"/>
    <cellStyle name="Note 17 6 5 2" xfId="11047"/>
    <cellStyle name="Note 17 6 6" xfId="11048"/>
    <cellStyle name="Note 17 6 6 2" xfId="11049"/>
    <cellStyle name="Note 17 6 7" xfId="11050"/>
    <cellStyle name="Note 17 7" xfId="11051"/>
    <cellStyle name="Note 17 7 2" xfId="11052"/>
    <cellStyle name="Note 17 8" xfId="11053"/>
    <cellStyle name="Note 17 8 2" xfId="11054"/>
    <cellStyle name="Note 17 9" xfId="11055"/>
    <cellStyle name="Note 17 9 2" xfId="11056"/>
    <cellStyle name="Note 18" xfId="292"/>
    <cellStyle name="Note 19" xfId="293"/>
    <cellStyle name="Note 2" xfId="294"/>
    <cellStyle name="Note 2 10" xfId="11057"/>
    <cellStyle name="Note 2 10 2" xfId="11058"/>
    <cellStyle name="Note 2 2" xfId="295"/>
    <cellStyle name="Note 2 2 2" xfId="11059"/>
    <cellStyle name="Note 2 2 2 10" xfId="11060"/>
    <cellStyle name="Note 2 2 2 10 2" xfId="11061"/>
    <cellStyle name="Note 2 2 2 10 2 2" xfId="11062"/>
    <cellStyle name="Note 2 2 2 10 2 2 2" xfId="11063"/>
    <cellStyle name="Note 2 2 2 10 2 3" xfId="11064"/>
    <cellStyle name="Note 2 2 2 10 3" xfId="11065"/>
    <cellStyle name="Note 2 2 2 10 3 2" xfId="11066"/>
    <cellStyle name="Note 2 2 2 10 3 2 2" xfId="11067"/>
    <cellStyle name="Note 2 2 2 10 3 3" xfId="11068"/>
    <cellStyle name="Note 2 2 2 10 4" xfId="11069"/>
    <cellStyle name="Note 2 2 2 10 4 2" xfId="11070"/>
    <cellStyle name="Note 2 2 2 10 5" xfId="11071"/>
    <cellStyle name="Note 2 2 2 10 5 2" xfId="11072"/>
    <cellStyle name="Note 2 2 2 10 6" xfId="11073"/>
    <cellStyle name="Note 2 2 2 10 6 2" xfId="11074"/>
    <cellStyle name="Note 2 2 2 10 7" xfId="11075"/>
    <cellStyle name="Note 2 2 2 11" xfId="11076"/>
    <cellStyle name="Note 2 2 2 11 2" xfId="11077"/>
    <cellStyle name="Note 2 2 2 11 2 2" xfId="11078"/>
    <cellStyle name="Note 2 2 2 11 2 2 2" xfId="11079"/>
    <cellStyle name="Note 2 2 2 11 2 3" xfId="11080"/>
    <cellStyle name="Note 2 2 2 11 3" xfId="11081"/>
    <cellStyle name="Note 2 2 2 11 3 2" xfId="11082"/>
    <cellStyle name="Note 2 2 2 11 3 2 2" xfId="11083"/>
    <cellStyle name="Note 2 2 2 11 3 3" xfId="11084"/>
    <cellStyle name="Note 2 2 2 11 4" xfId="11085"/>
    <cellStyle name="Note 2 2 2 11 4 2" xfId="11086"/>
    <cellStyle name="Note 2 2 2 11 5" xfId="11087"/>
    <cellStyle name="Note 2 2 2 11 5 2" xfId="11088"/>
    <cellStyle name="Note 2 2 2 11 6" xfId="11089"/>
    <cellStyle name="Note 2 2 2 11 6 2" xfId="11090"/>
    <cellStyle name="Note 2 2 2 11 7" xfId="11091"/>
    <cellStyle name="Note 2 2 2 12" xfId="11092"/>
    <cellStyle name="Note 2 2 2 12 2" xfId="11093"/>
    <cellStyle name="Note 2 2 2 13" xfId="11094"/>
    <cellStyle name="Note 2 2 2 13 2" xfId="11095"/>
    <cellStyle name="Note 2 2 2 2" xfId="11096"/>
    <cellStyle name="Note 2 2 2 2 2" xfId="11097"/>
    <cellStyle name="Note 2 2 2 2 2 2" xfId="11098"/>
    <cellStyle name="Note 2 2 2 2 2 2 2" xfId="11099"/>
    <cellStyle name="Note 2 2 2 2 2 2 2 2" xfId="11100"/>
    <cellStyle name="Note 2 2 2 2 2 2 2 2 2" xfId="11101"/>
    <cellStyle name="Note 2 2 2 2 2 2 2 3" xfId="11102"/>
    <cellStyle name="Note 2 2 2 2 2 2 3" xfId="11103"/>
    <cellStyle name="Note 2 2 2 2 2 2 3 2" xfId="11104"/>
    <cellStyle name="Note 2 2 2 2 2 2 3 2 2" xfId="11105"/>
    <cellStyle name="Note 2 2 2 2 2 2 3 3" xfId="11106"/>
    <cellStyle name="Note 2 2 2 2 2 2 4" xfId="11107"/>
    <cellStyle name="Note 2 2 2 2 2 2 4 2" xfId="11108"/>
    <cellStyle name="Note 2 2 2 2 2 2 5" xfId="11109"/>
    <cellStyle name="Note 2 2 2 2 2 2 5 2" xfId="11110"/>
    <cellStyle name="Note 2 2 2 2 2 2 6" xfId="11111"/>
    <cellStyle name="Note 2 2 2 2 2 2 6 2" xfId="11112"/>
    <cellStyle name="Note 2 2 2 2 2 2 7" xfId="11113"/>
    <cellStyle name="Note 2 2 2 2 2 3" xfId="11114"/>
    <cellStyle name="Note 2 2 2 2 2 3 2" xfId="11115"/>
    <cellStyle name="Note 2 2 2 2 2 3 2 2" xfId="11116"/>
    <cellStyle name="Note 2 2 2 2 2 3 2 2 2" xfId="11117"/>
    <cellStyle name="Note 2 2 2 2 2 3 2 3" xfId="11118"/>
    <cellStyle name="Note 2 2 2 2 2 3 3" xfId="11119"/>
    <cellStyle name="Note 2 2 2 2 2 3 3 2" xfId="11120"/>
    <cellStyle name="Note 2 2 2 2 2 3 3 2 2" xfId="11121"/>
    <cellStyle name="Note 2 2 2 2 2 3 3 3" xfId="11122"/>
    <cellStyle name="Note 2 2 2 2 2 3 4" xfId="11123"/>
    <cellStyle name="Note 2 2 2 2 2 3 4 2" xfId="11124"/>
    <cellStyle name="Note 2 2 2 2 2 3 5" xfId="11125"/>
    <cellStyle name="Note 2 2 2 2 2 3 5 2" xfId="11126"/>
    <cellStyle name="Note 2 2 2 2 2 3 6" xfId="11127"/>
    <cellStyle name="Note 2 2 2 2 2 3 6 2" xfId="11128"/>
    <cellStyle name="Note 2 2 2 2 2 3 7" xfId="11129"/>
    <cellStyle name="Note 2 2 2 2 2 4" xfId="11130"/>
    <cellStyle name="Note 2 2 2 2 2 4 2" xfId="11131"/>
    <cellStyle name="Note 2 2 2 2 2 5" xfId="11132"/>
    <cellStyle name="Note 2 2 2 2 2 5 2" xfId="11133"/>
    <cellStyle name="Note 2 2 2 2 3" xfId="11134"/>
    <cellStyle name="Note 2 2 2 2 3 2" xfId="11135"/>
    <cellStyle name="Note 2 2 2 2 3 2 2" xfId="11136"/>
    <cellStyle name="Note 2 2 2 2 3 2 2 2" xfId="11137"/>
    <cellStyle name="Note 2 2 2 2 3 2 2 2 2" xfId="11138"/>
    <cellStyle name="Note 2 2 2 2 3 2 2 3" xfId="11139"/>
    <cellStyle name="Note 2 2 2 2 3 2 3" xfId="11140"/>
    <cellStyle name="Note 2 2 2 2 3 2 3 2" xfId="11141"/>
    <cellStyle name="Note 2 2 2 2 3 2 3 2 2" xfId="11142"/>
    <cellStyle name="Note 2 2 2 2 3 2 3 3" xfId="11143"/>
    <cellStyle name="Note 2 2 2 2 3 2 4" xfId="11144"/>
    <cellStyle name="Note 2 2 2 2 3 2 4 2" xfId="11145"/>
    <cellStyle name="Note 2 2 2 2 3 2 5" xfId="11146"/>
    <cellStyle name="Note 2 2 2 2 3 2 5 2" xfId="11147"/>
    <cellStyle name="Note 2 2 2 2 3 2 6" xfId="11148"/>
    <cellStyle name="Note 2 2 2 2 3 2 6 2" xfId="11149"/>
    <cellStyle name="Note 2 2 2 2 3 2 7" xfId="11150"/>
    <cellStyle name="Note 2 2 2 2 3 3" xfId="11151"/>
    <cellStyle name="Note 2 2 2 2 3 3 2" xfId="11152"/>
    <cellStyle name="Note 2 2 2 2 3 3 2 2" xfId="11153"/>
    <cellStyle name="Note 2 2 2 2 3 3 2 2 2" xfId="11154"/>
    <cellStyle name="Note 2 2 2 2 3 3 2 3" xfId="11155"/>
    <cellStyle name="Note 2 2 2 2 3 3 3" xfId="11156"/>
    <cellStyle name="Note 2 2 2 2 3 3 3 2" xfId="11157"/>
    <cellStyle name="Note 2 2 2 2 3 3 3 2 2" xfId="11158"/>
    <cellStyle name="Note 2 2 2 2 3 3 3 3" xfId="11159"/>
    <cellStyle name="Note 2 2 2 2 3 3 4" xfId="11160"/>
    <cellStyle name="Note 2 2 2 2 3 3 4 2" xfId="11161"/>
    <cellStyle name="Note 2 2 2 2 3 3 5" xfId="11162"/>
    <cellStyle name="Note 2 2 2 2 3 3 5 2" xfId="11163"/>
    <cellStyle name="Note 2 2 2 2 3 3 6" xfId="11164"/>
    <cellStyle name="Note 2 2 2 2 3 3 6 2" xfId="11165"/>
    <cellStyle name="Note 2 2 2 2 3 3 7" xfId="11166"/>
    <cellStyle name="Note 2 2 2 2 3 4" xfId="11167"/>
    <cellStyle name="Note 2 2 2 2 3 4 2" xfId="11168"/>
    <cellStyle name="Note 2 2 2 2 3 5" xfId="11169"/>
    <cellStyle name="Note 2 2 2 2 3 5 2" xfId="11170"/>
    <cellStyle name="Note 2 2 2 2 4" xfId="11171"/>
    <cellStyle name="Note 2 2 2 2 4 2" xfId="11172"/>
    <cellStyle name="Note 2 2 2 2 4 2 2" xfId="11173"/>
    <cellStyle name="Note 2 2 2 2 4 2 2 2" xfId="11174"/>
    <cellStyle name="Note 2 2 2 2 4 2 3" xfId="11175"/>
    <cellStyle name="Note 2 2 2 2 4 3" xfId="11176"/>
    <cellStyle name="Note 2 2 2 2 4 3 2" xfId="11177"/>
    <cellStyle name="Note 2 2 2 2 4 3 2 2" xfId="11178"/>
    <cellStyle name="Note 2 2 2 2 4 3 3" xfId="11179"/>
    <cellStyle name="Note 2 2 2 2 4 4" xfId="11180"/>
    <cellStyle name="Note 2 2 2 2 4 4 2" xfId="11181"/>
    <cellStyle name="Note 2 2 2 2 4 5" xfId="11182"/>
    <cellStyle name="Note 2 2 2 2 4 5 2" xfId="11183"/>
    <cellStyle name="Note 2 2 2 2 4 6" xfId="11184"/>
    <cellStyle name="Note 2 2 2 2 4 6 2" xfId="11185"/>
    <cellStyle name="Note 2 2 2 2 4 7" xfId="11186"/>
    <cellStyle name="Note 2 2 2 2 5" xfId="11187"/>
    <cellStyle name="Note 2 2 2 2 5 2" xfId="11188"/>
    <cellStyle name="Note 2 2 2 2 5 2 2" xfId="11189"/>
    <cellStyle name="Note 2 2 2 2 5 2 2 2" xfId="11190"/>
    <cellStyle name="Note 2 2 2 2 5 2 3" xfId="11191"/>
    <cellStyle name="Note 2 2 2 2 5 3" xfId="11192"/>
    <cellStyle name="Note 2 2 2 2 5 3 2" xfId="11193"/>
    <cellStyle name="Note 2 2 2 2 5 3 2 2" xfId="11194"/>
    <cellStyle name="Note 2 2 2 2 5 3 3" xfId="11195"/>
    <cellStyle name="Note 2 2 2 2 5 4" xfId="11196"/>
    <cellStyle name="Note 2 2 2 2 5 4 2" xfId="11197"/>
    <cellStyle name="Note 2 2 2 2 5 5" xfId="11198"/>
    <cellStyle name="Note 2 2 2 2 5 5 2" xfId="11199"/>
    <cellStyle name="Note 2 2 2 2 5 6" xfId="11200"/>
    <cellStyle name="Note 2 2 2 2 5 6 2" xfId="11201"/>
    <cellStyle name="Note 2 2 2 2 5 7" xfId="11202"/>
    <cellStyle name="Note 2 2 2 2 6" xfId="11203"/>
    <cellStyle name="Note 2 2 2 2 6 2" xfId="11204"/>
    <cellStyle name="Note 2 2 2 2 6 2 2" xfId="11205"/>
    <cellStyle name="Note 2 2 2 2 6 2 2 2" xfId="11206"/>
    <cellStyle name="Note 2 2 2 2 6 2 3" xfId="11207"/>
    <cellStyle name="Note 2 2 2 2 6 3" xfId="11208"/>
    <cellStyle name="Note 2 2 2 2 6 3 2" xfId="11209"/>
    <cellStyle name="Note 2 2 2 2 6 3 2 2" xfId="11210"/>
    <cellStyle name="Note 2 2 2 2 6 3 3" xfId="11211"/>
    <cellStyle name="Note 2 2 2 2 6 4" xfId="11212"/>
    <cellStyle name="Note 2 2 2 2 6 4 2" xfId="11213"/>
    <cellStyle name="Note 2 2 2 2 6 5" xfId="11214"/>
    <cellStyle name="Note 2 2 2 2 6 5 2" xfId="11215"/>
    <cellStyle name="Note 2 2 2 2 6 6" xfId="11216"/>
    <cellStyle name="Note 2 2 2 2 6 6 2" xfId="11217"/>
    <cellStyle name="Note 2 2 2 2 6 7" xfId="11218"/>
    <cellStyle name="Note 2 2 2 2 7" xfId="11219"/>
    <cellStyle name="Note 2 2 2 2 7 2" xfId="11220"/>
    <cellStyle name="Note 2 2 2 2 8" xfId="11221"/>
    <cellStyle name="Note 2 2 2 2 8 2" xfId="11222"/>
    <cellStyle name="Note 2 2 2 3" xfId="11223"/>
    <cellStyle name="Note 2 2 2 3 2" xfId="11224"/>
    <cellStyle name="Note 2 2 2 3 2 2" xfId="11225"/>
    <cellStyle name="Note 2 2 2 3 2 2 2" xfId="11226"/>
    <cellStyle name="Note 2 2 2 3 2 2 2 2" xfId="11227"/>
    <cellStyle name="Note 2 2 2 3 2 2 2 2 2" xfId="11228"/>
    <cellStyle name="Note 2 2 2 3 2 2 2 3" xfId="11229"/>
    <cellStyle name="Note 2 2 2 3 2 2 3" xfId="11230"/>
    <cellStyle name="Note 2 2 2 3 2 2 3 2" xfId="11231"/>
    <cellStyle name="Note 2 2 2 3 2 2 3 2 2" xfId="11232"/>
    <cellStyle name="Note 2 2 2 3 2 2 3 3" xfId="11233"/>
    <cellStyle name="Note 2 2 2 3 2 2 4" xfId="11234"/>
    <cellStyle name="Note 2 2 2 3 2 2 4 2" xfId="11235"/>
    <cellStyle name="Note 2 2 2 3 2 2 5" xfId="11236"/>
    <cellStyle name="Note 2 2 2 3 2 2 5 2" xfId="11237"/>
    <cellStyle name="Note 2 2 2 3 2 2 6" xfId="11238"/>
    <cellStyle name="Note 2 2 2 3 2 2 6 2" xfId="11239"/>
    <cellStyle name="Note 2 2 2 3 2 2 7" xfId="11240"/>
    <cellStyle name="Note 2 2 2 3 2 3" xfId="11241"/>
    <cellStyle name="Note 2 2 2 3 2 3 2" xfId="11242"/>
    <cellStyle name="Note 2 2 2 3 2 3 2 2" xfId="11243"/>
    <cellStyle name="Note 2 2 2 3 2 3 2 2 2" xfId="11244"/>
    <cellStyle name="Note 2 2 2 3 2 3 2 3" xfId="11245"/>
    <cellStyle name="Note 2 2 2 3 2 3 3" xfId="11246"/>
    <cellStyle name="Note 2 2 2 3 2 3 3 2" xfId="11247"/>
    <cellStyle name="Note 2 2 2 3 2 3 3 2 2" xfId="11248"/>
    <cellStyle name="Note 2 2 2 3 2 3 3 3" xfId="11249"/>
    <cellStyle name="Note 2 2 2 3 2 3 4" xfId="11250"/>
    <cellStyle name="Note 2 2 2 3 2 3 4 2" xfId="11251"/>
    <cellStyle name="Note 2 2 2 3 2 3 5" xfId="11252"/>
    <cellStyle name="Note 2 2 2 3 2 3 5 2" xfId="11253"/>
    <cellStyle name="Note 2 2 2 3 2 3 6" xfId="11254"/>
    <cellStyle name="Note 2 2 2 3 2 3 6 2" xfId="11255"/>
    <cellStyle name="Note 2 2 2 3 2 3 7" xfId="11256"/>
    <cellStyle name="Note 2 2 2 3 2 4" xfId="11257"/>
    <cellStyle name="Note 2 2 2 3 2 4 2" xfId="11258"/>
    <cellStyle name="Note 2 2 2 3 2 5" xfId="11259"/>
    <cellStyle name="Note 2 2 2 3 2 5 2" xfId="11260"/>
    <cellStyle name="Note 2 2 2 3 3" xfId="11261"/>
    <cellStyle name="Note 2 2 2 3 3 2" xfId="11262"/>
    <cellStyle name="Note 2 2 2 3 3 2 2" xfId="11263"/>
    <cellStyle name="Note 2 2 2 3 3 2 2 2" xfId="11264"/>
    <cellStyle name="Note 2 2 2 3 3 2 2 2 2" xfId="11265"/>
    <cellStyle name="Note 2 2 2 3 3 2 2 3" xfId="11266"/>
    <cellStyle name="Note 2 2 2 3 3 2 3" xfId="11267"/>
    <cellStyle name="Note 2 2 2 3 3 2 3 2" xfId="11268"/>
    <cellStyle name="Note 2 2 2 3 3 2 3 2 2" xfId="11269"/>
    <cellStyle name="Note 2 2 2 3 3 2 3 3" xfId="11270"/>
    <cellStyle name="Note 2 2 2 3 3 2 4" xfId="11271"/>
    <cellStyle name="Note 2 2 2 3 3 2 4 2" xfId="11272"/>
    <cellStyle name="Note 2 2 2 3 3 2 5" xfId="11273"/>
    <cellStyle name="Note 2 2 2 3 3 2 5 2" xfId="11274"/>
    <cellStyle name="Note 2 2 2 3 3 2 6" xfId="11275"/>
    <cellStyle name="Note 2 2 2 3 3 2 6 2" xfId="11276"/>
    <cellStyle name="Note 2 2 2 3 3 2 7" xfId="11277"/>
    <cellStyle name="Note 2 2 2 3 3 3" xfId="11278"/>
    <cellStyle name="Note 2 2 2 3 3 3 2" xfId="11279"/>
    <cellStyle name="Note 2 2 2 3 3 3 2 2" xfId="11280"/>
    <cellStyle name="Note 2 2 2 3 3 3 2 2 2" xfId="11281"/>
    <cellStyle name="Note 2 2 2 3 3 3 2 3" xfId="11282"/>
    <cellStyle name="Note 2 2 2 3 3 3 3" xfId="11283"/>
    <cellStyle name="Note 2 2 2 3 3 3 3 2" xfId="11284"/>
    <cellStyle name="Note 2 2 2 3 3 3 3 2 2" xfId="11285"/>
    <cellStyle name="Note 2 2 2 3 3 3 3 3" xfId="11286"/>
    <cellStyle name="Note 2 2 2 3 3 3 4" xfId="11287"/>
    <cellStyle name="Note 2 2 2 3 3 3 4 2" xfId="11288"/>
    <cellStyle name="Note 2 2 2 3 3 3 5" xfId="11289"/>
    <cellStyle name="Note 2 2 2 3 3 3 5 2" xfId="11290"/>
    <cellStyle name="Note 2 2 2 3 3 3 6" xfId="11291"/>
    <cellStyle name="Note 2 2 2 3 3 3 6 2" xfId="11292"/>
    <cellStyle name="Note 2 2 2 3 3 3 7" xfId="11293"/>
    <cellStyle name="Note 2 2 2 3 3 4" xfId="11294"/>
    <cellStyle name="Note 2 2 2 3 3 4 2" xfId="11295"/>
    <cellStyle name="Note 2 2 2 3 3 5" xfId="11296"/>
    <cellStyle name="Note 2 2 2 3 3 5 2" xfId="11297"/>
    <cellStyle name="Note 2 2 2 3 4" xfId="11298"/>
    <cellStyle name="Note 2 2 2 3 4 2" xfId="11299"/>
    <cellStyle name="Note 2 2 2 3 4 2 2" xfId="11300"/>
    <cellStyle name="Note 2 2 2 3 4 2 2 2" xfId="11301"/>
    <cellStyle name="Note 2 2 2 3 4 2 3" xfId="11302"/>
    <cellStyle name="Note 2 2 2 3 4 3" xfId="11303"/>
    <cellStyle name="Note 2 2 2 3 4 3 2" xfId="11304"/>
    <cellStyle name="Note 2 2 2 3 4 3 2 2" xfId="11305"/>
    <cellStyle name="Note 2 2 2 3 4 3 3" xfId="11306"/>
    <cellStyle name="Note 2 2 2 3 4 4" xfId="11307"/>
    <cellStyle name="Note 2 2 2 3 4 4 2" xfId="11308"/>
    <cellStyle name="Note 2 2 2 3 4 5" xfId="11309"/>
    <cellStyle name="Note 2 2 2 3 4 5 2" xfId="11310"/>
    <cellStyle name="Note 2 2 2 3 4 6" xfId="11311"/>
    <cellStyle name="Note 2 2 2 3 4 6 2" xfId="11312"/>
    <cellStyle name="Note 2 2 2 3 4 7" xfId="11313"/>
    <cellStyle name="Note 2 2 2 3 5" xfId="11314"/>
    <cellStyle name="Note 2 2 2 3 5 2" xfId="11315"/>
    <cellStyle name="Note 2 2 2 3 5 2 2" xfId="11316"/>
    <cellStyle name="Note 2 2 2 3 5 2 2 2" xfId="11317"/>
    <cellStyle name="Note 2 2 2 3 5 2 3" xfId="11318"/>
    <cellStyle name="Note 2 2 2 3 5 3" xfId="11319"/>
    <cellStyle name="Note 2 2 2 3 5 3 2" xfId="11320"/>
    <cellStyle name="Note 2 2 2 3 5 3 2 2" xfId="11321"/>
    <cellStyle name="Note 2 2 2 3 5 3 3" xfId="11322"/>
    <cellStyle name="Note 2 2 2 3 5 4" xfId="11323"/>
    <cellStyle name="Note 2 2 2 3 5 4 2" xfId="11324"/>
    <cellStyle name="Note 2 2 2 3 5 5" xfId="11325"/>
    <cellStyle name="Note 2 2 2 3 5 5 2" xfId="11326"/>
    <cellStyle name="Note 2 2 2 3 5 6" xfId="11327"/>
    <cellStyle name="Note 2 2 2 3 5 6 2" xfId="11328"/>
    <cellStyle name="Note 2 2 2 3 5 7" xfId="11329"/>
    <cellStyle name="Note 2 2 2 3 6" xfId="11330"/>
    <cellStyle name="Note 2 2 2 3 6 2" xfId="11331"/>
    <cellStyle name="Note 2 2 2 3 6 2 2" xfId="11332"/>
    <cellStyle name="Note 2 2 2 3 6 2 2 2" xfId="11333"/>
    <cellStyle name="Note 2 2 2 3 6 2 3" xfId="11334"/>
    <cellStyle name="Note 2 2 2 3 6 3" xfId="11335"/>
    <cellStyle name="Note 2 2 2 3 6 3 2" xfId="11336"/>
    <cellStyle name="Note 2 2 2 3 6 3 2 2" xfId="11337"/>
    <cellStyle name="Note 2 2 2 3 6 3 3" xfId="11338"/>
    <cellStyle name="Note 2 2 2 3 6 4" xfId="11339"/>
    <cellStyle name="Note 2 2 2 3 6 4 2" xfId="11340"/>
    <cellStyle name="Note 2 2 2 3 6 5" xfId="11341"/>
    <cellStyle name="Note 2 2 2 3 6 5 2" xfId="11342"/>
    <cellStyle name="Note 2 2 2 3 6 6" xfId="11343"/>
    <cellStyle name="Note 2 2 2 3 6 6 2" xfId="11344"/>
    <cellStyle name="Note 2 2 2 3 6 7" xfId="11345"/>
    <cellStyle name="Note 2 2 2 3 7" xfId="11346"/>
    <cellStyle name="Note 2 2 2 3 7 2" xfId="11347"/>
    <cellStyle name="Note 2 2 2 3 8" xfId="11348"/>
    <cellStyle name="Note 2 2 2 3 8 2" xfId="11349"/>
    <cellStyle name="Note 2 2 2 4" xfId="11350"/>
    <cellStyle name="Note 2 2 2 4 2" xfId="11351"/>
    <cellStyle name="Note 2 2 2 4 2 2" xfId="11352"/>
    <cellStyle name="Note 2 2 2 4 2 2 2" xfId="11353"/>
    <cellStyle name="Note 2 2 2 4 2 2 2 2" xfId="11354"/>
    <cellStyle name="Note 2 2 2 4 2 2 2 2 2" xfId="11355"/>
    <cellStyle name="Note 2 2 2 4 2 2 2 3" xfId="11356"/>
    <cellStyle name="Note 2 2 2 4 2 2 3" xfId="11357"/>
    <cellStyle name="Note 2 2 2 4 2 2 3 2" xfId="11358"/>
    <cellStyle name="Note 2 2 2 4 2 2 3 2 2" xfId="11359"/>
    <cellStyle name="Note 2 2 2 4 2 2 3 3" xfId="11360"/>
    <cellStyle name="Note 2 2 2 4 2 2 4" xfId="11361"/>
    <cellStyle name="Note 2 2 2 4 2 2 4 2" xfId="11362"/>
    <cellStyle name="Note 2 2 2 4 2 2 5" xfId="11363"/>
    <cellStyle name="Note 2 2 2 4 2 2 5 2" xfId="11364"/>
    <cellStyle name="Note 2 2 2 4 2 2 6" xfId="11365"/>
    <cellStyle name="Note 2 2 2 4 2 2 6 2" xfId="11366"/>
    <cellStyle name="Note 2 2 2 4 2 2 7" xfId="11367"/>
    <cellStyle name="Note 2 2 2 4 2 3" xfId="11368"/>
    <cellStyle name="Note 2 2 2 4 2 3 2" xfId="11369"/>
    <cellStyle name="Note 2 2 2 4 2 3 2 2" xfId="11370"/>
    <cellStyle name="Note 2 2 2 4 2 3 2 2 2" xfId="11371"/>
    <cellStyle name="Note 2 2 2 4 2 3 2 3" xfId="11372"/>
    <cellStyle name="Note 2 2 2 4 2 3 3" xfId="11373"/>
    <cellStyle name="Note 2 2 2 4 2 3 3 2" xfId="11374"/>
    <cellStyle name="Note 2 2 2 4 2 3 3 2 2" xfId="11375"/>
    <cellStyle name="Note 2 2 2 4 2 3 3 3" xfId="11376"/>
    <cellStyle name="Note 2 2 2 4 2 3 4" xfId="11377"/>
    <cellStyle name="Note 2 2 2 4 2 3 4 2" xfId="11378"/>
    <cellStyle name="Note 2 2 2 4 2 3 5" xfId="11379"/>
    <cellStyle name="Note 2 2 2 4 2 3 5 2" xfId="11380"/>
    <cellStyle name="Note 2 2 2 4 2 3 6" xfId="11381"/>
    <cellStyle name="Note 2 2 2 4 2 3 6 2" xfId="11382"/>
    <cellStyle name="Note 2 2 2 4 2 3 7" xfId="11383"/>
    <cellStyle name="Note 2 2 2 4 2 4" xfId="11384"/>
    <cellStyle name="Note 2 2 2 4 2 4 2" xfId="11385"/>
    <cellStyle name="Note 2 2 2 4 2 5" xfId="11386"/>
    <cellStyle name="Note 2 2 2 4 2 5 2" xfId="11387"/>
    <cellStyle name="Note 2 2 2 4 3" xfId="11388"/>
    <cellStyle name="Note 2 2 2 4 3 2" xfId="11389"/>
    <cellStyle name="Note 2 2 2 4 3 2 2" xfId="11390"/>
    <cellStyle name="Note 2 2 2 4 3 2 2 2" xfId="11391"/>
    <cellStyle name="Note 2 2 2 4 3 2 2 2 2" xfId="11392"/>
    <cellStyle name="Note 2 2 2 4 3 2 2 3" xfId="11393"/>
    <cellStyle name="Note 2 2 2 4 3 2 3" xfId="11394"/>
    <cellStyle name="Note 2 2 2 4 3 2 3 2" xfId="11395"/>
    <cellStyle name="Note 2 2 2 4 3 2 3 2 2" xfId="11396"/>
    <cellStyle name="Note 2 2 2 4 3 2 3 3" xfId="11397"/>
    <cellStyle name="Note 2 2 2 4 3 2 4" xfId="11398"/>
    <cellStyle name="Note 2 2 2 4 3 2 4 2" xfId="11399"/>
    <cellStyle name="Note 2 2 2 4 3 2 5" xfId="11400"/>
    <cellStyle name="Note 2 2 2 4 3 2 5 2" xfId="11401"/>
    <cellStyle name="Note 2 2 2 4 3 2 6" xfId="11402"/>
    <cellStyle name="Note 2 2 2 4 3 2 6 2" xfId="11403"/>
    <cellStyle name="Note 2 2 2 4 3 2 7" xfId="11404"/>
    <cellStyle name="Note 2 2 2 4 3 3" xfId="11405"/>
    <cellStyle name="Note 2 2 2 4 3 3 2" xfId="11406"/>
    <cellStyle name="Note 2 2 2 4 3 3 2 2" xfId="11407"/>
    <cellStyle name="Note 2 2 2 4 3 3 2 2 2" xfId="11408"/>
    <cellStyle name="Note 2 2 2 4 3 3 2 3" xfId="11409"/>
    <cellStyle name="Note 2 2 2 4 3 3 3" xfId="11410"/>
    <cellStyle name="Note 2 2 2 4 3 3 3 2" xfId="11411"/>
    <cellStyle name="Note 2 2 2 4 3 3 3 2 2" xfId="11412"/>
    <cellStyle name="Note 2 2 2 4 3 3 3 3" xfId="11413"/>
    <cellStyle name="Note 2 2 2 4 3 3 4" xfId="11414"/>
    <cellStyle name="Note 2 2 2 4 3 3 4 2" xfId="11415"/>
    <cellStyle name="Note 2 2 2 4 3 3 5" xfId="11416"/>
    <cellStyle name="Note 2 2 2 4 3 3 5 2" xfId="11417"/>
    <cellStyle name="Note 2 2 2 4 3 3 6" xfId="11418"/>
    <cellStyle name="Note 2 2 2 4 3 3 6 2" xfId="11419"/>
    <cellStyle name="Note 2 2 2 4 3 3 7" xfId="11420"/>
    <cellStyle name="Note 2 2 2 4 3 4" xfId="11421"/>
    <cellStyle name="Note 2 2 2 4 3 4 2" xfId="11422"/>
    <cellStyle name="Note 2 2 2 4 3 5" xfId="11423"/>
    <cellStyle name="Note 2 2 2 4 3 5 2" xfId="11424"/>
    <cellStyle name="Note 2 2 2 4 4" xfId="11425"/>
    <cellStyle name="Note 2 2 2 4 4 2" xfId="11426"/>
    <cellStyle name="Note 2 2 2 4 4 2 2" xfId="11427"/>
    <cellStyle name="Note 2 2 2 4 4 2 2 2" xfId="11428"/>
    <cellStyle name="Note 2 2 2 4 4 2 3" xfId="11429"/>
    <cellStyle name="Note 2 2 2 4 4 3" xfId="11430"/>
    <cellStyle name="Note 2 2 2 4 4 3 2" xfId="11431"/>
    <cellStyle name="Note 2 2 2 4 4 3 2 2" xfId="11432"/>
    <cellStyle name="Note 2 2 2 4 4 3 3" xfId="11433"/>
    <cellStyle name="Note 2 2 2 4 4 4" xfId="11434"/>
    <cellStyle name="Note 2 2 2 4 4 4 2" xfId="11435"/>
    <cellStyle name="Note 2 2 2 4 4 5" xfId="11436"/>
    <cellStyle name="Note 2 2 2 4 4 5 2" xfId="11437"/>
    <cellStyle name="Note 2 2 2 4 4 6" xfId="11438"/>
    <cellStyle name="Note 2 2 2 4 4 6 2" xfId="11439"/>
    <cellStyle name="Note 2 2 2 4 4 7" xfId="11440"/>
    <cellStyle name="Note 2 2 2 4 5" xfId="11441"/>
    <cellStyle name="Note 2 2 2 4 5 2" xfId="11442"/>
    <cellStyle name="Note 2 2 2 4 5 2 2" xfId="11443"/>
    <cellStyle name="Note 2 2 2 4 5 2 2 2" xfId="11444"/>
    <cellStyle name="Note 2 2 2 4 5 2 3" xfId="11445"/>
    <cellStyle name="Note 2 2 2 4 5 3" xfId="11446"/>
    <cellStyle name="Note 2 2 2 4 5 3 2" xfId="11447"/>
    <cellStyle name="Note 2 2 2 4 5 3 2 2" xfId="11448"/>
    <cellStyle name="Note 2 2 2 4 5 3 3" xfId="11449"/>
    <cellStyle name="Note 2 2 2 4 5 4" xfId="11450"/>
    <cellStyle name="Note 2 2 2 4 5 4 2" xfId="11451"/>
    <cellStyle name="Note 2 2 2 4 5 5" xfId="11452"/>
    <cellStyle name="Note 2 2 2 4 5 5 2" xfId="11453"/>
    <cellStyle name="Note 2 2 2 4 5 6" xfId="11454"/>
    <cellStyle name="Note 2 2 2 4 5 6 2" xfId="11455"/>
    <cellStyle name="Note 2 2 2 4 5 7" xfId="11456"/>
    <cellStyle name="Note 2 2 2 4 6" xfId="11457"/>
    <cellStyle name="Note 2 2 2 4 6 2" xfId="11458"/>
    <cellStyle name="Note 2 2 2 4 6 2 2" xfId="11459"/>
    <cellStyle name="Note 2 2 2 4 6 2 2 2" xfId="11460"/>
    <cellStyle name="Note 2 2 2 4 6 2 3" xfId="11461"/>
    <cellStyle name="Note 2 2 2 4 6 3" xfId="11462"/>
    <cellStyle name="Note 2 2 2 4 6 3 2" xfId="11463"/>
    <cellStyle name="Note 2 2 2 4 6 3 2 2" xfId="11464"/>
    <cellStyle name="Note 2 2 2 4 6 3 3" xfId="11465"/>
    <cellStyle name="Note 2 2 2 4 6 4" xfId="11466"/>
    <cellStyle name="Note 2 2 2 4 6 4 2" xfId="11467"/>
    <cellStyle name="Note 2 2 2 4 6 5" xfId="11468"/>
    <cellStyle name="Note 2 2 2 4 6 5 2" xfId="11469"/>
    <cellStyle name="Note 2 2 2 4 6 6" xfId="11470"/>
    <cellStyle name="Note 2 2 2 4 6 6 2" xfId="11471"/>
    <cellStyle name="Note 2 2 2 4 6 7" xfId="11472"/>
    <cellStyle name="Note 2 2 2 4 7" xfId="11473"/>
    <cellStyle name="Note 2 2 2 4 7 2" xfId="11474"/>
    <cellStyle name="Note 2 2 2 4 8" xfId="11475"/>
    <cellStyle name="Note 2 2 2 4 8 2" xfId="11476"/>
    <cellStyle name="Note 2 2 2 5" xfId="11477"/>
    <cellStyle name="Note 2 2 2 5 2" xfId="11478"/>
    <cellStyle name="Note 2 2 2 5 2 2" xfId="11479"/>
    <cellStyle name="Note 2 2 2 5 2 2 2" xfId="11480"/>
    <cellStyle name="Note 2 2 2 5 2 2 2 2" xfId="11481"/>
    <cellStyle name="Note 2 2 2 5 2 2 2 2 2" xfId="11482"/>
    <cellStyle name="Note 2 2 2 5 2 2 2 3" xfId="11483"/>
    <cellStyle name="Note 2 2 2 5 2 2 3" xfId="11484"/>
    <cellStyle name="Note 2 2 2 5 2 2 3 2" xfId="11485"/>
    <cellStyle name="Note 2 2 2 5 2 2 3 2 2" xfId="11486"/>
    <cellStyle name="Note 2 2 2 5 2 2 3 3" xfId="11487"/>
    <cellStyle name="Note 2 2 2 5 2 2 4" xfId="11488"/>
    <cellStyle name="Note 2 2 2 5 2 2 4 2" xfId="11489"/>
    <cellStyle name="Note 2 2 2 5 2 2 5" xfId="11490"/>
    <cellStyle name="Note 2 2 2 5 2 2 5 2" xfId="11491"/>
    <cellStyle name="Note 2 2 2 5 2 2 6" xfId="11492"/>
    <cellStyle name="Note 2 2 2 5 2 2 6 2" xfId="11493"/>
    <cellStyle name="Note 2 2 2 5 2 2 7" xfId="11494"/>
    <cellStyle name="Note 2 2 2 5 2 3" xfId="11495"/>
    <cellStyle name="Note 2 2 2 5 2 3 2" xfId="11496"/>
    <cellStyle name="Note 2 2 2 5 2 3 2 2" xfId="11497"/>
    <cellStyle name="Note 2 2 2 5 2 3 2 2 2" xfId="11498"/>
    <cellStyle name="Note 2 2 2 5 2 3 2 3" xfId="11499"/>
    <cellStyle name="Note 2 2 2 5 2 3 3" xfId="11500"/>
    <cellStyle name="Note 2 2 2 5 2 3 3 2" xfId="11501"/>
    <cellStyle name="Note 2 2 2 5 2 3 3 2 2" xfId="11502"/>
    <cellStyle name="Note 2 2 2 5 2 3 3 3" xfId="11503"/>
    <cellStyle name="Note 2 2 2 5 2 3 4" xfId="11504"/>
    <cellStyle name="Note 2 2 2 5 2 3 4 2" xfId="11505"/>
    <cellStyle name="Note 2 2 2 5 2 3 5" xfId="11506"/>
    <cellStyle name="Note 2 2 2 5 2 3 5 2" xfId="11507"/>
    <cellStyle name="Note 2 2 2 5 2 3 6" xfId="11508"/>
    <cellStyle name="Note 2 2 2 5 2 3 6 2" xfId="11509"/>
    <cellStyle name="Note 2 2 2 5 2 3 7" xfId="11510"/>
    <cellStyle name="Note 2 2 2 5 2 4" xfId="11511"/>
    <cellStyle name="Note 2 2 2 5 2 4 2" xfId="11512"/>
    <cellStyle name="Note 2 2 2 5 2 5" xfId="11513"/>
    <cellStyle name="Note 2 2 2 5 2 5 2" xfId="11514"/>
    <cellStyle name="Note 2 2 2 5 3" xfId="11515"/>
    <cellStyle name="Note 2 2 2 5 3 2" xfId="11516"/>
    <cellStyle name="Note 2 2 2 5 3 2 2" xfId="11517"/>
    <cellStyle name="Note 2 2 2 5 3 2 2 2" xfId="11518"/>
    <cellStyle name="Note 2 2 2 5 3 2 2 2 2" xfId="11519"/>
    <cellStyle name="Note 2 2 2 5 3 2 2 3" xfId="11520"/>
    <cellStyle name="Note 2 2 2 5 3 2 3" xfId="11521"/>
    <cellStyle name="Note 2 2 2 5 3 2 3 2" xfId="11522"/>
    <cellStyle name="Note 2 2 2 5 3 2 3 2 2" xfId="11523"/>
    <cellStyle name="Note 2 2 2 5 3 2 3 3" xfId="11524"/>
    <cellStyle name="Note 2 2 2 5 3 2 4" xfId="11525"/>
    <cellStyle name="Note 2 2 2 5 3 2 4 2" xfId="11526"/>
    <cellStyle name="Note 2 2 2 5 3 2 5" xfId="11527"/>
    <cellStyle name="Note 2 2 2 5 3 2 5 2" xfId="11528"/>
    <cellStyle name="Note 2 2 2 5 3 2 6" xfId="11529"/>
    <cellStyle name="Note 2 2 2 5 3 2 6 2" xfId="11530"/>
    <cellStyle name="Note 2 2 2 5 3 2 7" xfId="11531"/>
    <cellStyle name="Note 2 2 2 5 3 3" xfId="11532"/>
    <cellStyle name="Note 2 2 2 5 3 3 2" xfId="11533"/>
    <cellStyle name="Note 2 2 2 5 3 3 2 2" xfId="11534"/>
    <cellStyle name="Note 2 2 2 5 3 3 2 2 2" xfId="11535"/>
    <cellStyle name="Note 2 2 2 5 3 3 2 3" xfId="11536"/>
    <cellStyle name="Note 2 2 2 5 3 3 3" xfId="11537"/>
    <cellStyle name="Note 2 2 2 5 3 3 3 2" xfId="11538"/>
    <cellStyle name="Note 2 2 2 5 3 3 3 2 2" xfId="11539"/>
    <cellStyle name="Note 2 2 2 5 3 3 3 3" xfId="11540"/>
    <cellStyle name="Note 2 2 2 5 3 3 4" xfId="11541"/>
    <cellStyle name="Note 2 2 2 5 3 3 4 2" xfId="11542"/>
    <cellStyle name="Note 2 2 2 5 3 3 5" xfId="11543"/>
    <cellStyle name="Note 2 2 2 5 3 3 5 2" xfId="11544"/>
    <cellStyle name="Note 2 2 2 5 3 3 6" xfId="11545"/>
    <cellStyle name="Note 2 2 2 5 3 3 6 2" xfId="11546"/>
    <cellStyle name="Note 2 2 2 5 3 3 7" xfId="11547"/>
    <cellStyle name="Note 2 2 2 5 3 4" xfId="11548"/>
    <cellStyle name="Note 2 2 2 5 3 4 2" xfId="11549"/>
    <cellStyle name="Note 2 2 2 5 3 5" xfId="11550"/>
    <cellStyle name="Note 2 2 2 5 3 5 2" xfId="11551"/>
    <cellStyle name="Note 2 2 2 5 4" xfId="11552"/>
    <cellStyle name="Note 2 2 2 5 4 2" xfId="11553"/>
    <cellStyle name="Note 2 2 2 5 4 2 2" xfId="11554"/>
    <cellStyle name="Note 2 2 2 5 4 2 2 2" xfId="11555"/>
    <cellStyle name="Note 2 2 2 5 4 2 3" xfId="11556"/>
    <cellStyle name="Note 2 2 2 5 4 3" xfId="11557"/>
    <cellStyle name="Note 2 2 2 5 4 3 2" xfId="11558"/>
    <cellStyle name="Note 2 2 2 5 4 3 2 2" xfId="11559"/>
    <cellStyle name="Note 2 2 2 5 4 3 3" xfId="11560"/>
    <cellStyle name="Note 2 2 2 5 4 4" xfId="11561"/>
    <cellStyle name="Note 2 2 2 5 4 4 2" xfId="11562"/>
    <cellStyle name="Note 2 2 2 5 4 5" xfId="11563"/>
    <cellStyle name="Note 2 2 2 5 4 5 2" xfId="11564"/>
    <cellStyle name="Note 2 2 2 5 4 6" xfId="11565"/>
    <cellStyle name="Note 2 2 2 5 4 6 2" xfId="11566"/>
    <cellStyle name="Note 2 2 2 5 4 7" xfId="11567"/>
    <cellStyle name="Note 2 2 2 5 5" xfId="11568"/>
    <cellStyle name="Note 2 2 2 5 5 2" xfId="11569"/>
    <cellStyle name="Note 2 2 2 5 5 2 2" xfId="11570"/>
    <cellStyle name="Note 2 2 2 5 5 2 2 2" xfId="11571"/>
    <cellStyle name="Note 2 2 2 5 5 2 3" xfId="11572"/>
    <cellStyle name="Note 2 2 2 5 5 3" xfId="11573"/>
    <cellStyle name="Note 2 2 2 5 5 3 2" xfId="11574"/>
    <cellStyle name="Note 2 2 2 5 5 3 2 2" xfId="11575"/>
    <cellStyle name="Note 2 2 2 5 5 3 3" xfId="11576"/>
    <cellStyle name="Note 2 2 2 5 5 4" xfId="11577"/>
    <cellStyle name="Note 2 2 2 5 5 4 2" xfId="11578"/>
    <cellStyle name="Note 2 2 2 5 5 5" xfId="11579"/>
    <cellStyle name="Note 2 2 2 5 5 5 2" xfId="11580"/>
    <cellStyle name="Note 2 2 2 5 5 6" xfId="11581"/>
    <cellStyle name="Note 2 2 2 5 5 6 2" xfId="11582"/>
    <cellStyle name="Note 2 2 2 5 5 7" xfId="11583"/>
    <cellStyle name="Note 2 2 2 5 6" xfId="11584"/>
    <cellStyle name="Note 2 2 2 5 6 2" xfId="11585"/>
    <cellStyle name="Note 2 2 2 5 6 2 2" xfId="11586"/>
    <cellStyle name="Note 2 2 2 5 6 2 2 2" xfId="11587"/>
    <cellStyle name="Note 2 2 2 5 6 2 3" xfId="11588"/>
    <cellStyle name="Note 2 2 2 5 6 3" xfId="11589"/>
    <cellStyle name="Note 2 2 2 5 6 3 2" xfId="11590"/>
    <cellStyle name="Note 2 2 2 5 6 3 2 2" xfId="11591"/>
    <cellStyle name="Note 2 2 2 5 6 3 3" xfId="11592"/>
    <cellStyle name="Note 2 2 2 5 6 4" xfId="11593"/>
    <cellStyle name="Note 2 2 2 5 6 4 2" xfId="11594"/>
    <cellStyle name="Note 2 2 2 5 6 5" xfId="11595"/>
    <cellStyle name="Note 2 2 2 5 6 5 2" xfId="11596"/>
    <cellStyle name="Note 2 2 2 5 6 6" xfId="11597"/>
    <cellStyle name="Note 2 2 2 5 6 6 2" xfId="11598"/>
    <cellStyle name="Note 2 2 2 5 6 7" xfId="11599"/>
    <cellStyle name="Note 2 2 2 5 7" xfId="11600"/>
    <cellStyle name="Note 2 2 2 5 7 2" xfId="11601"/>
    <cellStyle name="Note 2 2 2 5 8" xfId="11602"/>
    <cellStyle name="Note 2 2 2 5 8 2" xfId="11603"/>
    <cellStyle name="Note 2 2 2 6" xfId="11604"/>
    <cellStyle name="Note 2 2 2 6 2" xfId="11605"/>
    <cellStyle name="Note 2 2 2 6 2 2" xfId="11606"/>
    <cellStyle name="Note 2 2 2 6 2 2 2" xfId="11607"/>
    <cellStyle name="Note 2 2 2 6 2 2 2 2" xfId="11608"/>
    <cellStyle name="Note 2 2 2 6 2 2 2 2 2" xfId="11609"/>
    <cellStyle name="Note 2 2 2 6 2 2 2 3" xfId="11610"/>
    <cellStyle name="Note 2 2 2 6 2 2 3" xfId="11611"/>
    <cellStyle name="Note 2 2 2 6 2 2 3 2" xfId="11612"/>
    <cellStyle name="Note 2 2 2 6 2 2 3 2 2" xfId="11613"/>
    <cellStyle name="Note 2 2 2 6 2 2 3 3" xfId="11614"/>
    <cellStyle name="Note 2 2 2 6 2 2 4" xfId="11615"/>
    <cellStyle name="Note 2 2 2 6 2 2 4 2" xfId="11616"/>
    <cellStyle name="Note 2 2 2 6 2 2 5" xfId="11617"/>
    <cellStyle name="Note 2 2 2 6 2 2 5 2" xfId="11618"/>
    <cellStyle name="Note 2 2 2 6 2 2 6" xfId="11619"/>
    <cellStyle name="Note 2 2 2 6 2 2 6 2" xfId="11620"/>
    <cellStyle name="Note 2 2 2 6 2 2 7" xfId="11621"/>
    <cellStyle name="Note 2 2 2 6 2 3" xfId="11622"/>
    <cellStyle name="Note 2 2 2 6 2 3 2" xfId="11623"/>
    <cellStyle name="Note 2 2 2 6 2 3 2 2" xfId="11624"/>
    <cellStyle name="Note 2 2 2 6 2 3 2 2 2" xfId="11625"/>
    <cellStyle name="Note 2 2 2 6 2 3 2 3" xfId="11626"/>
    <cellStyle name="Note 2 2 2 6 2 3 3" xfId="11627"/>
    <cellStyle name="Note 2 2 2 6 2 3 3 2" xfId="11628"/>
    <cellStyle name="Note 2 2 2 6 2 3 3 2 2" xfId="11629"/>
    <cellStyle name="Note 2 2 2 6 2 3 3 3" xfId="11630"/>
    <cellStyle name="Note 2 2 2 6 2 3 4" xfId="11631"/>
    <cellStyle name="Note 2 2 2 6 2 3 4 2" xfId="11632"/>
    <cellStyle name="Note 2 2 2 6 2 3 5" xfId="11633"/>
    <cellStyle name="Note 2 2 2 6 2 3 5 2" xfId="11634"/>
    <cellStyle name="Note 2 2 2 6 2 3 6" xfId="11635"/>
    <cellStyle name="Note 2 2 2 6 2 3 6 2" xfId="11636"/>
    <cellStyle name="Note 2 2 2 6 2 3 7" xfId="11637"/>
    <cellStyle name="Note 2 2 2 6 2 4" xfId="11638"/>
    <cellStyle name="Note 2 2 2 6 2 4 2" xfId="11639"/>
    <cellStyle name="Note 2 2 2 6 2 5" xfId="11640"/>
    <cellStyle name="Note 2 2 2 6 2 5 2" xfId="11641"/>
    <cellStyle name="Note 2 2 2 6 3" xfId="11642"/>
    <cellStyle name="Note 2 2 2 6 3 2" xfId="11643"/>
    <cellStyle name="Note 2 2 2 6 3 2 2" xfId="11644"/>
    <cellStyle name="Note 2 2 2 6 3 2 2 2" xfId="11645"/>
    <cellStyle name="Note 2 2 2 6 3 2 2 2 2" xfId="11646"/>
    <cellStyle name="Note 2 2 2 6 3 2 2 3" xfId="11647"/>
    <cellStyle name="Note 2 2 2 6 3 2 3" xfId="11648"/>
    <cellStyle name="Note 2 2 2 6 3 2 3 2" xfId="11649"/>
    <cellStyle name="Note 2 2 2 6 3 2 3 2 2" xfId="11650"/>
    <cellStyle name="Note 2 2 2 6 3 2 3 3" xfId="11651"/>
    <cellStyle name="Note 2 2 2 6 3 2 4" xfId="11652"/>
    <cellStyle name="Note 2 2 2 6 3 2 4 2" xfId="11653"/>
    <cellStyle name="Note 2 2 2 6 3 2 5" xfId="11654"/>
    <cellStyle name="Note 2 2 2 6 3 2 5 2" xfId="11655"/>
    <cellStyle name="Note 2 2 2 6 3 2 6" xfId="11656"/>
    <cellStyle name="Note 2 2 2 6 3 2 6 2" xfId="11657"/>
    <cellStyle name="Note 2 2 2 6 3 2 7" xfId="11658"/>
    <cellStyle name="Note 2 2 2 6 3 3" xfId="11659"/>
    <cellStyle name="Note 2 2 2 6 3 3 2" xfId="11660"/>
    <cellStyle name="Note 2 2 2 6 3 3 2 2" xfId="11661"/>
    <cellStyle name="Note 2 2 2 6 3 3 2 2 2" xfId="11662"/>
    <cellStyle name="Note 2 2 2 6 3 3 2 3" xfId="11663"/>
    <cellStyle name="Note 2 2 2 6 3 3 3" xfId="11664"/>
    <cellStyle name="Note 2 2 2 6 3 3 3 2" xfId="11665"/>
    <cellStyle name="Note 2 2 2 6 3 3 3 2 2" xfId="11666"/>
    <cellStyle name="Note 2 2 2 6 3 3 3 3" xfId="11667"/>
    <cellStyle name="Note 2 2 2 6 3 3 4" xfId="11668"/>
    <cellStyle name="Note 2 2 2 6 3 3 4 2" xfId="11669"/>
    <cellStyle name="Note 2 2 2 6 3 3 5" xfId="11670"/>
    <cellStyle name="Note 2 2 2 6 3 3 5 2" xfId="11671"/>
    <cellStyle name="Note 2 2 2 6 3 3 6" xfId="11672"/>
    <cellStyle name="Note 2 2 2 6 3 3 6 2" xfId="11673"/>
    <cellStyle name="Note 2 2 2 6 3 3 7" xfId="11674"/>
    <cellStyle name="Note 2 2 2 6 3 4" xfId="11675"/>
    <cellStyle name="Note 2 2 2 6 3 4 2" xfId="11676"/>
    <cellStyle name="Note 2 2 2 6 3 5" xfId="11677"/>
    <cellStyle name="Note 2 2 2 6 3 5 2" xfId="11678"/>
    <cellStyle name="Note 2 2 2 6 4" xfId="11679"/>
    <cellStyle name="Note 2 2 2 6 4 2" xfId="11680"/>
    <cellStyle name="Note 2 2 2 6 4 2 2" xfId="11681"/>
    <cellStyle name="Note 2 2 2 6 4 2 2 2" xfId="11682"/>
    <cellStyle name="Note 2 2 2 6 4 2 3" xfId="11683"/>
    <cellStyle name="Note 2 2 2 6 4 3" xfId="11684"/>
    <cellStyle name="Note 2 2 2 6 4 3 2" xfId="11685"/>
    <cellStyle name="Note 2 2 2 6 4 3 2 2" xfId="11686"/>
    <cellStyle name="Note 2 2 2 6 4 3 3" xfId="11687"/>
    <cellStyle name="Note 2 2 2 6 4 4" xfId="11688"/>
    <cellStyle name="Note 2 2 2 6 4 4 2" xfId="11689"/>
    <cellStyle name="Note 2 2 2 6 4 5" xfId="11690"/>
    <cellStyle name="Note 2 2 2 6 4 5 2" xfId="11691"/>
    <cellStyle name="Note 2 2 2 6 4 6" xfId="11692"/>
    <cellStyle name="Note 2 2 2 6 4 6 2" xfId="11693"/>
    <cellStyle name="Note 2 2 2 6 4 7" xfId="11694"/>
    <cellStyle name="Note 2 2 2 6 5" xfId="11695"/>
    <cellStyle name="Note 2 2 2 6 5 2" xfId="11696"/>
    <cellStyle name="Note 2 2 2 6 5 2 2" xfId="11697"/>
    <cellStyle name="Note 2 2 2 6 5 2 2 2" xfId="11698"/>
    <cellStyle name="Note 2 2 2 6 5 2 3" xfId="11699"/>
    <cellStyle name="Note 2 2 2 6 5 3" xfId="11700"/>
    <cellStyle name="Note 2 2 2 6 5 3 2" xfId="11701"/>
    <cellStyle name="Note 2 2 2 6 5 3 2 2" xfId="11702"/>
    <cellStyle name="Note 2 2 2 6 5 3 3" xfId="11703"/>
    <cellStyle name="Note 2 2 2 6 5 4" xfId="11704"/>
    <cellStyle name="Note 2 2 2 6 5 4 2" xfId="11705"/>
    <cellStyle name="Note 2 2 2 6 5 5" xfId="11706"/>
    <cellStyle name="Note 2 2 2 6 5 5 2" xfId="11707"/>
    <cellStyle name="Note 2 2 2 6 5 6" xfId="11708"/>
    <cellStyle name="Note 2 2 2 6 5 6 2" xfId="11709"/>
    <cellStyle name="Note 2 2 2 6 5 7" xfId="11710"/>
    <cellStyle name="Note 2 2 2 6 6" xfId="11711"/>
    <cellStyle name="Note 2 2 2 6 6 2" xfId="11712"/>
    <cellStyle name="Note 2 2 2 6 6 2 2" xfId="11713"/>
    <cellStyle name="Note 2 2 2 6 6 2 2 2" xfId="11714"/>
    <cellStyle name="Note 2 2 2 6 6 2 3" xfId="11715"/>
    <cellStyle name="Note 2 2 2 6 6 3" xfId="11716"/>
    <cellStyle name="Note 2 2 2 6 6 3 2" xfId="11717"/>
    <cellStyle name="Note 2 2 2 6 6 3 2 2" xfId="11718"/>
    <cellStyle name="Note 2 2 2 6 6 3 3" xfId="11719"/>
    <cellStyle name="Note 2 2 2 6 6 4" xfId="11720"/>
    <cellStyle name="Note 2 2 2 6 6 4 2" xfId="11721"/>
    <cellStyle name="Note 2 2 2 6 6 5" xfId="11722"/>
    <cellStyle name="Note 2 2 2 6 6 5 2" xfId="11723"/>
    <cellStyle name="Note 2 2 2 6 6 6" xfId="11724"/>
    <cellStyle name="Note 2 2 2 6 6 6 2" xfId="11725"/>
    <cellStyle name="Note 2 2 2 6 6 7" xfId="11726"/>
    <cellStyle name="Note 2 2 2 6 7" xfId="11727"/>
    <cellStyle name="Note 2 2 2 6 7 2" xfId="11728"/>
    <cellStyle name="Note 2 2 2 6 8" xfId="11729"/>
    <cellStyle name="Note 2 2 2 6 8 2" xfId="11730"/>
    <cellStyle name="Note 2 2 2 7" xfId="11731"/>
    <cellStyle name="Note 2 2 2 7 2" xfId="11732"/>
    <cellStyle name="Note 2 2 2 7 2 2" xfId="11733"/>
    <cellStyle name="Note 2 2 2 7 2 2 2" xfId="11734"/>
    <cellStyle name="Note 2 2 2 7 2 2 2 2" xfId="11735"/>
    <cellStyle name="Note 2 2 2 7 2 2 2 2 2" xfId="11736"/>
    <cellStyle name="Note 2 2 2 7 2 2 2 3" xfId="11737"/>
    <cellStyle name="Note 2 2 2 7 2 2 3" xfId="11738"/>
    <cellStyle name="Note 2 2 2 7 2 2 3 2" xfId="11739"/>
    <cellStyle name="Note 2 2 2 7 2 2 3 2 2" xfId="11740"/>
    <cellStyle name="Note 2 2 2 7 2 2 3 3" xfId="11741"/>
    <cellStyle name="Note 2 2 2 7 2 2 4" xfId="11742"/>
    <cellStyle name="Note 2 2 2 7 2 2 4 2" xfId="11743"/>
    <cellStyle name="Note 2 2 2 7 2 2 5" xfId="11744"/>
    <cellStyle name="Note 2 2 2 7 2 2 5 2" xfId="11745"/>
    <cellStyle name="Note 2 2 2 7 2 2 6" xfId="11746"/>
    <cellStyle name="Note 2 2 2 7 2 2 6 2" xfId="11747"/>
    <cellStyle name="Note 2 2 2 7 2 2 7" xfId="11748"/>
    <cellStyle name="Note 2 2 2 7 2 3" xfId="11749"/>
    <cellStyle name="Note 2 2 2 7 2 3 2" xfId="11750"/>
    <cellStyle name="Note 2 2 2 7 2 3 2 2" xfId="11751"/>
    <cellStyle name="Note 2 2 2 7 2 3 2 2 2" xfId="11752"/>
    <cellStyle name="Note 2 2 2 7 2 3 2 3" xfId="11753"/>
    <cellStyle name="Note 2 2 2 7 2 3 3" xfId="11754"/>
    <cellStyle name="Note 2 2 2 7 2 3 3 2" xfId="11755"/>
    <cellStyle name="Note 2 2 2 7 2 3 3 2 2" xfId="11756"/>
    <cellStyle name="Note 2 2 2 7 2 3 3 3" xfId="11757"/>
    <cellStyle name="Note 2 2 2 7 2 3 4" xfId="11758"/>
    <cellStyle name="Note 2 2 2 7 2 3 4 2" xfId="11759"/>
    <cellStyle name="Note 2 2 2 7 2 3 5" xfId="11760"/>
    <cellStyle name="Note 2 2 2 7 2 3 5 2" xfId="11761"/>
    <cellStyle name="Note 2 2 2 7 2 3 6" xfId="11762"/>
    <cellStyle name="Note 2 2 2 7 2 3 6 2" xfId="11763"/>
    <cellStyle name="Note 2 2 2 7 2 3 7" xfId="11764"/>
    <cellStyle name="Note 2 2 2 7 2 4" xfId="11765"/>
    <cellStyle name="Note 2 2 2 7 2 4 2" xfId="11766"/>
    <cellStyle name="Note 2 2 2 7 2 5" xfId="11767"/>
    <cellStyle name="Note 2 2 2 7 2 5 2" xfId="11768"/>
    <cellStyle name="Note 2 2 2 7 3" xfId="11769"/>
    <cellStyle name="Note 2 2 2 7 3 2" xfId="11770"/>
    <cellStyle name="Note 2 2 2 7 3 2 2" xfId="11771"/>
    <cellStyle name="Note 2 2 2 7 3 2 2 2" xfId="11772"/>
    <cellStyle name="Note 2 2 2 7 3 2 2 2 2" xfId="11773"/>
    <cellStyle name="Note 2 2 2 7 3 2 2 3" xfId="11774"/>
    <cellStyle name="Note 2 2 2 7 3 2 3" xfId="11775"/>
    <cellStyle name="Note 2 2 2 7 3 2 3 2" xfId="11776"/>
    <cellStyle name="Note 2 2 2 7 3 2 3 2 2" xfId="11777"/>
    <cellStyle name="Note 2 2 2 7 3 2 3 3" xfId="11778"/>
    <cellStyle name="Note 2 2 2 7 3 2 4" xfId="11779"/>
    <cellStyle name="Note 2 2 2 7 3 2 4 2" xfId="11780"/>
    <cellStyle name="Note 2 2 2 7 3 2 5" xfId="11781"/>
    <cellStyle name="Note 2 2 2 7 3 2 5 2" xfId="11782"/>
    <cellStyle name="Note 2 2 2 7 3 2 6" xfId="11783"/>
    <cellStyle name="Note 2 2 2 7 3 2 6 2" xfId="11784"/>
    <cellStyle name="Note 2 2 2 7 3 2 7" xfId="11785"/>
    <cellStyle name="Note 2 2 2 7 3 3" xfId="11786"/>
    <cellStyle name="Note 2 2 2 7 3 3 2" xfId="11787"/>
    <cellStyle name="Note 2 2 2 7 3 3 2 2" xfId="11788"/>
    <cellStyle name="Note 2 2 2 7 3 3 2 2 2" xfId="11789"/>
    <cellStyle name="Note 2 2 2 7 3 3 2 3" xfId="11790"/>
    <cellStyle name="Note 2 2 2 7 3 3 3" xfId="11791"/>
    <cellStyle name="Note 2 2 2 7 3 3 3 2" xfId="11792"/>
    <cellStyle name="Note 2 2 2 7 3 3 3 2 2" xfId="11793"/>
    <cellStyle name="Note 2 2 2 7 3 3 3 3" xfId="11794"/>
    <cellStyle name="Note 2 2 2 7 3 3 4" xfId="11795"/>
    <cellStyle name="Note 2 2 2 7 3 3 4 2" xfId="11796"/>
    <cellStyle name="Note 2 2 2 7 3 3 5" xfId="11797"/>
    <cellStyle name="Note 2 2 2 7 3 3 5 2" xfId="11798"/>
    <cellStyle name="Note 2 2 2 7 3 3 6" xfId="11799"/>
    <cellStyle name="Note 2 2 2 7 3 3 6 2" xfId="11800"/>
    <cellStyle name="Note 2 2 2 7 3 3 7" xfId="11801"/>
    <cellStyle name="Note 2 2 2 7 3 4" xfId="11802"/>
    <cellStyle name="Note 2 2 2 7 3 4 2" xfId="11803"/>
    <cellStyle name="Note 2 2 2 7 3 5" xfId="11804"/>
    <cellStyle name="Note 2 2 2 7 3 5 2" xfId="11805"/>
    <cellStyle name="Note 2 2 2 7 4" xfId="11806"/>
    <cellStyle name="Note 2 2 2 7 4 2" xfId="11807"/>
    <cellStyle name="Note 2 2 2 7 4 2 2" xfId="11808"/>
    <cellStyle name="Note 2 2 2 7 4 2 2 2" xfId="11809"/>
    <cellStyle name="Note 2 2 2 7 4 2 3" xfId="11810"/>
    <cellStyle name="Note 2 2 2 7 4 3" xfId="11811"/>
    <cellStyle name="Note 2 2 2 7 4 3 2" xfId="11812"/>
    <cellStyle name="Note 2 2 2 7 4 3 2 2" xfId="11813"/>
    <cellStyle name="Note 2 2 2 7 4 3 3" xfId="11814"/>
    <cellStyle name="Note 2 2 2 7 4 4" xfId="11815"/>
    <cellStyle name="Note 2 2 2 7 4 4 2" xfId="11816"/>
    <cellStyle name="Note 2 2 2 7 4 5" xfId="11817"/>
    <cellStyle name="Note 2 2 2 7 4 5 2" xfId="11818"/>
    <cellStyle name="Note 2 2 2 7 4 6" xfId="11819"/>
    <cellStyle name="Note 2 2 2 7 4 6 2" xfId="11820"/>
    <cellStyle name="Note 2 2 2 7 4 7" xfId="11821"/>
    <cellStyle name="Note 2 2 2 7 5" xfId="11822"/>
    <cellStyle name="Note 2 2 2 7 5 2" xfId="11823"/>
    <cellStyle name="Note 2 2 2 7 5 2 2" xfId="11824"/>
    <cellStyle name="Note 2 2 2 7 5 2 2 2" xfId="11825"/>
    <cellStyle name="Note 2 2 2 7 5 2 3" xfId="11826"/>
    <cellStyle name="Note 2 2 2 7 5 3" xfId="11827"/>
    <cellStyle name="Note 2 2 2 7 5 3 2" xfId="11828"/>
    <cellStyle name="Note 2 2 2 7 5 3 2 2" xfId="11829"/>
    <cellStyle name="Note 2 2 2 7 5 3 3" xfId="11830"/>
    <cellStyle name="Note 2 2 2 7 5 4" xfId="11831"/>
    <cellStyle name="Note 2 2 2 7 5 4 2" xfId="11832"/>
    <cellStyle name="Note 2 2 2 7 5 5" xfId="11833"/>
    <cellStyle name="Note 2 2 2 7 5 5 2" xfId="11834"/>
    <cellStyle name="Note 2 2 2 7 5 6" xfId="11835"/>
    <cellStyle name="Note 2 2 2 7 5 6 2" xfId="11836"/>
    <cellStyle name="Note 2 2 2 7 5 7" xfId="11837"/>
    <cellStyle name="Note 2 2 2 7 6" xfId="11838"/>
    <cellStyle name="Note 2 2 2 7 6 2" xfId="11839"/>
    <cellStyle name="Note 2 2 2 7 7" xfId="11840"/>
    <cellStyle name="Note 2 2 2 7 7 2" xfId="11841"/>
    <cellStyle name="Note 2 2 2 8" xfId="11842"/>
    <cellStyle name="Note 2 2 2 8 2" xfId="11843"/>
    <cellStyle name="Note 2 2 2 8 2 2" xfId="11844"/>
    <cellStyle name="Note 2 2 2 8 2 2 2" xfId="11845"/>
    <cellStyle name="Note 2 2 2 8 2 2 2 2" xfId="11846"/>
    <cellStyle name="Note 2 2 2 8 2 2 3" xfId="11847"/>
    <cellStyle name="Note 2 2 2 8 2 3" xfId="11848"/>
    <cellStyle name="Note 2 2 2 8 2 3 2" xfId="11849"/>
    <cellStyle name="Note 2 2 2 8 2 3 2 2" xfId="11850"/>
    <cellStyle name="Note 2 2 2 8 2 3 3" xfId="11851"/>
    <cellStyle name="Note 2 2 2 8 2 4" xfId="11852"/>
    <cellStyle name="Note 2 2 2 8 2 4 2" xfId="11853"/>
    <cellStyle name="Note 2 2 2 8 2 5" xfId="11854"/>
    <cellStyle name="Note 2 2 2 8 2 5 2" xfId="11855"/>
    <cellStyle name="Note 2 2 2 8 2 6" xfId="11856"/>
    <cellStyle name="Note 2 2 2 8 2 6 2" xfId="11857"/>
    <cellStyle name="Note 2 2 2 8 2 7" xfId="11858"/>
    <cellStyle name="Note 2 2 2 8 3" xfId="11859"/>
    <cellStyle name="Note 2 2 2 8 3 2" xfId="11860"/>
    <cellStyle name="Note 2 2 2 8 3 2 2" xfId="11861"/>
    <cellStyle name="Note 2 2 2 8 3 2 2 2" xfId="11862"/>
    <cellStyle name="Note 2 2 2 8 3 2 3" xfId="11863"/>
    <cellStyle name="Note 2 2 2 8 3 3" xfId="11864"/>
    <cellStyle name="Note 2 2 2 8 3 3 2" xfId="11865"/>
    <cellStyle name="Note 2 2 2 8 3 3 2 2" xfId="11866"/>
    <cellStyle name="Note 2 2 2 8 3 3 3" xfId="11867"/>
    <cellStyle name="Note 2 2 2 8 3 4" xfId="11868"/>
    <cellStyle name="Note 2 2 2 8 3 4 2" xfId="11869"/>
    <cellStyle name="Note 2 2 2 8 3 5" xfId="11870"/>
    <cellStyle name="Note 2 2 2 8 3 5 2" xfId="11871"/>
    <cellStyle name="Note 2 2 2 8 3 6" xfId="11872"/>
    <cellStyle name="Note 2 2 2 8 3 6 2" xfId="11873"/>
    <cellStyle name="Note 2 2 2 8 3 7" xfId="11874"/>
    <cellStyle name="Note 2 2 2 8 4" xfId="11875"/>
    <cellStyle name="Note 2 2 2 8 4 2" xfId="11876"/>
    <cellStyle name="Note 2 2 2 8 5" xfId="11877"/>
    <cellStyle name="Note 2 2 2 8 5 2" xfId="11878"/>
    <cellStyle name="Note 2 2 2 9" xfId="11879"/>
    <cellStyle name="Note 2 2 2 9 2" xfId="11880"/>
    <cellStyle name="Note 2 2 2 9 2 2" xfId="11881"/>
    <cellStyle name="Note 2 2 2 9 2 2 2" xfId="11882"/>
    <cellStyle name="Note 2 2 2 9 2 2 2 2" xfId="11883"/>
    <cellStyle name="Note 2 2 2 9 2 2 3" xfId="11884"/>
    <cellStyle name="Note 2 2 2 9 2 3" xfId="11885"/>
    <cellStyle name="Note 2 2 2 9 2 3 2" xfId="11886"/>
    <cellStyle name="Note 2 2 2 9 2 3 2 2" xfId="11887"/>
    <cellStyle name="Note 2 2 2 9 2 3 3" xfId="11888"/>
    <cellStyle name="Note 2 2 2 9 2 4" xfId="11889"/>
    <cellStyle name="Note 2 2 2 9 2 4 2" xfId="11890"/>
    <cellStyle name="Note 2 2 2 9 2 5" xfId="11891"/>
    <cellStyle name="Note 2 2 2 9 2 5 2" xfId="11892"/>
    <cellStyle name="Note 2 2 2 9 2 6" xfId="11893"/>
    <cellStyle name="Note 2 2 2 9 2 6 2" xfId="11894"/>
    <cellStyle name="Note 2 2 2 9 2 7" xfId="11895"/>
    <cellStyle name="Note 2 2 2 9 3" xfId="11896"/>
    <cellStyle name="Note 2 2 2 9 3 2" xfId="11897"/>
    <cellStyle name="Note 2 2 2 9 3 2 2" xfId="11898"/>
    <cellStyle name="Note 2 2 2 9 3 2 2 2" xfId="11899"/>
    <cellStyle name="Note 2 2 2 9 3 2 3" xfId="11900"/>
    <cellStyle name="Note 2 2 2 9 3 3" xfId="11901"/>
    <cellStyle name="Note 2 2 2 9 3 3 2" xfId="11902"/>
    <cellStyle name="Note 2 2 2 9 3 3 2 2" xfId="11903"/>
    <cellStyle name="Note 2 2 2 9 3 3 3" xfId="11904"/>
    <cellStyle name="Note 2 2 2 9 3 4" xfId="11905"/>
    <cellStyle name="Note 2 2 2 9 3 4 2" xfId="11906"/>
    <cellStyle name="Note 2 2 2 9 3 5" xfId="11907"/>
    <cellStyle name="Note 2 2 2 9 3 5 2" xfId="11908"/>
    <cellStyle name="Note 2 2 2 9 3 6" xfId="11909"/>
    <cellStyle name="Note 2 2 2 9 3 6 2" xfId="11910"/>
    <cellStyle name="Note 2 2 2 9 3 7" xfId="11911"/>
    <cellStyle name="Note 2 2 2 9 4" xfId="11912"/>
    <cellStyle name="Note 2 2 2 9 4 2" xfId="11913"/>
    <cellStyle name="Note 2 2 2 9 5" xfId="11914"/>
    <cellStyle name="Note 2 2 2 9 5 2" xfId="11915"/>
    <cellStyle name="Note 2 2 3" xfId="11916"/>
    <cellStyle name="Note 2 2 3 2" xfId="11917"/>
    <cellStyle name="Note 2 2 3 2 2" xfId="11918"/>
    <cellStyle name="Note 2 2 3 2 2 2" xfId="11919"/>
    <cellStyle name="Note 2 2 3 2 2 2 2" xfId="11920"/>
    <cellStyle name="Note 2 2 3 2 2 3" xfId="11921"/>
    <cellStyle name="Note 2 2 3 2 3" xfId="11922"/>
    <cellStyle name="Note 2 2 3 2 3 2" xfId="11923"/>
    <cellStyle name="Note 2 2 3 2 3 2 2" xfId="11924"/>
    <cellStyle name="Note 2 2 3 2 3 3" xfId="11925"/>
    <cellStyle name="Note 2 2 3 2 4" xfId="11926"/>
    <cellStyle name="Note 2 2 3 2 4 2" xfId="11927"/>
    <cellStyle name="Note 2 2 3 2 5" xfId="11928"/>
    <cellStyle name="Note 2 2 3 2 5 2" xfId="11929"/>
    <cellStyle name="Note 2 2 3 2 6" xfId="11930"/>
    <cellStyle name="Note 2 2 3 2 6 2" xfId="11931"/>
    <cellStyle name="Note 2 2 3 2 7" xfId="11932"/>
    <cellStyle name="Note 2 2 3 3" xfId="11933"/>
    <cellStyle name="Note 2 2 3 3 2" xfId="11934"/>
    <cellStyle name="Note 2 2 3 3 2 2" xfId="11935"/>
    <cellStyle name="Note 2 2 3 3 2 2 2" xfId="11936"/>
    <cellStyle name="Note 2 2 3 3 2 3" xfId="11937"/>
    <cellStyle name="Note 2 2 3 3 3" xfId="11938"/>
    <cellStyle name="Note 2 2 3 3 3 2" xfId="11939"/>
    <cellStyle name="Note 2 2 3 3 3 2 2" xfId="11940"/>
    <cellStyle name="Note 2 2 3 3 3 3" xfId="11941"/>
    <cellStyle name="Note 2 2 3 3 4" xfId="11942"/>
    <cellStyle name="Note 2 2 3 3 4 2" xfId="11943"/>
    <cellStyle name="Note 2 2 3 3 5" xfId="11944"/>
    <cellStyle name="Note 2 2 3 3 5 2" xfId="11945"/>
    <cellStyle name="Note 2 2 3 3 6" xfId="11946"/>
    <cellStyle name="Note 2 2 3 3 6 2" xfId="11947"/>
    <cellStyle name="Note 2 2 3 3 7" xfId="11948"/>
    <cellStyle name="Note 2 2 3 4" xfId="11949"/>
    <cellStyle name="Note 2 2 3 4 2" xfId="11950"/>
    <cellStyle name="Note 2 2 3 5" xfId="11951"/>
    <cellStyle name="Note 2 2 3 5 2" xfId="11952"/>
    <cellStyle name="Note 2 2 4" xfId="11953"/>
    <cellStyle name="Note 2 2 4 2" xfId="11954"/>
    <cellStyle name="Note 2 2 4 2 2" xfId="11955"/>
    <cellStyle name="Note 2 2 4 2 2 2" xfId="11956"/>
    <cellStyle name="Note 2 2 4 2 2 2 2" xfId="11957"/>
    <cellStyle name="Note 2 2 4 2 2 3" xfId="11958"/>
    <cellStyle name="Note 2 2 4 2 3" xfId="11959"/>
    <cellStyle name="Note 2 2 4 2 3 2" xfId="11960"/>
    <cellStyle name="Note 2 2 4 2 3 2 2" xfId="11961"/>
    <cellStyle name="Note 2 2 4 2 3 3" xfId="11962"/>
    <cellStyle name="Note 2 2 4 2 4" xfId="11963"/>
    <cellStyle name="Note 2 2 4 2 4 2" xfId="11964"/>
    <cellStyle name="Note 2 2 4 2 5" xfId="11965"/>
    <cellStyle name="Note 2 2 4 2 5 2" xfId="11966"/>
    <cellStyle name="Note 2 2 4 2 6" xfId="11967"/>
    <cellStyle name="Note 2 2 4 2 6 2" xfId="11968"/>
    <cellStyle name="Note 2 2 4 2 7" xfId="11969"/>
    <cellStyle name="Note 2 2 4 3" xfId="11970"/>
    <cellStyle name="Note 2 2 4 3 2" xfId="11971"/>
    <cellStyle name="Note 2 2 4 3 2 2" xfId="11972"/>
    <cellStyle name="Note 2 2 4 3 2 2 2" xfId="11973"/>
    <cellStyle name="Note 2 2 4 3 2 3" xfId="11974"/>
    <cellStyle name="Note 2 2 4 3 3" xfId="11975"/>
    <cellStyle name="Note 2 2 4 3 3 2" xfId="11976"/>
    <cellStyle name="Note 2 2 4 3 3 2 2" xfId="11977"/>
    <cellStyle name="Note 2 2 4 3 3 3" xfId="11978"/>
    <cellStyle name="Note 2 2 4 3 4" xfId="11979"/>
    <cellStyle name="Note 2 2 4 3 4 2" xfId="11980"/>
    <cellStyle name="Note 2 2 4 3 5" xfId="11981"/>
    <cellStyle name="Note 2 2 4 3 5 2" xfId="11982"/>
    <cellStyle name="Note 2 2 4 3 6" xfId="11983"/>
    <cellStyle name="Note 2 2 4 3 6 2" xfId="11984"/>
    <cellStyle name="Note 2 2 4 3 7" xfId="11985"/>
    <cellStyle name="Note 2 2 4 4" xfId="11986"/>
    <cellStyle name="Note 2 2 4 4 2" xfId="11987"/>
    <cellStyle name="Note 2 2 4 5" xfId="11988"/>
    <cellStyle name="Note 2 2 4 5 2" xfId="11989"/>
    <cellStyle name="Note 2 2 5" xfId="11990"/>
    <cellStyle name="Note 2 2 5 2" xfId="11991"/>
    <cellStyle name="Note 2 2 5 2 2" xfId="11992"/>
    <cellStyle name="Note 2 2 5 2 2 2" xfId="11993"/>
    <cellStyle name="Note 2 2 5 2 3" xfId="11994"/>
    <cellStyle name="Note 2 2 5 3" xfId="11995"/>
    <cellStyle name="Note 2 2 5 3 2" xfId="11996"/>
    <cellStyle name="Note 2 2 5 3 2 2" xfId="11997"/>
    <cellStyle name="Note 2 2 5 3 3" xfId="11998"/>
    <cellStyle name="Note 2 2 5 4" xfId="11999"/>
    <cellStyle name="Note 2 2 5 4 2" xfId="12000"/>
    <cellStyle name="Note 2 2 5 5" xfId="12001"/>
    <cellStyle name="Note 2 2 5 5 2" xfId="12002"/>
    <cellStyle name="Note 2 2 5 6" xfId="12003"/>
    <cellStyle name="Note 2 2 5 6 2" xfId="12004"/>
    <cellStyle name="Note 2 2 5 7" xfId="12005"/>
    <cellStyle name="Note 2 2 6" xfId="12006"/>
    <cellStyle name="Note 2 2 6 2" xfId="12007"/>
    <cellStyle name="Note 2 2 6 2 2" xfId="12008"/>
    <cellStyle name="Note 2 2 6 2 2 2" xfId="12009"/>
    <cellStyle name="Note 2 2 6 2 3" xfId="12010"/>
    <cellStyle name="Note 2 2 6 3" xfId="12011"/>
    <cellStyle name="Note 2 2 6 3 2" xfId="12012"/>
    <cellStyle name="Note 2 2 6 3 2 2" xfId="12013"/>
    <cellStyle name="Note 2 2 6 3 3" xfId="12014"/>
    <cellStyle name="Note 2 2 6 4" xfId="12015"/>
    <cellStyle name="Note 2 2 6 4 2" xfId="12016"/>
    <cellStyle name="Note 2 2 6 5" xfId="12017"/>
    <cellStyle name="Note 2 2 6 5 2" xfId="12018"/>
    <cellStyle name="Note 2 2 6 6" xfId="12019"/>
    <cellStyle name="Note 2 2 6 6 2" xfId="12020"/>
    <cellStyle name="Note 2 2 6 7" xfId="12021"/>
    <cellStyle name="Note 2 2 7" xfId="12022"/>
    <cellStyle name="Note 2 2 7 2" xfId="12023"/>
    <cellStyle name="Note 2 2 8" xfId="12024"/>
    <cellStyle name="Note 2 2 8 2" xfId="12025"/>
    <cellStyle name="Note 2 2 9" xfId="12026"/>
    <cellStyle name="Note 2 2 9 2" xfId="12027"/>
    <cellStyle name="Note 2 3" xfId="12028"/>
    <cellStyle name="Note 2 3 10" xfId="12029"/>
    <cellStyle name="Note 2 3 10 2" xfId="12030"/>
    <cellStyle name="Note 2 3 10 2 2" xfId="12031"/>
    <cellStyle name="Note 2 3 10 2 2 2" xfId="12032"/>
    <cellStyle name="Note 2 3 10 2 3" xfId="12033"/>
    <cellStyle name="Note 2 3 10 3" xfId="12034"/>
    <cellStyle name="Note 2 3 10 3 2" xfId="12035"/>
    <cellStyle name="Note 2 3 10 3 2 2" xfId="12036"/>
    <cellStyle name="Note 2 3 10 3 3" xfId="12037"/>
    <cellStyle name="Note 2 3 10 4" xfId="12038"/>
    <cellStyle name="Note 2 3 10 4 2" xfId="12039"/>
    <cellStyle name="Note 2 3 10 5" xfId="12040"/>
    <cellStyle name="Note 2 3 10 5 2" xfId="12041"/>
    <cellStyle name="Note 2 3 10 6" xfId="12042"/>
    <cellStyle name="Note 2 3 10 6 2" xfId="12043"/>
    <cellStyle name="Note 2 3 10 7" xfId="12044"/>
    <cellStyle name="Note 2 3 11" xfId="12045"/>
    <cellStyle name="Note 2 3 11 2" xfId="12046"/>
    <cellStyle name="Note 2 3 11 2 2" xfId="12047"/>
    <cellStyle name="Note 2 3 11 2 2 2" xfId="12048"/>
    <cellStyle name="Note 2 3 11 2 3" xfId="12049"/>
    <cellStyle name="Note 2 3 11 3" xfId="12050"/>
    <cellStyle name="Note 2 3 11 3 2" xfId="12051"/>
    <cellStyle name="Note 2 3 11 3 2 2" xfId="12052"/>
    <cellStyle name="Note 2 3 11 3 3" xfId="12053"/>
    <cellStyle name="Note 2 3 11 4" xfId="12054"/>
    <cellStyle name="Note 2 3 11 4 2" xfId="12055"/>
    <cellStyle name="Note 2 3 11 5" xfId="12056"/>
    <cellStyle name="Note 2 3 11 5 2" xfId="12057"/>
    <cellStyle name="Note 2 3 11 6" xfId="12058"/>
    <cellStyle name="Note 2 3 11 6 2" xfId="12059"/>
    <cellStyle name="Note 2 3 11 7" xfId="12060"/>
    <cellStyle name="Note 2 3 12" xfId="12061"/>
    <cellStyle name="Note 2 3 12 2" xfId="12062"/>
    <cellStyle name="Note 2 3 13" xfId="12063"/>
    <cellStyle name="Note 2 3 13 2" xfId="12064"/>
    <cellStyle name="Note 2 3 2" xfId="12065"/>
    <cellStyle name="Note 2 3 2 2" xfId="12066"/>
    <cellStyle name="Note 2 3 2 2 2" xfId="12067"/>
    <cellStyle name="Note 2 3 2 2 2 2" xfId="12068"/>
    <cellStyle name="Note 2 3 2 2 2 2 2" xfId="12069"/>
    <cellStyle name="Note 2 3 2 2 2 2 2 2" xfId="12070"/>
    <cellStyle name="Note 2 3 2 2 2 2 3" xfId="12071"/>
    <cellStyle name="Note 2 3 2 2 2 3" xfId="12072"/>
    <cellStyle name="Note 2 3 2 2 2 3 2" xfId="12073"/>
    <cellStyle name="Note 2 3 2 2 2 3 2 2" xfId="12074"/>
    <cellStyle name="Note 2 3 2 2 2 3 3" xfId="12075"/>
    <cellStyle name="Note 2 3 2 2 2 4" xfId="12076"/>
    <cellStyle name="Note 2 3 2 2 2 4 2" xfId="12077"/>
    <cellStyle name="Note 2 3 2 2 2 5" xfId="12078"/>
    <cellStyle name="Note 2 3 2 2 2 5 2" xfId="12079"/>
    <cellStyle name="Note 2 3 2 2 2 6" xfId="12080"/>
    <cellStyle name="Note 2 3 2 2 2 6 2" xfId="12081"/>
    <cellStyle name="Note 2 3 2 2 2 7" xfId="12082"/>
    <cellStyle name="Note 2 3 2 2 3" xfId="12083"/>
    <cellStyle name="Note 2 3 2 2 3 2" xfId="12084"/>
    <cellStyle name="Note 2 3 2 2 3 2 2" xfId="12085"/>
    <cellStyle name="Note 2 3 2 2 3 2 2 2" xfId="12086"/>
    <cellStyle name="Note 2 3 2 2 3 2 3" xfId="12087"/>
    <cellStyle name="Note 2 3 2 2 3 3" xfId="12088"/>
    <cellStyle name="Note 2 3 2 2 3 3 2" xfId="12089"/>
    <cellStyle name="Note 2 3 2 2 3 3 2 2" xfId="12090"/>
    <cellStyle name="Note 2 3 2 2 3 3 3" xfId="12091"/>
    <cellStyle name="Note 2 3 2 2 3 4" xfId="12092"/>
    <cellStyle name="Note 2 3 2 2 3 4 2" xfId="12093"/>
    <cellStyle name="Note 2 3 2 2 3 5" xfId="12094"/>
    <cellStyle name="Note 2 3 2 2 3 5 2" xfId="12095"/>
    <cellStyle name="Note 2 3 2 2 3 6" xfId="12096"/>
    <cellStyle name="Note 2 3 2 2 3 6 2" xfId="12097"/>
    <cellStyle name="Note 2 3 2 2 3 7" xfId="12098"/>
    <cellStyle name="Note 2 3 2 2 4" xfId="12099"/>
    <cellStyle name="Note 2 3 2 2 4 2" xfId="12100"/>
    <cellStyle name="Note 2 3 2 2 5" xfId="12101"/>
    <cellStyle name="Note 2 3 2 2 5 2" xfId="12102"/>
    <cellStyle name="Note 2 3 2 3" xfId="12103"/>
    <cellStyle name="Note 2 3 2 3 2" xfId="12104"/>
    <cellStyle name="Note 2 3 2 3 2 2" xfId="12105"/>
    <cellStyle name="Note 2 3 2 3 2 2 2" xfId="12106"/>
    <cellStyle name="Note 2 3 2 3 2 2 2 2" xfId="12107"/>
    <cellStyle name="Note 2 3 2 3 2 2 3" xfId="12108"/>
    <cellStyle name="Note 2 3 2 3 2 3" xfId="12109"/>
    <cellStyle name="Note 2 3 2 3 2 3 2" xfId="12110"/>
    <cellStyle name="Note 2 3 2 3 2 3 2 2" xfId="12111"/>
    <cellStyle name="Note 2 3 2 3 2 3 3" xfId="12112"/>
    <cellStyle name="Note 2 3 2 3 2 4" xfId="12113"/>
    <cellStyle name="Note 2 3 2 3 2 4 2" xfId="12114"/>
    <cellStyle name="Note 2 3 2 3 2 5" xfId="12115"/>
    <cellStyle name="Note 2 3 2 3 2 5 2" xfId="12116"/>
    <cellStyle name="Note 2 3 2 3 2 6" xfId="12117"/>
    <cellStyle name="Note 2 3 2 3 2 6 2" xfId="12118"/>
    <cellStyle name="Note 2 3 2 3 2 7" xfId="12119"/>
    <cellStyle name="Note 2 3 2 3 3" xfId="12120"/>
    <cellStyle name="Note 2 3 2 3 3 2" xfId="12121"/>
    <cellStyle name="Note 2 3 2 3 3 2 2" xfId="12122"/>
    <cellStyle name="Note 2 3 2 3 3 2 2 2" xfId="12123"/>
    <cellStyle name="Note 2 3 2 3 3 2 3" xfId="12124"/>
    <cellStyle name="Note 2 3 2 3 3 3" xfId="12125"/>
    <cellStyle name="Note 2 3 2 3 3 3 2" xfId="12126"/>
    <cellStyle name="Note 2 3 2 3 3 3 2 2" xfId="12127"/>
    <cellStyle name="Note 2 3 2 3 3 3 3" xfId="12128"/>
    <cellStyle name="Note 2 3 2 3 3 4" xfId="12129"/>
    <cellStyle name="Note 2 3 2 3 3 4 2" xfId="12130"/>
    <cellStyle name="Note 2 3 2 3 3 5" xfId="12131"/>
    <cellStyle name="Note 2 3 2 3 3 5 2" xfId="12132"/>
    <cellStyle name="Note 2 3 2 3 3 6" xfId="12133"/>
    <cellStyle name="Note 2 3 2 3 3 6 2" xfId="12134"/>
    <cellStyle name="Note 2 3 2 3 3 7" xfId="12135"/>
    <cellStyle name="Note 2 3 2 3 4" xfId="12136"/>
    <cellStyle name="Note 2 3 2 3 4 2" xfId="12137"/>
    <cellStyle name="Note 2 3 2 3 5" xfId="12138"/>
    <cellStyle name="Note 2 3 2 3 5 2" xfId="12139"/>
    <cellStyle name="Note 2 3 2 4" xfId="12140"/>
    <cellStyle name="Note 2 3 2 4 2" xfId="12141"/>
    <cellStyle name="Note 2 3 2 4 2 2" xfId="12142"/>
    <cellStyle name="Note 2 3 2 4 2 2 2" xfId="12143"/>
    <cellStyle name="Note 2 3 2 4 2 3" xfId="12144"/>
    <cellStyle name="Note 2 3 2 4 3" xfId="12145"/>
    <cellStyle name="Note 2 3 2 4 3 2" xfId="12146"/>
    <cellStyle name="Note 2 3 2 4 3 2 2" xfId="12147"/>
    <cellStyle name="Note 2 3 2 4 3 3" xfId="12148"/>
    <cellStyle name="Note 2 3 2 4 4" xfId="12149"/>
    <cellStyle name="Note 2 3 2 4 4 2" xfId="12150"/>
    <cellStyle name="Note 2 3 2 4 5" xfId="12151"/>
    <cellStyle name="Note 2 3 2 4 5 2" xfId="12152"/>
    <cellStyle name="Note 2 3 2 4 6" xfId="12153"/>
    <cellStyle name="Note 2 3 2 4 6 2" xfId="12154"/>
    <cellStyle name="Note 2 3 2 4 7" xfId="12155"/>
    <cellStyle name="Note 2 3 2 5" xfId="12156"/>
    <cellStyle name="Note 2 3 2 5 2" xfId="12157"/>
    <cellStyle name="Note 2 3 2 5 2 2" xfId="12158"/>
    <cellStyle name="Note 2 3 2 5 2 2 2" xfId="12159"/>
    <cellStyle name="Note 2 3 2 5 2 3" xfId="12160"/>
    <cellStyle name="Note 2 3 2 5 3" xfId="12161"/>
    <cellStyle name="Note 2 3 2 5 3 2" xfId="12162"/>
    <cellStyle name="Note 2 3 2 5 3 2 2" xfId="12163"/>
    <cellStyle name="Note 2 3 2 5 3 3" xfId="12164"/>
    <cellStyle name="Note 2 3 2 5 4" xfId="12165"/>
    <cellStyle name="Note 2 3 2 5 4 2" xfId="12166"/>
    <cellStyle name="Note 2 3 2 5 5" xfId="12167"/>
    <cellStyle name="Note 2 3 2 5 5 2" xfId="12168"/>
    <cellStyle name="Note 2 3 2 5 6" xfId="12169"/>
    <cellStyle name="Note 2 3 2 5 6 2" xfId="12170"/>
    <cellStyle name="Note 2 3 2 5 7" xfId="12171"/>
    <cellStyle name="Note 2 3 2 6" xfId="12172"/>
    <cellStyle name="Note 2 3 2 6 2" xfId="12173"/>
    <cellStyle name="Note 2 3 2 6 2 2" xfId="12174"/>
    <cellStyle name="Note 2 3 2 6 2 2 2" xfId="12175"/>
    <cellStyle name="Note 2 3 2 6 2 3" xfId="12176"/>
    <cellStyle name="Note 2 3 2 6 3" xfId="12177"/>
    <cellStyle name="Note 2 3 2 6 3 2" xfId="12178"/>
    <cellStyle name="Note 2 3 2 6 3 2 2" xfId="12179"/>
    <cellStyle name="Note 2 3 2 6 3 3" xfId="12180"/>
    <cellStyle name="Note 2 3 2 6 4" xfId="12181"/>
    <cellStyle name="Note 2 3 2 6 4 2" xfId="12182"/>
    <cellStyle name="Note 2 3 2 6 5" xfId="12183"/>
    <cellStyle name="Note 2 3 2 6 5 2" xfId="12184"/>
    <cellStyle name="Note 2 3 2 6 6" xfId="12185"/>
    <cellStyle name="Note 2 3 2 6 6 2" xfId="12186"/>
    <cellStyle name="Note 2 3 2 6 7" xfId="12187"/>
    <cellStyle name="Note 2 3 2 7" xfId="12188"/>
    <cellStyle name="Note 2 3 2 7 2" xfId="12189"/>
    <cellStyle name="Note 2 3 2 8" xfId="12190"/>
    <cellStyle name="Note 2 3 2 8 2" xfId="12191"/>
    <cellStyle name="Note 2 3 3" xfId="12192"/>
    <cellStyle name="Note 2 3 3 2" xfId="12193"/>
    <cellStyle name="Note 2 3 3 2 2" xfId="12194"/>
    <cellStyle name="Note 2 3 3 2 2 2" xfId="12195"/>
    <cellStyle name="Note 2 3 3 2 2 2 2" xfId="12196"/>
    <cellStyle name="Note 2 3 3 2 2 2 2 2" xfId="12197"/>
    <cellStyle name="Note 2 3 3 2 2 2 3" xfId="12198"/>
    <cellStyle name="Note 2 3 3 2 2 3" xfId="12199"/>
    <cellStyle name="Note 2 3 3 2 2 3 2" xfId="12200"/>
    <cellStyle name="Note 2 3 3 2 2 3 2 2" xfId="12201"/>
    <cellStyle name="Note 2 3 3 2 2 3 3" xfId="12202"/>
    <cellStyle name="Note 2 3 3 2 2 4" xfId="12203"/>
    <cellStyle name="Note 2 3 3 2 2 4 2" xfId="12204"/>
    <cellStyle name="Note 2 3 3 2 2 5" xfId="12205"/>
    <cellStyle name="Note 2 3 3 2 2 5 2" xfId="12206"/>
    <cellStyle name="Note 2 3 3 2 2 6" xfId="12207"/>
    <cellStyle name="Note 2 3 3 2 2 6 2" xfId="12208"/>
    <cellStyle name="Note 2 3 3 2 2 7" xfId="12209"/>
    <cellStyle name="Note 2 3 3 2 3" xfId="12210"/>
    <cellStyle name="Note 2 3 3 2 3 2" xfId="12211"/>
    <cellStyle name="Note 2 3 3 2 3 2 2" xfId="12212"/>
    <cellStyle name="Note 2 3 3 2 3 2 2 2" xfId="12213"/>
    <cellStyle name="Note 2 3 3 2 3 2 3" xfId="12214"/>
    <cellStyle name="Note 2 3 3 2 3 3" xfId="12215"/>
    <cellStyle name="Note 2 3 3 2 3 3 2" xfId="12216"/>
    <cellStyle name="Note 2 3 3 2 3 3 2 2" xfId="12217"/>
    <cellStyle name="Note 2 3 3 2 3 3 3" xfId="12218"/>
    <cellStyle name="Note 2 3 3 2 3 4" xfId="12219"/>
    <cellStyle name="Note 2 3 3 2 3 4 2" xfId="12220"/>
    <cellStyle name="Note 2 3 3 2 3 5" xfId="12221"/>
    <cellStyle name="Note 2 3 3 2 3 5 2" xfId="12222"/>
    <cellStyle name="Note 2 3 3 2 3 6" xfId="12223"/>
    <cellStyle name="Note 2 3 3 2 3 6 2" xfId="12224"/>
    <cellStyle name="Note 2 3 3 2 3 7" xfId="12225"/>
    <cellStyle name="Note 2 3 3 2 4" xfId="12226"/>
    <cellStyle name="Note 2 3 3 2 4 2" xfId="12227"/>
    <cellStyle name="Note 2 3 3 2 5" xfId="12228"/>
    <cellStyle name="Note 2 3 3 2 5 2" xfId="12229"/>
    <cellStyle name="Note 2 3 3 3" xfId="12230"/>
    <cellStyle name="Note 2 3 3 3 2" xfId="12231"/>
    <cellStyle name="Note 2 3 3 3 2 2" xfId="12232"/>
    <cellStyle name="Note 2 3 3 3 2 2 2" xfId="12233"/>
    <cellStyle name="Note 2 3 3 3 2 2 2 2" xfId="12234"/>
    <cellStyle name="Note 2 3 3 3 2 2 3" xfId="12235"/>
    <cellStyle name="Note 2 3 3 3 2 3" xfId="12236"/>
    <cellStyle name="Note 2 3 3 3 2 3 2" xfId="12237"/>
    <cellStyle name="Note 2 3 3 3 2 3 2 2" xfId="12238"/>
    <cellStyle name="Note 2 3 3 3 2 3 3" xfId="12239"/>
    <cellStyle name="Note 2 3 3 3 2 4" xfId="12240"/>
    <cellStyle name="Note 2 3 3 3 2 4 2" xfId="12241"/>
    <cellStyle name="Note 2 3 3 3 2 5" xfId="12242"/>
    <cellStyle name="Note 2 3 3 3 2 5 2" xfId="12243"/>
    <cellStyle name="Note 2 3 3 3 2 6" xfId="12244"/>
    <cellStyle name="Note 2 3 3 3 2 6 2" xfId="12245"/>
    <cellStyle name="Note 2 3 3 3 2 7" xfId="12246"/>
    <cellStyle name="Note 2 3 3 3 3" xfId="12247"/>
    <cellStyle name="Note 2 3 3 3 3 2" xfId="12248"/>
    <cellStyle name="Note 2 3 3 3 3 2 2" xfId="12249"/>
    <cellStyle name="Note 2 3 3 3 3 2 2 2" xfId="12250"/>
    <cellStyle name="Note 2 3 3 3 3 2 3" xfId="12251"/>
    <cellStyle name="Note 2 3 3 3 3 3" xfId="12252"/>
    <cellStyle name="Note 2 3 3 3 3 3 2" xfId="12253"/>
    <cellStyle name="Note 2 3 3 3 3 3 2 2" xfId="12254"/>
    <cellStyle name="Note 2 3 3 3 3 3 3" xfId="12255"/>
    <cellStyle name="Note 2 3 3 3 3 4" xfId="12256"/>
    <cellStyle name="Note 2 3 3 3 3 4 2" xfId="12257"/>
    <cellStyle name="Note 2 3 3 3 3 5" xfId="12258"/>
    <cellStyle name="Note 2 3 3 3 3 5 2" xfId="12259"/>
    <cellStyle name="Note 2 3 3 3 3 6" xfId="12260"/>
    <cellStyle name="Note 2 3 3 3 3 6 2" xfId="12261"/>
    <cellStyle name="Note 2 3 3 3 3 7" xfId="12262"/>
    <cellStyle name="Note 2 3 3 3 4" xfId="12263"/>
    <cellStyle name="Note 2 3 3 3 4 2" xfId="12264"/>
    <cellStyle name="Note 2 3 3 3 5" xfId="12265"/>
    <cellStyle name="Note 2 3 3 3 5 2" xfId="12266"/>
    <cellStyle name="Note 2 3 3 4" xfId="12267"/>
    <cellStyle name="Note 2 3 3 4 2" xfId="12268"/>
    <cellStyle name="Note 2 3 3 4 2 2" xfId="12269"/>
    <cellStyle name="Note 2 3 3 4 2 2 2" xfId="12270"/>
    <cellStyle name="Note 2 3 3 4 2 3" xfId="12271"/>
    <cellStyle name="Note 2 3 3 4 3" xfId="12272"/>
    <cellStyle name="Note 2 3 3 4 3 2" xfId="12273"/>
    <cellStyle name="Note 2 3 3 4 3 2 2" xfId="12274"/>
    <cellStyle name="Note 2 3 3 4 3 3" xfId="12275"/>
    <cellStyle name="Note 2 3 3 4 4" xfId="12276"/>
    <cellStyle name="Note 2 3 3 4 4 2" xfId="12277"/>
    <cellStyle name="Note 2 3 3 4 5" xfId="12278"/>
    <cellStyle name="Note 2 3 3 4 5 2" xfId="12279"/>
    <cellStyle name="Note 2 3 3 4 6" xfId="12280"/>
    <cellStyle name="Note 2 3 3 4 6 2" xfId="12281"/>
    <cellStyle name="Note 2 3 3 4 7" xfId="12282"/>
    <cellStyle name="Note 2 3 3 5" xfId="12283"/>
    <cellStyle name="Note 2 3 3 5 2" xfId="12284"/>
    <cellStyle name="Note 2 3 3 5 2 2" xfId="12285"/>
    <cellStyle name="Note 2 3 3 5 2 2 2" xfId="12286"/>
    <cellStyle name="Note 2 3 3 5 2 3" xfId="12287"/>
    <cellStyle name="Note 2 3 3 5 3" xfId="12288"/>
    <cellStyle name="Note 2 3 3 5 3 2" xfId="12289"/>
    <cellStyle name="Note 2 3 3 5 3 2 2" xfId="12290"/>
    <cellStyle name="Note 2 3 3 5 3 3" xfId="12291"/>
    <cellStyle name="Note 2 3 3 5 4" xfId="12292"/>
    <cellStyle name="Note 2 3 3 5 4 2" xfId="12293"/>
    <cellStyle name="Note 2 3 3 5 5" xfId="12294"/>
    <cellStyle name="Note 2 3 3 5 5 2" xfId="12295"/>
    <cellStyle name="Note 2 3 3 5 6" xfId="12296"/>
    <cellStyle name="Note 2 3 3 5 6 2" xfId="12297"/>
    <cellStyle name="Note 2 3 3 5 7" xfId="12298"/>
    <cellStyle name="Note 2 3 3 6" xfId="12299"/>
    <cellStyle name="Note 2 3 3 6 2" xfId="12300"/>
    <cellStyle name="Note 2 3 3 6 2 2" xfId="12301"/>
    <cellStyle name="Note 2 3 3 6 2 2 2" xfId="12302"/>
    <cellStyle name="Note 2 3 3 6 2 3" xfId="12303"/>
    <cellStyle name="Note 2 3 3 6 3" xfId="12304"/>
    <cellStyle name="Note 2 3 3 6 3 2" xfId="12305"/>
    <cellStyle name="Note 2 3 3 6 3 2 2" xfId="12306"/>
    <cellStyle name="Note 2 3 3 6 3 3" xfId="12307"/>
    <cellStyle name="Note 2 3 3 6 4" xfId="12308"/>
    <cellStyle name="Note 2 3 3 6 4 2" xfId="12309"/>
    <cellStyle name="Note 2 3 3 6 5" xfId="12310"/>
    <cellStyle name="Note 2 3 3 6 5 2" xfId="12311"/>
    <cellStyle name="Note 2 3 3 6 6" xfId="12312"/>
    <cellStyle name="Note 2 3 3 6 6 2" xfId="12313"/>
    <cellStyle name="Note 2 3 3 6 7" xfId="12314"/>
    <cellStyle name="Note 2 3 3 7" xfId="12315"/>
    <cellStyle name="Note 2 3 3 7 2" xfId="12316"/>
    <cellStyle name="Note 2 3 3 8" xfId="12317"/>
    <cellStyle name="Note 2 3 3 8 2" xfId="12318"/>
    <cellStyle name="Note 2 3 4" xfId="12319"/>
    <cellStyle name="Note 2 3 4 2" xfId="12320"/>
    <cellStyle name="Note 2 3 4 2 2" xfId="12321"/>
    <cellStyle name="Note 2 3 4 2 2 2" xfId="12322"/>
    <cellStyle name="Note 2 3 4 2 2 2 2" xfId="12323"/>
    <cellStyle name="Note 2 3 4 2 2 2 2 2" xfId="12324"/>
    <cellStyle name="Note 2 3 4 2 2 2 3" xfId="12325"/>
    <cellStyle name="Note 2 3 4 2 2 3" xfId="12326"/>
    <cellStyle name="Note 2 3 4 2 2 3 2" xfId="12327"/>
    <cellStyle name="Note 2 3 4 2 2 3 2 2" xfId="12328"/>
    <cellStyle name="Note 2 3 4 2 2 3 3" xfId="12329"/>
    <cellStyle name="Note 2 3 4 2 2 4" xfId="12330"/>
    <cellStyle name="Note 2 3 4 2 2 4 2" xfId="12331"/>
    <cellStyle name="Note 2 3 4 2 2 5" xfId="12332"/>
    <cellStyle name="Note 2 3 4 2 2 5 2" xfId="12333"/>
    <cellStyle name="Note 2 3 4 2 2 6" xfId="12334"/>
    <cellStyle name="Note 2 3 4 2 2 6 2" xfId="12335"/>
    <cellStyle name="Note 2 3 4 2 2 7" xfId="12336"/>
    <cellStyle name="Note 2 3 4 2 3" xfId="12337"/>
    <cellStyle name="Note 2 3 4 2 3 2" xfId="12338"/>
    <cellStyle name="Note 2 3 4 2 3 2 2" xfId="12339"/>
    <cellStyle name="Note 2 3 4 2 3 2 2 2" xfId="12340"/>
    <cellStyle name="Note 2 3 4 2 3 2 3" xfId="12341"/>
    <cellStyle name="Note 2 3 4 2 3 3" xfId="12342"/>
    <cellStyle name="Note 2 3 4 2 3 3 2" xfId="12343"/>
    <cellStyle name="Note 2 3 4 2 3 3 2 2" xfId="12344"/>
    <cellStyle name="Note 2 3 4 2 3 3 3" xfId="12345"/>
    <cellStyle name="Note 2 3 4 2 3 4" xfId="12346"/>
    <cellStyle name="Note 2 3 4 2 3 4 2" xfId="12347"/>
    <cellStyle name="Note 2 3 4 2 3 5" xfId="12348"/>
    <cellStyle name="Note 2 3 4 2 3 5 2" xfId="12349"/>
    <cellStyle name="Note 2 3 4 2 3 6" xfId="12350"/>
    <cellStyle name="Note 2 3 4 2 3 6 2" xfId="12351"/>
    <cellStyle name="Note 2 3 4 2 3 7" xfId="12352"/>
    <cellStyle name="Note 2 3 4 2 4" xfId="12353"/>
    <cellStyle name="Note 2 3 4 2 4 2" xfId="12354"/>
    <cellStyle name="Note 2 3 4 2 5" xfId="12355"/>
    <cellStyle name="Note 2 3 4 2 5 2" xfId="12356"/>
    <cellStyle name="Note 2 3 4 3" xfId="12357"/>
    <cellStyle name="Note 2 3 4 3 2" xfId="12358"/>
    <cellStyle name="Note 2 3 4 3 2 2" xfId="12359"/>
    <cellStyle name="Note 2 3 4 3 2 2 2" xfId="12360"/>
    <cellStyle name="Note 2 3 4 3 2 2 2 2" xfId="12361"/>
    <cellStyle name="Note 2 3 4 3 2 2 3" xfId="12362"/>
    <cellStyle name="Note 2 3 4 3 2 3" xfId="12363"/>
    <cellStyle name="Note 2 3 4 3 2 3 2" xfId="12364"/>
    <cellStyle name="Note 2 3 4 3 2 3 2 2" xfId="12365"/>
    <cellStyle name="Note 2 3 4 3 2 3 3" xfId="12366"/>
    <cellStyle name="Note 2 3 4 3 2 4" xfId="12367"/>
    <cellStyle name="Note 2 3 4 3 2 4 2" xfId="12368"/>
    <cellStyle name="Note 2 3 4 3 2 5" xfId="12369"/>
    <cellStyle name="Note 2 3 4 3 2 5 2" xfId="12370"/>
    <cellStyle name="Note 2 3 4 3 2 6" xfId="12371"/>
    <cellStyle name="Note 2 3 4 3 2 6 2" xfId="12372"/>
    <cellStyle name="Note 2 3 4 3 2 7" xfId="12373"/>
    <cellStyle name="Note 2 3 4 3 3" xfId="12374"/>
    <cellStyle name="Note 2 3 4 3 3 2" xfId="12375"/>
    <cellStyle name="Note 2 3 4 3 3 2 2" xfId="12376"/>
    <cellStyle name="Note 2 3 4 3 3 2 2 2" xfId="12377"/>
    <cellStyle name="Note 2 3 4 3 3 2 3" xfId="12378"/>
    <cellStyle name="Note 2 3 4 3 3 3" xfId="12379"/>
    <cellStyle name="Note 2 3 4 3 3 3 2" xfId="12380"/>
    <cellStyle name="Note 2 3 4 3 3 3 2 2" xfId="12381"/>
    <cellStyle name="Note 2 3 4 3 3 3 3" xfId="12382"/>
    <cellStyle name="Note 2 3 4 3 3 4" xfId="12383"/>
    <cellStyle name="Note 2 3 4 3 3 4 2" xfId="12384"/>
    <cellStyle name="Note 2 3 4 3 3 5" xfId="12385"/>
    <cellStyle name="Note 2 3 4 3 3 5 2" xfId="12386"/>
    <cellStyle name="Note 2 3 4 3 3 6" xfId="12387"/>
    <cellStyle name="Note 2 3 4 3 3 6 2" xfId="12388"/>
    <cellStyle name="Note 2 3 4 3 3 7" xfId="12389"/>
    <cellStyle name="Note 2 3 4 3 4" xfId="12390"/>
    <cellStyle name="Note 2 3 4 3 4 2" xfId="12391"/>
    <cellStyle name="Note 2 3 4 3 5" xfId="12392"/>
    <cellStyle name="Note 2 3 4 3 5 2" xfId="12393"/>
    <cellStyle name="Note 2 3 4 4" xfId="12394"/>
    <cellStyle name="Note 2 3 4 4 2" xfId="12395"/>
    <cellStyle name="Note 2 3 4 4 2 2" xfId="12396"/>
    <cellStyle name="Note 2 3 4 4 2 2 2" xfId="12397"/>
    <cellStyle name="Note 2 3 4 4 2 3" xfId="12398"/>
    <cellStyle name="Note 2 3 4 4 3" xfId="12399"/>
    <cellStyle name="Note 2 3 4 4 3 2" xfId="12400"/>
    <cellStyle name="Note 2 3 4 4 3 2 2" xfId="12401"/>
    <cellStyle name="Note 2 3 4 4 3 3" xfId="12402"/>
    <cellStyle name="Note 2 3 4 4 4" xfId="12403"/>
    <cellStyle name="Note 2 3 4 4 4 2" xfId="12404"/>
    <cellStyle name="Note 2 3 4 4 5" xfId="12405"/>
    <cellStyle name="Note 2 3 4 4 5 2" xfId="12406"/>
    <cellStyle name="Note 2 3 4 4 6" xfId="12407"/>
    <cellStyle name="Note 2 3 4 4 6 2" xfId="12408"/>
    <cellStyle name="Note 2 3 4 4 7" xfId="12409"/>
    <cellStyle name="Note 2 3 4 5" xfId="12410"/>
    <cellStyle name="Note 2 3 4 5 2" xfId="12411"/>
    <cellStyle name="Note 2 3 4 5 2 2" xfId="12412"/>
    <cellStyle name="Note 2 3 4 5 2 2 2" xfId="12413"/>
    <cellStyle name="Note 2 3 4 5 2 3" xfId="12414"/>
    <cellStyle name="Note 2 3 4 5 3" xfId="12415"/>
    <cellStyle name="Note 2 3 4 5 3 2" xfId="12416"/>
    <cellStyle name="Note 2 3 4 5 3 2 2" xfId="12417"/>
    <cellStyle name="Note 2 3 4 5 3 3" xfId="12418"/>
    <cellStyle name="Note 2 3 4 5 4" xfId="12419"/>
    <cellStyle name="Note 2 3 4 5 4 2" xfId="12420"/>
    <cellStyle name="Note 2 3 4 5 5" xfId="12421"/>
    <cellStyle name="Note 2 3 4 5 5 2" xfId="12422"/>
    <cellStyle name="Note 2 3 4 5 6" xfId="12423"/>
    <cellStyle name="Note 2 3 4 5 6 2" xfId="12424"/>
    <cellStyle name="Note 2 3 4 5 7" xfId="12425"/>
    <cellStyle name="Note 2 3 4 6" xfId="12426"/>
    <cellStyle name="Note 2 3 4 6 2" xfId="12427"/>
    <cellStyle name="Note 2 3 4 6 2 2" xfId="12428"/>
    <cellStyle name="Note 2 3 4 6 2 2 2" xfId="12429"/>
    <cellStyle name="Note 2 3 4 6 2 3" xfId="12430"/>
    <cellStyle name="Note 2 3 4 6 3" xfId="12431"/>
    <cellStyle name="Note 2 3 4 6 3 2" xfId="12432"/>
    <cellStyle name="Note 2 3 4 6 3 2 2" xfId="12433"/>
    <cellStyle name="Note 2 3 4 6 3 3" xfId="12434"/>
    <cellStyle name="Note 2 3 4 6 4" xfId="12435"/>
    <cellStyle name="Note 2 3 4 6 4 2" xfId="12436"/>
    <cellStyle name="Note 2 3 4 6 5" xfId="12437"/>
    <cellStyle name="Note 2 3 4 6 5 2" xfId="12438"/>
    <cellStyle name="Note 2 3 4 6 6" xfId="12439"/>
    <cellStyle name="Note 2 3 4 6 6 2" xfId="12440"/>
    <cellStyle name="Note 2 3 4 6 7" xfId="12441"/>
    <cellStyle name="Note 2 3 4 7" xfId="12442"/>
    <cellStyle name="Note 2 3 4 7 2" xfId="12443"/>
    <cellStyle name="Note 2 3 4 8" xfId="12444"/>
    <cellStyle name="Note 2 3 4 8 2" xfId="12445"/>
    <cellStyle name="Note 2 3 5" xfId="12446"/>
    <cellStyle name="Note 2 3 5 2" xfId="12447"/>
    <cellStyle name="Note 2 3 5 2 2" xfId="12448"/>
    <cellStyle name="Note 2 3 5 2 2 2" xfId="12449"/>
    <cellStyle name="Note 2 3 5 2 2 2 2" xfId="12450"/>
    <cellStyle name="Note 2 3 5 2 2 2 2 2" xfId="12451"/>
    <cellStyle name="Note 2 3 5 2 2 2 3" xfId="12452"/>
    <cellStyle name="Note 2 3 5 2 2 3" xfId="12453"/>
    <cellStyle name="Note 2 3 5 2 2 3 2" xfId="12454"/>
    <cellStyle name="Note 2 3 5 2 2 3 2 2" xfId="12455"/>
    <cellStyle name="Note 2 3 5 2 2 3 3" xfId="12456"/>
    <cellStyle name="Note 2 3 5 2 2 4" xfId="12457"/>
    <cellStyle name="Note 2 3 5 2 2 4 2" xfId="12458"/>
    <cellStyle name="Note 2 3 5 2 2 5" xfId="12459"/>
    <cellStyle name="Note 2 3 5 2 2 5 2" xfId="12460"/>
    <cellStyle name="Note 2 3 5 2 2 6" xfId="12461"/>
    <cellStyle name="Note 2 3 5 2 2 6 2" xfId="12462"/>
    <cellStyle name="Note 2 3 5 2 2 7" xfId="12463"/>
    <cellStyle name="Note 2 3 5 2 3" xfId="12464"/>
    <cellStyle name="Note 2 3 5 2 3 2" xfId="12465"/>
    <cellStyle name="Note 2 3 5 2 3 2 2" xfId="12466"/>
    <cellStyle name="Note 2 3 5 2 3 2 2 2" xfId="12467"/>
    <cellStyle name="Note 2 3 5 2 3 2 3" xfId="12468"/>
    <cellStyle name="Note 2 3 5 2 3 3" xfId="12469"/>
    <cellStyle name="Note 2 3 5 2 3 3 2" xfId="12470"/>
    <cellStyle name="Note 2 3 5 2 3 3 2 2" xfId="12471"/>
    <cellStyle name="Note 2 3 5 2 3 3 3" xfId="12472"/>
    <cellStyle name="Note 2 3 5 2 3 4" xfId="12473"/>
    <cellStyle name="Note 2 3 5 2 3 4 2" xfId="12474"/>
    <cellStyle name="Note 2 3 5 2 3 5" xfId="12475"/>
    <cellStyle name="Note 2 3 5 2 3 5 2" xfId="12476"/>
    <cellStyle name="Note 2 3 5 2 3 6" xfId="12477"/>
    <cellStyle name="Note 2 3 5 2 3 6 2" xfId="12478"/>
    <cellStyle name="Note 2 3 5 2 3 7" xfId="12479"/>
    <cellStyle name="Note 2 3 5 2 4" xfId="12480"/>
    <cellStyle name="Note 2 3 5 2 4 2" xfId="12481"/>
    <cellStyle name="Note 2 3 5 2 5" xfId="12482"/>
    <cellStyle name="Note 2 3 5 2 5 2" xfId="12483"/>
    <cellStyle name="Note 2 3 5 3" xfId="12484"/>
    <cellStyle name="Note 2 3 5 3 2" xfId="12485"/>
    <cellStyle name="Note 2 3 5 3 2 2" xfId="12486"/>
    <cellStyle name="Note 2 3 5 3 2 2 2" xfId="12487"/>
    <cellStyle name="Note 2 3 5 3 2 2 2 2" xfId="12488"/>
    <cellStyle name="Note 2 3 5 3 2 2 3" xfId="12489"/>
    <cellStyle name="Note 2 3 5 3 2 3" xfId="12490"/>
    <cellStyle name="Note 2 3 5 3 2 3 2" xfId="12491"/>
    <cellStyle name="Note 2 3 5 3 2 3 2 2" xfId="12492"/>
    <cellStyle name="Note 2 3 5 3 2 3 3" xfId="12493"/>
    <cellStyle name="Note 2 3 5 3 2 4" xfId="12494"/>
    <cellStyle name="Note 2 3 5 3 2 4 2" xfId="12495"/>
    <cellStyle name="Note 2 3 5 3 2 5" xfId="12496"/>
    <cellStyle name="Note 2 3 5 3 2 5 2" xfId="12497"/>
    <cellStyle name="Note 2 3 5 3 2 6" xfId="12498"/>
    <cellStyle name="Note 2 3 5 3 2 6 2" xfId="12499"/>
    <cellStyle name="Note 2 3 5 3 2 7" xfId="12500"/>
    <cellStyle name="Note 2 3 5 3 3" xfId="12501"/>
    <cellStyle name="Note 2 3 5 3 3 2" xfId="12502"/>
    <cellStyle name="Note 2 3 5 3 3 2 2" xfId="12503"/>
    <cellStyle name="Note 2 3 5 3 3 2 2 2" xfId="12504"/>
    <cellStyle name="Note 2 3 5 3 3 2 3" xfId="12505"/>
    <cellStyle name="Note 2 3 5 3 3 3" xfId="12506"/>
    <cellStyle name="Note 2 3 5 3 3 3 2" xfId="12507"/>
    <cellStyle name="Note 2 3 5 3 3 3 2 2" xfId="12508"/>
    <cellStyle name="Note 2 3 5 3 3 3 3" xfId="12509"/>
    <cellStyle name="Note 2 3 5 3 3 4" xfId="12510"/>
    <cellStyle name="Note 2 3 5 3 3 4 2" xfId="12511"/>
    <cellStyle name="Note 2 3 5 3 3 5" xfId="12512"/>
    <cellStyle name="Note 2 3 5 3 3 5 2" xfId="12513"/>
    <cellStyle name="Note 2 3 5 3 3 6" xfId="12514"/>
    <cellStyle name="Note 2 3 5 3 3 6 2" xfId="12515"/>
    <cellStyle name="Note 2 3 5 3 3 7" xfId="12516"/>
    <cellStyle name="Note 2 3 5 3 4" xfId="12517"/>
    <cellStyle name="Note 2 3 5 3 4 2" xfId="12518"/>
    <cellStyle name="Note 2 3 5 3 5" xfId="12519"/>
    <cellStyle name="Note 2 3 5 3 5 2" xfId="12520"/>
    <cellStyle name="Note 2 3 5 4" xfId="12521"/>
    <cellStyle name="Note 2 3 5 4 2" xfId="12522"/>
    <cellStyle name="Note 2 3 5 4 2 2" xfId="12523"/>
    <cellStyle name="Note 2 3 5 4 2 2 2" xfId="12524"/>
    <cellStyle name="Note 2 3 5 4 2 3" xfId="12525"/>
    <cellStyle name="Note 2 3 5 4 3" xfId="12526"/>
    <cellStyle name="Note 2 3 5 4 3 2" xfId="12527"/>
    <cellStyle name="Note 2 3 5 4 3 2 2" xfId="12528"/>
    <cellStyle name="Note 2 3 5 4 3 3" xfId="12529"/>
    <cellStyle name="Note 2 3 5 4 4" xfId="12530"/>
    <cellStyle name="Note 2 3 5 4 4 2" xfId="12531"/>
    <cellStyle name="Note 2 3 5 4 5" xfId="12532"/>
    <cellStyle name="Note 2 3 5 4 5 2" xfId="12533"/>
    <cellStyle name="Note 2 3 5 4 6" xfId="12534"/>
    <cellStyle name="Note 2 3 5 4 6 2" xfId="12535"/>
    <cellStyle name="Note 2 3 5 4 7" xfId="12536"/>
    <cellStyle name="Note 2 3 5 5" xfId="12537"/>
    <cellStyle name="Note 2 3 5 5 2" xfId="12538"/>
    <cellStyle name="Note 2 3 5 5 2 2" xfId="12539"/>
    <cellStyle name="Note 2 3 5 5 2 2 2" xfId="12540"/>
    <cellStyle name="Note 2 3 5 5 2 3" xfId="12541"/>
    <cellStyle name="Note 2 3 5 5 3" xfId="12542"/>
    <cellStyle name="Note 2 3 5 5 3 2" xfId="12543"/>
    <cellStyle name="Note 2 3 5 5 3 2 2" xfId="12544"/>
    <cellStyle name="Note 2 3 5 5 3 3" xfId="12545"/>
    <cellStyle name="Note 2 3 5 5 4" xfId="12546"/>
    <cellStyle name="Note 2 3 5 5 4 2" xfId="12547"/>
    <cellStyle name="Note 2 3 5 5 5" xfId="12548"/>
    <cellStyle name="Note 2 3 5 5 5 2" xfId="12549"/>
    <cellStyle name="Note 2 3 5 5 6" xfId="12550"/>
    <cellStyle name="Note 2 3 5 5 6 2" xfId="12551"/>
    <cellStyle name="Note 2 3 5 5 7" xfId="12552"/>
    <cellStyle name="Note 2 3 5 6" xfId="12553"/>
    <cellStyle name="Note 2 3 5 6 2" xfId="12554"/>
    <cellStyle name="Note 2 3 5 6 2 2" xfId="12555"/>
    <cellStyle name="Note 2 3 5 6 2 2 2" xfId="12556"/>
    <cellStyle name="Note 2 3 5 6 2 3" xfId="12557"/>
    <cellStyle name="Note 2 3 5 6 3" xfId="12558"/>
    <cellStyle name="Note 2 3 5 6 3 2" xfId="12559"/>
    <cellStyle name="Note 2 3 5 6 3 2 2" xfId="12560"/>
    <cellStyle name="Note 2 3 5 6 3 3" xfId="12561"/>
    <cellStyle name="Note 2 3 5 6 4" xfId="12562"/>
    <cellStyle name="Note 2 3 5 6 4 2" xfId="12563"/>
    <cellStyle name="Note 2 3 5 6 5" xfId="12564"/>
    <cellStyle name="Note 2 3 5 6 5 2" xfId="12565"/>
    <cellStyle name="Note 2 3 5 6 6" xfId="12566"/>
    <cellStyle name="Note 2 3 5 6 6 2" xfId="12567"/>
    <cellStyle name="Note 2 3 5 6 7" xfId="12568"/>
    <cellStyle name="Note 2 3 5 7" xfId="12569"/>
    <cellStyle name="Note 2 3 5 7 2" xfId="12570"/>
    <cellStyle name="Note 2 3 5 8" xfId="12571"/>
    <cellStyle name="Note 2 3 5 8 2" xfId="12572"/>
    <cellStyle name="Note 2 3 6" xfId="12573"/>
    <cellStyle name="Note 2 3 6 2" xfId="12574"/>
    <cellStyle name="Note 2 3 6 2 2" xfId="12575"/>
    <cellStyle name="Note 2 3 6 2 2 2" xfId="12576"/>
    <cellStyle name="Note 2 3 6 2 2 2 2" xfId="12577"/>
    <cellStyle name="Note 2 3 6 2 2 2 2 2" xfId="12578"/>
    <cellStyle name="Note 2 3 6 2 2 2 3" xfId="12579"/>
    <cellStyle name="Note 2 3 6 2 2 3" xfId="12580"/>
    <cellStyle name="Note 2 3 6 2 2 3 2" xfId="12581"/>
    <cellStyle name="Note 2 3 6 2 2 3 2 2" xfId="12582"/>
    <cellStyle name="Note 2 3 6 2 2 3 3" xfId="12583"/>
    <cellStyle name="Note 2 3 6 2 2 4" xfId="12584"/>
    <cellStyle name="Note 2 3 6 2 2 4 2" xfId="12585"/>
    <cellStyle name="Note 2 3 6 2 2 5" xfId="12586"/>
    <cellStyle name="Note 2 3 6 2 2 5 2" xfId="12587"/>
    <cellStyle name="Note 2 3 6 2 2 6" xfId="12588"/>
    <cellStyle name="Note 2 3 6 2 2 6 2" xfId="12589"/>
    <cellStyle name="Note 2 3 6 2 2 7" xfId="12590"/>
    <cellStyle name="Note 2 3 6 2 3" xfId="12591"/>
    <cellStyle name="Note 2 3 6 2 3 2" xfId="12592"/>
    <cellStyle name="Note 2 3 6 2 3 2 2" xfId="12593"/>
    <cellStyle name="Note 2 3 6 2 3 2 2 2" xfId="12594"/>
    <cellStyle name="Note 2 3 6 2 3 2 3" xfId="12595"/>
    <cellStyle name="Note 2 3 6 2 3 3" xfId="12596"/>
    <cellStyle name="Note 2 3 6 2 3 3 2" xfId="12597"/>
    <cellStyle name="Note 2 3 6 2 3 3 2 2" xfId="12598"/>
    <cellStyle name="Note 2 3 6 2 3 3 3" xfId="12599"/>
    <cellStyle name="Note 2 3 6 2 3 4" xfId="12600"/>
    <cellStyle name="Note 2 3 6 2 3 4 2" xfId="12601"/>
    <cellStyle name="Note 2 3 6 2 3 5" xfId="12602"/>
    <cellStyle name="Note 2 3 6 2 3 5 2" xfId="12603"/>
    <cellStyle name="Note 2 3 6 2 3 6" xfId="12604"/>
    <cellStyle name="Note 2 3 6 2 3 6 2" xfId="12605"/>
    <cellStyle name="Note 2 3 6 2 3 7" xfId="12606"/>
    <cellStyle name="Note 2 3 6 2 4" xfId="12607"/>
    <cellStyle name="Note 2 3 6 2 4 2" xfId="12608"/>
    <cellStyle name="Note 2 3 6 2 5" xfId="12609"/>
    <cellStyle name="Note 2 3 6 2 5 2" xfId="12610"/>
    <cellStyle name="Note 2 3 6 3" xfId="12611"/>
    <cellStyle name="Note 2 3 6 3 2" xfId="12612"/>
    <cellStyle name="Note 2 3 6 3 2 2" xfId="12613"/>
    <cellStyle name="Note 2 3 6 3 2 2 2" xfId="12614"/>
    <cellStyle name="Note 2 3 6 3 2 2 2 2" xfId="12615"/>
    <cellStyle name="Note 2 3 6 3 2 2 3" xfId="12616"/>
    <cellStyle name="Note 2 3 6 3 2 3" xfId="12617"/>
    <cellStyle name="Note 2 3 6 3 2 3 2" xfId="12618"/>
    <cellStyle name="Note 2 3 6 3 2 3 2 2" xfId="12619"/>
    <cellStyle name="Note 2 3 6 3 2 3 3" xfId="12620"/>
    <cellStyle name="Note 2 3 6 3 2 4" xfId="12621"/>
    <cellStyle name="Note 2 3 6 3 2 4 2" xfId="12622"/>
    <cellStyle name="Note 2 3 6 3 2 5" xfId="12623"/>
    <cellStyle name="Note 2 3 6 3 2 5 2" xfId="12624"/>
    <cellStyle name="Note 2 3 6 3 2 6" xfId="12625"/>
    <cellStyle name="Note 2 3 6 3 2 6 2" xfId="12626"/>
    <cellStyle name="Note 2 3 6 3 2 7" xfId="12627"/>
    <cellStyle name="Note 2 3 6 3 3" xfId="12628"/>
    <cellStyle name="Note 2 3 6 3 3 2" xfId="12629"/>
    <cellStyle name="Note 2 3 6 3 3 2 2" xfId="12630"/>
    <cellStyle name="Note 2 3 6 3 3 2 2 2" xfId="12631"/>
    <cellStyle name="Note 2 3 6 3 3 2 3" xfId="12632"/>
    <cellStyle name="Note 2 3 6 3 3 3" xfId="12633"/>
    <cellStyle name="Note 2 3 6 3 3 3 2" xfId="12634"/>
    <cellStyle name="Note 2 3 6 3 3 3 2 2" xfId="12635"/>
    <cellStyle name="Note 2 3 6 3 3 3 3" xfId="12636"/>
    <cellStyle name="Note 2 3 6 3 3 4" xfId="12637"/>
    <cellStyle name="Note 2 3 6 3 3 4 2" xfId="12638"/>
    <cellStyle name="Note 2 3 6 3 3 5" xfId="12639"/>
    <cellStyle name="Note 2 3 6 3 3 5 2" xfId="12640"/>
    <cellStyle name="Note 2 3 6 3 3 6" xfId="12641"/>
    <cellStyle name="Note 2 3 6 3 3 6 2" xfId="12642"/>
    <cellStyle name="Note 2 3 6 3 3 7" xfId="12643"/>
    <cellStyle name="Note 2 3 6 3 4" xfId="12644"/>
    <cellStyle name="Note 2 3 6 3 4 2" xfId="12645"/>
    <cellStyle name="Note 2 3 6 3 5" xfId="12646"/>
    <cellStyle name="Note 2 3 6 3 5 2" xfId="12647"/>
    <cellStyle name="Note 2 3 6 4" xfId="12648"/>
    <cellStyle name="Note 2 3 6 4 2" xfId="12649"/>
    <cellStyle name="Note 2 3 6 4 2 2" xfId="12650"/>
    <cellStyle name="Note 2 3 6 4 2 2 2" xfId="12651"/>
    <cellStyle name="Note 2 3 6 4 2 3" xfId="12652"/>
    <cellStyle name="Note 2 3 6 4 3" xfId="12653"/>
    <cellStyle name="Note 2 3 6 4 3 2" xfId="12654"/>
    <cellStyle name="Note 2 3 6 4 3 2 2" xfId="12655"/>
    <cellStyle name="Note 2 3 6 4 3 3" xfId="12656"/>
    <cellStyle name="Note 2 3 6 4 4" xfId="12657"/>
    <cellStyle name="Note 2 3 6 4 4 2" xfId="12658"/>
    <cellStyle name="Note 2 3 6 4 5" xfId="12659"/>
    <cellStyle name="Note 2 3 6 4 5 2" xfId="12660"/>
    <cellStyle name="Note 2 3 6 4 6" xfId="12661"/>
    <cellStyle name="Note 2 3 6 4 6 2" xfId="12662"/>
    <cellStyle name="Note 2 3 6 4 7" xfId="12663"/>
    <cellStyle name="Note 2 3 6 5" xfId="12664"/>
    <cellStyle name="Note 2 3 6 5 2" xfId="12665"/>
    <cellStyle name="Note 2 3 6 5 2 2" xfId="12666"/>
    <cellStyle name="Note 2 3 6 5 2 2 2" xfId="12667"/>
    <cellStyle name="Note 2 3 6 5 2 3" xfId="12668"/>
    <cellStyle name="Note 2 3 6 5 3" xfId="12669"/>
    <cellStyle name="Note 2 3 6 5 3 2" xfId="12670"/>
    <cellStyle name="Note 2 3 6 5 3 2 2" xfId="12671"/>
    <cellStyle name="Note 2 3 6 5 3 3" xfId="12672"/>
    <cellStyle name="Note 2 3 6 5 4" xfId="12673"/>
    <cellStyle name="Note 2 3 6 5 4 2" xfId="12674"/>
    <cellStyle name="Note 2 3 6 5 5" xfId="12675"/>
    <cellStyle name="Note 2 3 6 5 5 2" xfId="12676"/>
    <cellStyle name="Note 2 3 6 5 6" xfId="12677"/>
    <cellStyle name="Note 2 3 6 5 6 2" xfId="12678"/>
    <cellStyle name="Note 2 3 6 5 7" xfId="12679"/>
    <cellStyle name="Note 2 3 6 6" xfId="12680"/>
    <cellStyle name="Note 2 3 6 6 2" xfId="12681"/>
    <cellStyle name="Note 2 3 6 6 2 2" xfId="12682"/>
    <cellStyle name="Note 2 3 6 6 2 2 2" xfId="12683"/>
    <cellStyle name="Note 2 3 6 6 2 3" xfId="12684"/>
    <cellStyle name="Note 2 3 6 6 3" xfId="12685"/>
    <cellStyle name="Note 2 3 6 6 3 2" xfId="12686"/>
    <cellStyle name="Note 2 3 6 6 3 2 2" xfId="12687"/>
    <cellStyle name="Note 2 3 6 6 3 3" xfId="12688"/>
    <cellStyle name="Note 2 3 6 6 4" xfId="12689"/>
    <cellStyle name="Note 2 3 6 6 4 2" xfId="12690"/>
    <cellStyle name="Note 2 3 6 6 5" xfId="12691"/>
    <cellStyle name="Note 2 3 6 6 5 2" xfId="12692"/>
    <cellStyle name="Note 2 3 6 6 6" xfId="12693"/>
    <cellStyle name="Note 2 3 6 6 6 2" xfId="12694"/>
    <cellStyle name="Note 2 3 6 6 7" xfId="12695"/>
    <cellStyle name="Note 2 3 6 7" xfId="12696"/>
    <cellStyle name="Note 2 3 6 7 2" xfId="12697"/>
    <cellStyle name="Note 2 3 6 8" xfId="12698"/>
    <cellStyle name="Note 2 3 6 8 2" xfId="12699"/>
    <cellStyle name="Note 2 3 7" xfId="12700"/>
    <cellStyle name="Note 2 3 7 2" xfId="12701"/>
    <cellStyle name="Note 2 3 7 2 2" xfId="12702"/>
    <cellStyle name="Note 2 3 7 2 2 2" xfId="12703"/>
    <cellStyle name="Note 2 3 7 2 2 2 2" xfId="12704"/>
    <cellStyle name="Note 2 3 7 2 2 2 2 2" xfId="12705"/>
    <cellStyle name="Note 2 3 7 2 2 2 3" xfId="12706"/>
    <cellStyle name="Note 2 3 7 2 2 3" xfId="12707"/>
    <cellStyle name="Note 2 3 7 2 2 3 2" xfId="12708"/>
    <cellStyle name="Note 2 3 7 2 2 3 2 2" xfId="12709"/>
    <cellStyle name="Note 2 3 7 2 2 3 3" xfId="12710"/>
    <cellStyle name="Note 2 3 7 2 2 4" xfId="12711"/>
    <cellStyle name="Note 2 3 7 2 2 4 2" xfId="12712"/>
    <cellStyle name="Note 2 3 7 2 2 5" xfId="12713"/>
    <cellStyle name="Note 2 3 7 2 2 5 2" xfId="12714"/>
    <cellStyle name="Note 2 3 7 2 2 6" xfId="12715"/>
    <cellStyle name="Note 2 3 7 2 2 6 2" xfId="12716"/>
    <cellStyle name="Note 2 3 7 2 2 7" xfId="12717"/>
    <cellStyle name="Note 2 3 7 2 3" xfId="12718"/>
    <cellStyle name="Note 2 3 7 2 3 2" xfId="12719"/>
    <cellStyle name="Note 2 3 7 2 3 2 2" xfId="12720"/>
    <cellStyle name="Note 2 3 7 2 3 2 2 2" xfId="12721"/>
    <cellStyle name="Note 2 3 7 2 3 2 3" xfId="12722"/>
    <cellStyle name="Note 2 3 7 2 3 3" xfId="12723"/>
    <cellStyle name="Note 2 3 7 2 3 3 2" xfId="12724"/>
    <cellStyle name="Note 2 3 7 2 3 3 2 2" xfId="12725"/>
    <cellStyle name="Note 2 3 7 2 3 3 3" xfId="12726"/>
    <cellStyle name="Note 2 3 7 2 3 4" xfId="12727"/>
    <cellStyle name="Note 2 3 7 2 3 4 2" xfId="12728"/>
    <cellStyle name="Note 2 3 7 2 3 5" xfId="12729"/>
    <cellStyle name="Note 2 3 7 2 3 5 2" xfId="12730"/>
    <cellStyle name="Note 2 3 7 2 3 6" xfId="12731"/>
    <cellStyle name="Note 2 3 7 2 3 6 2" xfId="12732"/>
    <cellStyle name="Note 2 3 7 2 3 7" xfId="12733"/>
    <cellStyle name="Note 2 3 7 2 4" xfId="12734"/>
    <cellStyle name="Note 2 3 7 2 4 2" xfId="12735"/>
    <cellStyle name="Note 2 3 7 2 5" xfId="12736"/>
    <cellStyle name="Note 2 3 7 2 5 2" xfId="12737"/>
    <cellStyle name="Note 2 3 7 3" xfId="12738"/>
    <cellStyle name="Note 2 3 7 3 2" xfId="12739"/>
    <cellStyle name="Note 2 3 7 3 2 2" xfId="12740"/>
    <cellStyle name="Note 2 3 7 3 2 2 2" xfId="12741"/>
    <cellStyle name="Note 2 3 7 3 2 2 2 2" xfId="12742"/>
    <cellStyle name="Note 2 3 7 3 2 2 3" xfId="12743"/>
    <cellStyle name="Note 2 3 7 3 2 3" xfId="12744"/>
    <cellStyle name="Note 2 3 7 3 2 3 2" xfId="12745"/>
    <cellStyle name="Note 2 3 7 3 2 3 2 2" xfId="12746"/>
    <cellStyle name="Note 2 3 7 3 2 3 3" xfId="12747"/>
    <cellStyle name="Note 2 3 7 3 2 4" xfId="12748"/>
    <cellStyle name="Note 2 3 7 3 2 4 2" xfId="12749"/>
    <cellStyle name="Note 2 3 7 3 2 5" xfId="12750"/>
    <cellStyle name="Note 2 3 7 3 2 5 2" xfId="12751"/>
    <cellStyle name="Note 2 3 7 3 2 6" xfId="12752"/>
    <cellStyle name="Note 2 3 7 3 2 6 2" xfId="12753"/>
    <cellStyle name="Note 2 3 7 3 2 7" xfId="12754"/>
    <cellStyle name="Note 2 3 7 3 3" xfId="12755"/>
    <cellStyle name="Note 2 3 7 3 3 2" xfId="12756"/>
    <cellStyle name="Note 2 3 7 3 3 2 2" xfId="12757"/>
    <cellStyle name="Note 2 3 7 3 3 2 2 2" xfId="12758"/>
    <cellStyle name="Note 2 3 7 3 3 2 3" xfId="12759"/>
    <cellStyle name="Note 2 3 7 3 3 3" xfId="12760"/>
    <cellStyle name="Note 2 3 7 3 3 3 2" xfId="12761"/>
    <cellStyle name="Note 2 3 7 3 3 3 2 2" xfId="12762"/>
    <cellStyle name="Note 2 3 7 3 3 3 3" xfId="12763"/>
    <cellStyle name="Note 2 3 7 3 3 4" xfId="12764"/>
    <cellStyle name="Note 2 3 7 3 3 4 2" xfId="12765"/>
    <cellStyle name="Note 2 3 7 3 3 5" xfId="12766"/>
    <cellStyle name="Note 2 3 7 3 3 5 2" xfId="12767"/>
    <cellStyle name="Note 2 3 7 3 3 6" xfId="12768"/>
    <cellStyle name="Note 2 3 7 3 3 6 2" xfId="12769"/>
    <cellStyle name="Note 2 3 7 3 3 7" xfId="12770"/>
    <cellStyle name="Note 2 3 7 3 4" xfId="12771"/>
    <cellStyle name="Note 2 3 7 3 4 2" xfId="12772"/>
    <cellStyle name="Note 2 3 7 3 5" xfId="12773"/>
    <cellStyle name="Note 2 3 7 3 5 2" xfId="12774"/>
    <cellStyle name="Note 2 3 7 4" xfId="12775"/>
    <cellStyle name="Note 2 3 7 4 2" xfId="12776"/>
    <cellStyle name="Note 2 3 7 4 2 2" xfId="12777"/>
    <cellStyle name="Note 2 3 7 4 2 2 2" xfId="12778"/>
    <cellStyle name="Note 2 3 7 4 2 3" xfId="12779"/>
    <cellStyle name="Note 2 3 7 4 3" xfId="12780"/>
    <cellStyle name="Note 2 3 7 4 3 2" xfId="12781"/>
    <cellStyle name="Note 2 3 7 4 3 2 2" xfId="12782"/>
    <cellStyle name="Note 2 3 7 4 3 3" xfId="12783"/>
    <cellStyle name="Note 2 3 7 4 4" xfId="12784"/>
    <cellStyle name="Note 2 3 7 4 4 2" xfId="12785"/>
    <cellStyle name="Note 2 3 7 4 5" xfId="12786"/>
    <cellStyle name="Note 2 3 7 4 5 2" xfId="12787"/>
    <cellStyle name="Note 2 3 7 4 6" xfId="12788"/>
    <cellStyle name="Note 2 3 7 4 6 2" xfId="12789"/>
    <cellStyle name="Note 2 3 7 4 7" xfId="12790"/>
    <cellStyle name="Note 2 3 7 5" xfId="12791"/>
    <cellStyle name="Note 2 3 7 5 2" xfId="12792"/>
    <cellStyle name="Note 2 3 7 5 2 2" xfId="12793"/>
    <cellStyle name="Note 2 3 7 5 2 2 2" xfId="12794"/>
    <cellStyle name="Note 2 3 7 5 2 3" xfId="12795"/>
    <cellStyle name="Note 2 3 7 5 3" xfId="12796"/>
    <cellStyle name="Note 2 3 7 5 3 2" xfId="12797"/>
    <cellStyle name="Note 2 3 7 5 3 2 2" xfId="12798"/>
    <cellStyle name="Note 2 3 7 5 3 3" xfId="12799"/>
    <cellStyle name="Note 2 3 7 5 4" xfId="12800"/>
    <cellStyle name="Note 2 3 7 5 4 2" xfId="12801"/>
    <cellStyle name="Note 2 3 7 5 5" xfId="12802"/>
    <cellStyle name="Note 2 3 7 5 5 2" xfId="12803"/>
    <cellStyle name="Note 2 3 7 5 6" xfId="12804"/>
    <cellStyle name="Note 2 3 7 5 6 2" xfId="12805"/>
    <cellStyle name="Note 2 3 7 5 7" xfId="12806"/>
    <cellStyle name="Note 2 3 7 6" xfId="12807"/>
    <cellStyle name="Note 2 3 7 6 2" xfId="12808"/>
    <cellStyle name="Note 2 3 7 7" xfId="12809"/>
    <cellStyle name="Note 2 3 7 7 2" xfId="12810"/>
    <cellStyle name="Note 2 3 8" xfId="12811"/>
    <cellStyle name="Note 2 3 8 2" xfId="12812"/>
    <cellStyle name="Note 2 3 8 2 2" xfId="12813"/>
    <cellStyle name="Note 2 3 8 2 2 2" xfId="12814"/>
    <cellStyle name="Note 2 3 8 2 2 2 2" xfId="12815"/>
    <cellStyle name="Note 2 3 8 2 2 3" xfId="12816"/>
    <cellStyle name="Note 2 3 8 2 3" xfId="12817"/>
    <cellStyle name="Note 2 3 8 2 3 2" xfId="12818"/>
    <cellStyle name="Note 2 3 8 2 3 2 2" xfId="12819"/>
    <cellStyle name="Note 2 3 8 2 3 3" xfId="12820"/>
    <cellStyle name="Note 2 3 8 2 4" xfId="12821"/>
    <cellStyle name="Note 2 3 8 2 4 2" xfId="12822"/>
    <cellStyle name="Note 2 3 8 2 5" xfId="12823"/>
    <cellStyle name="Note 2 3 8 2 5 2" xfId="12824"/>
    <cellStyle name="Note 2 3 8 2 6" xfId="12825"/>
    <cellStyle name="Note 2 3 8 2 6 2" xfId="12826"/>
    <cellStyle name="Note 2 3 8 2 7" xfId="12827"/>
    <cellStyle name="Note 2 3 8 3" xfId="12828"/>
    <cellStyle name="Note 2 3 8 3 2" xfId="12829"/>
    <cellStyle name="Note 2 3 8 3 2 2" xfId="12830"/>
    <cellStyle name="Note 2 3 8 3 2 2 2" xfId="12831"/>
    <cellStyle name="Note 2 3 8 3 2 3" xfId="12832"/>
    <cellStyle name="Note 2 3 8 3 3" xfId="12833"/>
    <cellStyle name="Note 2 3 8 3 3 2" xfId="12834"/>
    <cellStyle name="Note 2 3 8 3 3 2 2" xfId="12835"/>
    <cellStyle name="Note 2 3 8 3 3 3" xfId="12836"/>
    <cellStyle name="Note 2 3 8 3 4" xfId="12837"/>
    <cellStyle name="Note 2 3 8 3 4 2" xfId="12838"/>
    <cellStyle name="Note 2 3 8 3 5" xfId="12839"/>
    <cellStyle name="Note 2 3 8 3 5 2" xfId="12840"/>
    <cellStyle name="Note 2 3 8 3 6" xfId="12841"/>
    <cellStyle name="Note 2 3 8 3 6 2" xfId="12842"/>
    <cellStyle name="Note 2 3 8 3 7" xfId="12843"/>
    <cellStyle name="Note 2 3 8 4" xfId="12844"/>
    <cellStyle name="Note 2 3 8 4 2" xfId="12845"/>
    <cellStyle name="Note 2 3 8 5" xfId="12846"/>
    <cellStyle name="Note 2 3 8 5 2" xfId="12847"/>
    <cellStyle name="Note 2 3 9" xfId="12848"/>
    <cellStyle name="Note 2 3 9 2" xfId="12849"/>
    <cellStyle name="Note 2 3 9 2 2" xfId="12850"/>
    <cellStyle name="Note 2 3 9 2 2 2" xfId="12851"/>
    <cellStyle name="Note 2 3 9 2 2 2 2" xfId="12852"/>
    <cellStyle name="Note 2 3 9 2 2 3" xfId="12853"/>
    <cellStyle name="Note 2 3 9 2 3" xfId="12854"/>
    <cellStyle name="Note 2 3 9 2 3 2" xfId="12855"/>
    <cellStyle name="Note 2 3 9 2 3 2 2" xfId="12856"/>
    <cellStyle name="Note 2 3 9 2 3 3" xfId="12857"/>
    <cellStyle name="Note 2 3 9 2 4" xfId="12858"/>
    <cellStyle name="Note 2 3 9 2 4 2" xfId="12859"/>
    <cellStyle name="Note 2 3 9 2 5" xfId="12860"/>
    <cellStyle name="Note 2 3 9 2 5 2" xfId="12861"/>
    <cellStyle name="Note 2 3 9 2 6" xfId="12862"/>
    <cellStyle name="Note 2 3 9 2 6 2" xfId="12863"/>
    <cellStyle name="Note 2 3 9 2 7" xfId="12864"/>
    <cellStyle name="Note 2 3 9 3" xfId="12865"/>
    <cellStyle name="Note 2 3 9 3 2" xfId="12866"/>
    <cellStyle name="Note 2 3 9 3 2 2" xfId="12867"/>
    <cellStyle name="Note 2 3 9 3 2 2 2" xfId="12868"/>
    <cellStyle name="Note 2 3 9 3 2 3" xfId="12869"/>
    <cellStyle name="Note 2 3 9 3 3" xfId="12870"/>
    <cellStyle name="Note 2 3 9 3 3 2" xfId="12871"/>
    <cellStyle name="Note 2 3 9 3 3 2 2" xfId="12872"/>
    <cellStyle name="Note 2 3 9 3 3 3" xfId="12873"/>
    <cellStyle name="Note 2 3 9 3 4" xfId="12874"/>
    <cellStyle name="Note 2 3 9 3 4 2" xfId="12875"/>
    <cellStyle name="Note 2 3 9 3 5" xfId="12876"/>
    <cellStyle name="Note 2 3 9 3 5 2" xfId="12877"/>
    <cellStyle name="Note 2 3 9 3 6" xfId="12878"/>
    <cellStyle name="Note 2 3 9 3 6 2" xfId="12879"/>
    <cellStyle name="Note 2 3 9 3 7" xfId="12880"/>
    <cellStyle name="Note 2 3 9 4" xfId="12881"/>
    <cellStyle name="Note 2 3 9 4 2" xfId="12882"/>
    <cellStyle name="Note 2 3 9 5" xfId="12883"/>
    <cellStyle name="Note 2 3 9 5 2" xfId="12884"/>
    <cellStyle name="Note 2 4" xfId="12885"/>
    <cellStyle name="Note 2 4 2" xfId="12886"/>
    <cellStyle name="Note 2 4 2 2" xfId="12887"/>
    <cellStyle name="Note 2 4 2 2 2" xfId="12888"/>
    <cellStyle name="Note 2 4 2 2 2 2" xfId="12889"/>
    <cellStyle name="Note 2 4 2 2 3" xfId="12890"/>
    <cellStyle name="Note 2 4 2 3" xfId="12891"/>
    <cellStyle name="Note 2 4 2 3 2" xfId="12892"/>
    <cellStyle name="Note 2 4 2 3 2 2" xfId="12893"/>
    <cellStyle name="Note 2 4 2 3 3" xfId="12894"/>
    <cellStyle name="Note 2 4 2 4" xfId="12895"/>
    <cellStyle name="Note 2 4 2 4 2" xfId="12896"/>
    <cellStyle name="Note 2 4 2 5" xfId="12897"/>
    <cellStyle name="Note 2 4 2 5 2" xfId="12898"/>
    <cellStyle name="Note 2 4 2 6" xfId="12899"/>
    <cellStyle name="Note 2 4 2 6 2" xfId="12900"/>
    <cellStyle name="Note 2 4 2 7" xfId="12901"/>
    <cellStyle name="Note 2 4 3" xfId="12902"/>
    <cellStyle name="Note 2 4 3 2" xfId="12903"/>
    <cellStyle name="Note 2 4 3 2 2" xfId="12904"/>
    <cellStyle name="Note 2 4 3 2 2 2" xfId="12905"/>
    <cellStyle name="Note 2 4 3 2 3" xfId="12906"/>
    <cellStyle name="Note 2 4 3 3" xfId="12907"/>
    <cellStyle name="Note 2 4 3 3 2" xfId="12908"/>
    <cellStyle name="Note 2 4 3 3 2 2" xfId="12909"/>
    <cellStyle name="Note 2 4 3 3 3" xfId="12910"/>
    <cellStyle name="Note 2 4 3 4" xfId="12911"/>
    <cellStyle name="Note 2 4 3 4 2" xfId="12912"/>
    <cellStyle name="Note 2 4 3 5" xfId="12913"/>
    <cellStyle name="Note 2 4 3 5 2" xfId="12914"/>
    <cellStyle name="Note 2 4 3 6" xfId="12915"/>
    <cellStyle name="Note 2 4 3 6 2" xfId="12916"/>
    <cellStyle name="Note 2 4 3 7" xfId="12917"/>
    <cellStyle name="Note 2 4 4" xfId="12918"/>
    <cellStyle name="Note 2 4 4 2" xfId="12919"/>
    <cellStyle name="Note 2 4 5" xfId="12920"/>
    <cellStyle name="Note 2 4 5 2" xfId="12921"/>
    <cellStyle name="Note 2 5" xfId="12922"/>
    <cellStyle name="Note 2 5 2" xfId="12923"/>
    <cellStyle name="Note 2 5 2 2" xfId="12924"/>
    <cellStyle name="Note 2 5 2 2 2" xfId="12925"/>
    <cellStyle name="Note 2 5 2 2 2 2" xfId="12926"/>
    <cellStyle name="Note 2 5 2 2 3" xfId="12927"/>
    <cellStyle name="Note 2 5 2 3" xfId="12928"/>
    <cellStyle name="Note 2 5 2 3 2" xfId="12929"/>
    <cellStyle name="Note 2 5 2 3 2 2" xfId="12930"/>
    <cellStyle name="Note 2 5 2 3 3" xfId="12931"/>
    <cellStyle name="Note 2 5 2 4" xfId="12932"/>
    <cellStyle name="Note 2 5 2 4 2" xfId="12933"/>
    <cellStyle name="Note 2 5 2 5" xfId="12934"/>
    <cellStyle name="Note 2 5 2 5 2" xfId="12935"/>
    <cellStyle name="Note 2 5 2 6" xfId="12936"/>
    <cellStyle name="Note 2 5 2 6 2" xfId="12937"/>
    <cellStyle name="Note 2 5 2 7" xfId="12938"/>
    <cellStyle name="Note 2 5 3" xfId="12939"/>
    <cellStyle name="Note 2 5 3 2" xfId="12940"/>
    <cellStyle name="Note 2 5 3 2 2" xfId="12941"/>
    <cellStyle name="Note 2 5 3 2 2 2" xfId="12942"/>
    <cellStyle name="Note 2 5 3 2 3" xfId="12943"/>
    <cellStyle name="Note 2 5 3 3" xfId="12944"/>
    <cellStyle name="Note 2 5 3 3 2" xfId="12945"/>
    <cellStyle name="Note 2 5 3 3 2 2" xfId="12946"/>
    <cellStyle name="Note 2 5 3 3 3" xfId="12947"/>
    <cellStyle name="Note 2 5 3 4" xfId="12948"/>
    <cellStyle name="Note 2 5 3 4 2" xfId="12949"/>
    <cellStyle name="Note 2 5 3 5" xfId="12950"/>
    <cellStyle name="Note 2 5 3 5 2" xfId="12951"/>
    <cellStyle name="Note 2 5 3 6" xfId="12952"/>
    <cellStyle name="Note 2 5 3 6 2" xfId="12953"/>
    <cellStyle name="Note 2 5 3 7" xfId="12954"/>
    <cellStyle name="Note 2 5 4" xfId="12955"/>
    <cellStyle name="Note 2 5 4 2" xfId="12956"/>
    <cellStyle name="Note 2 5 5" xfId="12957"/>
    <cellStyle name="Note 2 5 5 2" xfId="12958"/>
    <cellStyle name="Note 2 6" xfId="12959"/>
    <cellStyle name="Note 2 6 2" xfId="12960"/>
    <cellStyle name="Note 2 6 2 2" xfId="12961"/>
    <cellStyle name="Note 2 6 2 2 2" xfId="12962"/>
    <cellStyle name="Note 2 6 2 3" xfId="12963"/>
    <cellStyle name="Note 2 6 3" xfId="12964"/>
    <cellStyle name="Note 2 6 3 2" xfId="12965"/>
    <cellStyle name="Note 2 6 3 2 2" xfId="12966"/>
    <cellStyle name="Note 2 6 3 3" xfId="12967"/>
    <cellStyle name="Note 2 6 4" xfId="12968"/>
    <cellStyle name="Note 2 6 4 2" xfId="12969"/>
    <cellStyle name="Note 2 6 5" xfId="12970"/>
    <cellStyle name="Note 2 6 5 2" xfId="12971"/>
    <cellStyle name="Note 2 6 6" xfId="12972"/>
    <cellStyle name="Note 2 6 6 2" xfId="12973"/>
    <cellStyle name="Note 2 6 7" xfId="12974"/>
    <cellStyle name="Note 2 7" xfId="12975"/>
    <cellStyle name="Note 2 7 2" xfId="12976"/>
    <cellStyle name="Note 2 7 2 2" xfId="12977"/>
    <cellStyle name="Note 2 7 2 2 2" xfId="12978"/>
    <cellStyle name="Note 2 7 2 3" xfId="12979"/>
    <cellStyle name="Note 2 7 3" xfId="12980"/>
    <cellStyle name="Note 2 7 3 2" xfId="12981"/>
    <cellStyle name="Note 2 7 3 2 2" xfId="12982"/>
    <cellStyle name="Note 2 7 3 3" xfId="12983"/>
    <cellStyle name="Note 2 7 4" xfId="12984"/>
    <cellStyle name="Note 2 7 4 2" xfId="12985"/>
    <cellStyle name="Note 2 7 5" xfId="12986"/>
    <cellStyle name="Note 2 7 5 2" xfId="12987"/>
    <cellStyle name="Note 2 7 6" xfId="12988"/>
    <cellStyle name="Note 2 7 6 2" xfId="12989"/>
    <cellStyle name="Note 2 7 7" xfId="12990"/>
    <cellStyle name="Note 2 8" xfId="12991"/>
    <cellStyle name="Note 2 8 2" xfId="12992"/>
    <cellStyle name="Note 2 9" xfId="12993"/>
    <cellStyle name="Note 2 9 2" xfId="12994"/>
    <cellStyle name="Note 20" xfId="296"/>
    <cellStyle name="Note 21" xfId="297"/>
    <cellStyle name="Note 22" xfId="298"/>
    <cellStyle name="Note 23" xfId="299"/>
    <cellStyle name="Note 24" xfId="300"/>
    <cellStyle name="Note 3" xfId="301"/>
    <cellStyle name="Note 3 2" xfId="12995"/>
    <cellStyle name="Note 3 2 10" xfId="12996"/>
    <cellStyle name="Note 3 2 10 2" xfId="12997"/>
    <cellStyle name="Note 3 2 10 2 2" xfId="12998"/>
    <cellStyle name="Note 3 2 10 2 2 2" xfId="12999"/>
    <cellStyle name="Note 3 2 10 2 3" xfId="13000"/>
    <cellStyle name="Note 3 2 10 3" xfId="13001"/>
    <cellStyle name="Note 3 2 10 3 2" xfId="13002"/>
    <cellStyle name="Note 3 2 10 3 2 2" xfId="13003"/>
    <cellStyle name="Note 3 2 10 3 3" xfId="13004"/>
    <cellStyle name="Note 3 2 10 4" xfId="13005"/>
    <cellStyle name="Note 3 2 10 4 2" xfId="13006"/>
    <cellStyle name="Note 3 2 10 5" xfId="13007"/>
    <cellStyle name="Note 3 2 10 5 2" xfId="13008"/>
    <cellStyle name="Note 3 2 10 6" xfId="13009"/>
    <cellStyle name="Note 3 2 10 6 2" xfId="13010"/>
    <cellStyle name="Note 3 2 10 7" xfId="13011"/>
    <cellStyle name="Note 3 2 11" xfId="13012"/>
    <cellStyle name="Note 3 2 11 2" xfId="13013"/>
    <cellStyle name="Note 3 2 11 2 2" xfId="13014"/>
    <cellStyle name="Note 3 2 11 2 2 2" xfId="13015"/>
    <cellStyle name="Note 3 2 11 2 3" xfId="13016"/>
    <cellStyle name="Note 3 2 11 3" xfId="13017"/>
    <cellStyle name="Note 3 2 11 3 2" xfId="13018"/>
    <cellStyle name="Note 3 2 11 3 2 2" xfId="13019"/>
    <cellStyle name="Note 3 2 11 3 3" xfId="13020"/>
    <cellStyle name="Note 3 2 11 4" xfId="13021"/>
    <cellStyle name="Note 3 2 11 4 2" xfId="13022"/>
    <cellStyle name="Note 3 2 11 5" xfId="13023"/>
    <cellStyle name="Note 3 2 11 5 2" xfId="13024"/>
    <cellStyle name="Note 3 2 11 6" xfId="13025"/>
    <cellStyle name="Note 3 2 11 6 2" xfId="13026"/>
    <cellStyle name="Note 3 2 11 7" xfId="13027"/>
    <cellStyle name="Note 3 2 12" xfId="13028"/>
    <cellStyle name="Note 3 2 12 2" xfId="13029"/>
    <cellStyle name="Note 3 2 13" xfId="13030"/>
    <cellStyle name="Note 3 2 13 2" xfId="13031"/>
    <cellStyle name="Note 3 2 14" xfId="13032"/>
    <cellStyle name="Note 3 2 14 2" xfId="13033"/>
    <cellStyle name="Note 3 2 2" xfId="13034"/>
    <cellStyle name="Note 3 2 2 2" xfId="13035"/>
    <cellStyle name="Note 3 2 2 2 2" xfId="13036"/>
    <cellStyle name="Note 3 2 2 2 2 2" xfId="13037"/>
    <cellStyle name="Note 3 2 2 2 2 2 2" xfId="13038"/>
    <cellStyle name="Note 3 2 2 2 2 2 2 2" xfId="13039"/>
    <cellStyle name="Note 3 2 2 2 2 2 3" xfId="13040"/>
    <cellStyle name="Note 3 2 2 2 2 3" xfId="13041"/>
    <cellStyle name="Note 3 2 2 2 2 3 2" xfId="13042"/>
    <cellStyle name="Note 3 2 2 2 2 3 2 2" xfId="13043"/>
    <cellStyle name="Note 3 2 2 2 2 3 3" xfId="13044"/>
    <cellStyle name="Note 3 2 2 2 2 4" xfId="13045"/>
    <cellStyle name="Note 3 2 2 2 2 4 2" xfId="13046"/>
    <cellStyle name="Note 3 2 2 2 2 5" xfId="13047"/>
    <cellStyle name="Note 3 2 2 2 2 5 2" xfId="13048"/>
    <cellStyle name="Note 3 2 2 2 2 6" xfId="13049"/>
    <cellStyle name="Note 3 2 2 2 2 6 2" xfId="13050"/>
    <cellStyle name="Note 3 2 2 2 2 7" xfId="13051"/>
    <cellStyle name="Note 3 2 2 2 3" xfId="13052"/>
    <cellStyle name="Note 3 2 2 2 3 2" xfId="13053"/>
    <cellStyle name="Note 3 2 2 2 3 2 2" xfId="13054"/>
    <cellStyle name="Note 3 2 2 2 3 2 2 2" xfId="13055"/>
    <cellStyle name="Note 3 2 2 2 3 2 3" xfId="13056"/>
    <cellStyle name="Note 3 2 2 2 3 3" xfId="13057"/>
    <cellStyle name="Note 3 2 2 2 3 3 2" xfId="13058"/>
    <cellStyle name="Note 3 2 2 2 3 3 2 2" xfId="13059"/>
    <cellStyle name="Note 3 2 2 2 3 3 3" xfId="13060"/>
    <cellStyle name="Note 3 2 2 2 3 4" xfId="13061"/>
    <cellStyle name="Note 3 2 2 2 3 4 2" xfId="13062"/>
    <cellStyle name="Note 3 2 2 2 3 5" xfId="13063"/>
    <cellStyle name="Note 3 2 2 2 3 5 2" xfId="13064"/>
    <cellStyle name="Note 3 2 2 2 3 6" xfId="13065"/>
    <cellStyle name="Note 3 2 2 2 3 6 2" xfId="13066"/>
    <cellStyle name="Note 3 2 2 2 3 7" xfId="13067"/>
    <cellStyle name="Note 3 2 2 2 4" xfId="13068"/>
    <cellStyle name="Note 3 2 2 2 4 2" xfId="13069"/>
    <cellStyle name="Note 3 2 2 2 5" xfId="13070"/>
    <cellStyle name="Note 3 2 2 2 5 2" xfId="13071"/>
    <cellStyle name="Note 3 2 2 3" xfId="13072"/>
    <cellStyle name="Note 3 2 2 3 2" xfId="13073"/>
    <cellStyle name="Note 3 2 2 3 2 2" xfId="13074"/>
    <cellStyle name="Note 3 2 2 3 2 2 2" xfId="13075"/>
    <cellStyle name="Note 3 2 2 3 2 2 2 2" xfId="13076"/>
    <cellStyle name="Note 3 2 2 3 2 2 3" xfId="13077"/>
    <cellStyle name="Note 3 2 2 3 2 3" xfId="13078"/>
    <cellStyle name="Note 3 2 2 3 2 3 2" xfId="13079"/>
    <cellStyle name="Note 3 2 2 3 2 3 2 2" xfId="13080"/>
    <cellStyle name="Note 3 2 2 3 2 3 3" xfId="13081"/>
    <cellStyle name="Note 3 2 2 3 2 4" xfId="13082"/>
    <cellStyle name="Note 3 2 2 3 2 4 2" xfId="13083"/>
    <cellStyle name="Note 3 2 2 3 2 5" xfId="13084"/>
    <cellStyle name="Note 3 2 2 3 2 5 2" xfId="13085"/>
    <cellStyle name="Note 3 2 2 3 2 6" xfId="13086"/>
    <cellStyle name="Note 3 2 2 3 2 6 2" xfId="13087"/>
    <cellStyle name="Note 3 2 2 3 2 7" xfId="13088"/>
    <cellStyle name="Note 3 2 2 3 3" xfId="13089"/>
    <cellStyle name="Note 3 2 2 3 3 2" xfId="13090"/>
    <cellStyle name="Note 3 2 2 3 3 2 2" xfId="13091"/>
    <cellStyle name="Note 3 2 2 3 3 2 2 2" xfId="13092"/>
    <cellStyle name="Note 3 2 2 3 3 2 3" xfId="13093"/>
    <cellStyle name="Note 3 2 2 3 3 3" xfId="13094"/>
    <cellStyle name="Note 3 2 2 3 3 3 2" xfId="13095"/>
    <cellStyle name="Note 3 2 2 3 3 3 2 2" xfId="13096"/>
    <cellStyle name="Note 3 2 2 3 3 3 3" xfId="13097"/>
    <cellStyle name="Note 3 2 2 3 3 4" xfId="13098"/>
    <cellStyle name="Note 3 2 2 3 3 4 2" xfId="13099"/>
    <cellStyle name="Note 3 2 2 3 3 5" xfId="13100"/>
    <cellStyle name="Note 3 2 2 3 3 5 2" xfId="13101"/>
    <cellStyle name="Note 3 2 2 3 3 6" xfId="13102"/>
    <cellStyle name="Note 3 2 2 3 3 6 2" xfId="13103"/>
    <cellStyle name="Note 3 2 2 3 3 7" xfId="13104"/>
    <cellStyle name="Note 3 2 2 3 4" xfId="13105"/>
    <cellStyle name="Note 3 2 2 3 4 2" xfId="13106"/>
    <cellStyle name="Note 3 2 2 3 5" xfId="13107"/>
    <cellStyle name="Note 3 2 2 3 5 2" xfId="13108"/>
    <cellStyle name="Note 3 2 2 4" xfId="13109"/>
    <cellStyle name="Note 3 2 2 4 2" xfId="13110"/>
    <cellStyle name="Note 3 2 2 4 2 2" xfId="13111"/>
    <cellStyle name="Note 3 2 2 4 2 2 2" xfId="13112"/>
    <cellStyle name="Note 3 2 2 4 2 3" xfId="13113"/>
    <cellStyle name="Note 3 2 2 4 3" xfId="13114"/>
    <cellStyle name="Note 3 2 2 4 3 2" xfId="13115"/>
    <cellStyle name="Note 3 2 2 4 3 2 2" xfId="13116"/>
    <cellStyle name="Note 3 2 2 4 3 3" xfId="13117"/>
    <cellStyle name="Note 3 2 2 4 4" xfId="13118"/>
    <cellStyle name="Note 3 2 2 4 4 2" xfId="13119"/>
    <cellStyle name="Note 3 2 2 4 5" xfId="13120"/>
    <cellStyle name="Note 3 2 2 4 5 2" xfId="13121"/>
    <cellStyle name="Note 3 2 2 4 6" xfId="13122"/>
    <cellStyle name="Note 3 2 2 4 6 2" xfId="13123"/>
    <cellStyle name="Note 3 2 2 4 7" xfId="13124"/>
    <cellStyle name="Note 3 2 2 5" xfId="13125"/>
    <cellStyle name="Note 3 2 2 5 2" xfId="13126"/>
    <cellStyle name="Note 3 2 2 5 2 2" xfId="13127"/>
    <cellStyle name="Note 3 2 2 5 2 2 2" xfId="13128"/>
    <cellStyle name="Note 3 2 2 5 2 3" xfId="13129"/>
    <cellStyle name="Note 3 2 2 5 3" xfId="13130"/>
    <cellStyle name="Note 3 2 2 5 3 2" xfId="13131"/>
    <cellStyle name="Note 3 2 2 5 3 2 2" xfId="13132"/>
    <cellStyle name="Note 3 2 2 5 3 3" xfId="13133"/>
    <cellStyle name="Note 3 2 2 5 4" xfId="13134"/>
    <cellStyle name="Note 3 2 2 5 4 2" xfId="13135"/>
    <cellStyle name="Note 3 2 2 5 5" xfId="13136"/>
    <cellStyle name="Note 3 2 2 5 5 2" xfId="13137"/>
    <cellStyle name="Note 3 2 2 5 6" xfId="13138"/>
    <cellStyle name="Note 3 2 2 5 6 2" xfId="13139"/>
    <cellStyle name="Note 3 2 2 5 7" xfId="13140"/>
    <cellStyle name="Note 3 2 2 6" xfId="13141"/>
    <cellStyle name="Note 3 2 2 6 2" xfId="13142"/>
    <cellStyle name="Note 3 2 2 6 2 2" xfId="13143"/>
    <cellStyle name="Note 3 2 2 6 2 2 2" xfId="13144"/>
    <cellStyle name="Note 3 2 2 6 2 3" xfId="13145"/>
    <cellStyle name="Note 3 2 2 6 3" xfId="13146"/>
    <cellStyle name="Note 3 2 2 6 3 2" xfId="13147"/>
    <cellStyle name="Note 3 2 2 6 3 2 2" xfId="13148"/>
    <cellStyle name="Note 3 2 2 6 3 3" xfId="13149"/>
    <cellStyle name="Note 3 2 2 6 4" xfId="13150"/>
    <cellStyle name="Note 3 2 2 6 4 2" xfId="13151"/>
    <cellStyle name="Note 3 2 2 6 5" xfId="13152"/>
    <cellStyle name="Note 3 2 2 6 5 2" xfId="13153"/>
    <cellStyle name="Note 3 2 2 6 6" xfId="13154"/>
    <cellStyle name="Note 3 2 2 6 6 2" xfId="13155"/>
    <cellStyle name="Note 3 2 2 6 7" xfId="13156"/>
    <cellStyle name="Note 3 2 2 7" xfId="13157"/>
    <cellStyle name="Note 3 2 2 7 2" xfId="13158"/>
    <cellStyle name="Note 3 2 2 8" xfId="13159"/>
    <cellStyle name="Note 3 2 2 8 2" xfId="13160"/>
    <cellStyle name="Note 3 2 3" xfId="13161"/>
    <cellStyle name="Note 3 2 3 2" xfId="13162"/>
    <cellStyle name="Note 3 2 3 2 2" xfId="13163"/>
    <cellStyle name="Note 3 2 3 2 2 2" xfId="13164"/>
    <cellStyle name="Note 3 2 3 2 2 2 2" xfId="13165"/>
    <cellStyle name="Note 3 2 3 2 2 2 2 2" xfId="13166"/>
    <cellStyle name="Note 3 2 3 2 2 2 3" xfId="13167"/>
    <cellStyle name="Note 3 2 3 2 2 3" xfId="13168"/>
    <cellStyle name="Note 3 2 3 2 2 3 2" xfId="13169"/>
    <cellStyle name="Note 3 2 3 2 2 3 2 2" xfId="13170"/>
    <cellStyle name="Note 3 2 3 2 2 3 3" xfId="13171"/>
    <cellStyle name="Note 3 2 3 2 2 4" xfId="13172"/>
    <cellStyle name="Note 3 2 3 2 2 4 2" xfId="13173"/>
    <cellStyle name="Note 3 2 3 2 2 5" xfId="13174"/>
    <cellStyle name="Note 3 2 3 2 2 5 2" xfId="13175"/>
    <cellStyle name="Note 3 2 3 2 2 6" xfId="13176"/>
    <cellStyle name="Note 3 2 3 2 2 6 2" xfId="13177"/>
    <cellStyle name="Note 3 2 3 2 2 7" xfId="13178"/>
    <cellStyle name="Note 3 2 3 2 3" xfId="13179"/>
    <cellStyle name="Note 3 2 3 2 3 2" xfId="13180"/>
    <cellStyle name="Note 3 2 3 2 3 2 2" xfId="13181"/>
    <cellStyle name="Note 3 2 3 2 3 2 2 2" xfId="13182"/>
    <cellStyle name="Note 3 2 3 2 3 2 3" xfId="13183"/>
    <cellStyle name="Note 3 2 3 2 3 3" xfId="13184"/>
    <cellStyle name="Note 3 2 3 2 3 3 2" xfId="13185"/>
    <cellStyle name="Note 3 2 3 2 3 3 2 2" xfId="13186"/>
    <cellStyle name="Note 3 2 3 2 3 3 3" xfId="13187"/>
    <cellStyle name="Note 3 2 3 2 3 4" xfId="13188"/>
    <cellStyle name="Note 3 2 3 2 3 4 2" xfId="13189"/>
    <cellStyle name="Note 3 2 3 2 3 5" xfId="13190"/>
    <cellStyle name="Note 3 2 3 2 3 5 2" xfId="13191"/>
    <cellStyle name="Note 3 2 3 2 3 6" xfId="13192"/>
    <cellStyle name="Note 3 2 3 2 3 6 2" xfId="13193"/>
    <cellStyle name="Note 3 2 3 2 3 7" xfId="13194"/>
    <cellStyle name="Note 3 2 3 2 4" xfId="13195"/>
    <cellStyle name="Note 3 2 3 2 4 2" xfId="13196"/>
    <cellStyle name="Note 3 2 3 2 5" xfId="13197"/>
    <cellStyle name="Note 3 2 3 2 5 2" xfId="13198"/>
    <cellStyle name="Note 3 2 3 3" xfId="13199"/>
    <cellStyle name="Note 3 2 3 3 2" xfId="13200"/>
    <cellStyle name="Note 3 2 3 3 2 2" xfId="13201"/>
    <cellStyle name="Note 3 2 3 3 2 2 2" xfId="13202"/>
    <cellStyle name="Note 3 2 3 3 2 2 2 2" xfId="13203"/>
    <cellStyle name="Note 3 2 3 3 2 2 3" xfId="13204"/>
    <cellStyle name="Note 3 2 3 3 2 3" xfId="13205"/>
    <cellStyle name="Note 3 2 3 3 2 3 2" xfId="13206"/>
    <cellStyle name="Note 3 2 3 3 2 3 2 2" xfId="13207"/>
    <cellStyle name="Note 3 2 3 3 2 3 3" xfId="13208"/>
    <cellStyle name="Note 3 2 3 3 2 4" xfId="13209"/>
    <cellStyle name="Note 3 2 3 3 2 4 2" xfId="13210"/>
    <cellStyle name="Note 3 2 3 3 2 5" xfId="13211"/>
    <cellStyle name="Note 3 2 3 3 2 5 2" xfId="13212"/>
    <cellStyle name="Note 3 2 3 3 2 6" xfId="13213"/>
    <cellStyle name="Note 3 2 3 3 2 6 2" xfId="13214"/>
    <cellStyle name="Note 3 2 3 3 2 7" xfId="13215"/>
    <cellStyle name="Note 3 2 3 3 3" xfId="13216"/>
    <cellStyle name="Note 3 2 3 3 3 2" xfId="13217"/>
    <cellStyle name="Note 3 2 3 3 3 2 2" xfId="13218"/>
    <cellStyle name="Note 3 2 3 3 3 2 2 2" xfId="13219"/>
    <cellStyle name="Note 3 2 3 3 3 2 3" xfId="13220"/>
    <cellStyle name="Note 3 2 3 3 3 3" xfId="13221"/>
    <cellStyle name="Note 3 2 3 3 3 3 2" xfId="13222"/>
    <cellStyle name="Note 3 2 3 3 3 3 2 2" xfId="13223"/>
    <cellStyle name="Note 3 2 3 3 3 3 3" xfId="13224"/>
    <cellStyle name="Note 3 2 3 3 3 4" xfId="13225"/>
    <cellStyle name="Note 3 2 3 3 3 4 2" xfId="13226"/>
    <cellStyle name="Note 3 2 3 3 3 5" xfId="13227"/>
    <cellStyle name="Note 3 2 3 3 3 5 2" xfId="13228"/>
    <cellStyle name="Note 3 2 3 3 3 6" xfId="13229"/>
    <cellStyle name="Note 3 2 3 3 3 6 2" xfId="13230"/>
    <cellStyle name="Note 3 2 3 3 3 7" xfId="13231"/>
    <cellStyle name="Note 3 2 3 3 4" xfId="13232"/>
    <cellStyle name="Note 3 2 3 3 4 2" xfId="13233"/>
    <cellStyle name="Note 3 2 3 3 5" xfId="13234"/>
    <cellStyle name="Note 3 2 3 3 5 2" xfId="13235"/>
    <cellStyle name="Note 3 2 3 4" xfId="13236"/>
    <cellStyle name="Note 3 2 3 4 2" xfId="13237"/>
    <cellStyle name="Note 3 2 3 4 2 2" xfId="13238"/>
    <cellStyle name="Note 3 2 3 4 2 2 2" xfId="13239"/>
    <cellStyle name="Note 3 2 3 4 2 3" xfId="13240"/>
    <cellStyle name="Note 3 2 3 4 3" xfId="13241"/>
    <cellStyle name="Note 3 2 3 4 3 2" xfId="13242"/>
    <cellStyle name="Note 3 2 3 4 3 2 2" xfId="13243"/>
    <cellStyle name="Note 3 2 3 4 3 3" xfId="13244"/>
    <cellStyle name="Note 3 2 3 4 4" xfId="13245"/>
    <cellStyle name="Note 3 2 3 4 4 2" xfId="13246"/>
    <cellStyle name="Note 3 2 3 4 5" xfId="13247"/>
    <cellStyle name="Note 3 2 3 4 5 2" xfId="13248"/>
    <cellStyle name="Note 3 2 3 4 6" xfId="13249"/>
    <cellStyle name="Note 3 2 3 4 6 2" xfId="13250"/>
    <cellStyle name="Note 3 2 3 4 7" xfId="13251"/>
    <cellStyle name="Note 3 2 3 5" xfId="13252"/>
    <cellStyle name="Note 3 2 3 5 2" xfId="13253"/>
    <cellStyle name="Note 3 2 3 5 2 2" xfId="13254"/>
    <cellStyle name="Note 3 2 3 5 2 2 2" xfId="13255"/>
    <cellStyle name="Note 3 2 3 5 2 3" xfId="13256"/>
    <cellStyle name="Note 3 2 3 5 3" xfId="13257"/>
    <cellStyle name="Note 3 2 3 5 3 2" xfId="13258"/>
    <cellStyle name="Note 3 2 3 5 3 2 2" xfId="13259"/>
    <cellStyle name="Note 3 2 3 5 3 3" xfId="13260"/>
    <cellStyle name="Note 3 2 3 5 4" xfId="13261"/>
    <cellStyle name="Note 3 2 3 5 4 2" xfId="13262"/>
    <cellStyle name="Note 3 2 3 5 5" xfId="13263"/>
    <cellStyle name="Note 3 2 3 5 5 2" xfId="13264"/>
    <cellStyle name="Note 3 2 3 5 6" xfId="13265"/>
    <cellStyle name="Note 3 2 3 5 6 2" xfId="13266"/>
    <cellStyle name="Note 3 2 3 5 7" xfId="13267"/>
    <cellStyle name="Note 3 2 3 6" xfId="13268"/>
    <cellStyle name="Note 3 2 3 6 2" xfId="13269"/>
    <cellStyle name="Note 3 2 3 6 2 2" xfId="13270"/>
    <cellStyle name="Note 3 2 3 6 2 2 2" xfId="13271"/>
    <cellStyle name="Note 3 2 3 6 2 3" xfId="13272"/>
    <cellStyle name="Note 3 2 3 6 3" xfId="13273"/>
    <cellStyle name="Note 3 2 3 6 3 2" xfId="13274"/>
    <cellStyle name="Note 3 2 3 6 3 2 2" xfId="13275"/>
    <cellStyle name="Note 3 2 3 6 3 3" xfId="13276"/>
    <cellStyle name="Note 3 2 3 6 4" xfId="13277"/>
    <cellStyle name="Note 3 2 3 6 4 2" xfId="13278"/>
    <cellStyle name="Note 3 2 3 6 5" xfId="13279"/>
    <cellStyle name="Note 3 2 3 6 5 2" xfId="13280"/>
    <cellStyle name="Note 3 2 3 6 6" xfId="13281"/>
    <cellStyle name="Note 3 2 3 6 6 2" xfId="13282"/>
    <cellStyle name="Note 3 2 3 6 7" xfId="13283"/>
    <cellStyle name="Note 3 2 3 7" xfId="13284"/>
    <cellStyle name="Note 3 2 3 7 2" xfId="13285"/>
    <cellStyle name="Note 3 2 3 8" xfId="13286"/>
    <cellStyle name="Note 3 2 3 8 2" xfId="13287"/>
    <cellStyle name="Note 3 2 4" xfId="13288"/>
    <cellStyle name="Note 3 2 4 2" xfId="13289"/>
    <cellStyle name="Note 3 2 4 2 2" xfId="13290"/>
    <cellStyle name="Note 3 2 4 2 2 2" xfId="13291"/>
    <cellStyle name="Note 3 2 4 2 2 2 2" xfId="13292"/>
    <cellStyle name="Note 3 2 4 2 2 2 2 2" xfId="13293"/>
    <cellStyle name="Note 3 2 4 2 2 2 3" xfId="13294"/>
    <cellStyle name="Note 3 2 4 2 2 3" xfId="13295"/>
    <cellStyle name="Note 3 2 4 2 2 3 2" xfId="13296"/>
    <cellStyle name="Note 3 2 4 2 2 3 2 2" xfId="13297"/>
    <cellStyle name="Note 3 2 4 2 2 3 3" xfId="13298"/>
    <cellStyle name="Note 3 2 4 2 2 4" xfId="13299"/>
    <cellStyle name="Note 3 2 4 2 2 4 2" xfId="13300"/>
    <cellStyle name="Note 3 2 4 2 2 5" xfId="13301"/>
    <cellStyle name="Note 3 2 4 2 2 5 2" xfId="13302"/>
    <cellStyle name="Note 3 2 4 2 2 6" xfId="13303"/>
    <cellStyle name="Note 3 2 4 2 2 6 2" xfId="13304"/>
    <cellStyle name="Note 3 2 4 2 2 7" xfId="13305"/>
    <cellStyle name="Note 3 2 4 2 3" xfId="13306"/>
    <cellStyle name="Note 3 2 4 2 3 2" xfId="13307"/>
    <cellStyle name="Note 3 2 4 2 3 2 2" xfId="13308"/>
    <cellStyle name="Note 3 2 4 2 3 2 2 2" xfId="13309"/>
    <cellStyle name="Note 3 2 4 2 3 2 3" xfId="13310"/>
    <cellStyle name="Note 3 2 4 2 3 3" xfId="13311"/>
    <cellStyle name="Note 3 2 4 2 3 3 2" xfId="13312"/>
    <cellStyle name="Note 3 2 4 2 3 3 2 2" xfId="13313"/>
    <cellStyle name="Note 3 2 4 2 3 3 3" xfId="13314"/>
    <cellStyle name="Note 3 2 4 2 3 4" xfId="13315"/>
    <cellStyle name="Note 3 2 4 2 3 4 2" xfId="13316"/>
    <cellStyle name="Note 3 2 4 2 3 5" xfId="13317"/>
    <cellStyle name="Note 3 2 4 2 3 5 2" xfId="13318"/>
    <cellStyle name="Note 3 2 4 2 3 6" xfId="13319"/>
    <cellStyle name="Note 3 2 4 2 3 6 2" xfId="13320"/>
    <cellStyle name="Note 3 2 4 2 3 7" xfId="13321"/>
    <cellStyle name="Note 3 2 4 2 4" xfId="13322"/>
    <cellStyle name="Note 3 2 4 2 4 2" xfId="13323"/>
    <cellStyle name="Note 3 2 4 2 5" xfId="13324"/>
    <cellStyle name="Note 3 2 4 2 5 2" xfId="13325"/>
    <cellStyle name="Note 3 2 4 3" xfId="13326"/>
    <cellStyle name="Note 3 2 4 3 2" xfId="13327"/>
    <cellStyle name="Note 3 2 4 3 2 2" xfId="13328"/>
    <cellStyle name="Note 3 2 4 3 2 2 2" xfId="13329"/>
    <cellStyle name="Note 3 2 4 3 2 2 2 2" xfId="13330"/>
    <cellStyle name="Note 3 2 4 3 2 2 3" xfId="13331"/>
    <cellStyle name="Note 3 2 4 3 2 3" xfId="13332"/>
    <cellStyle name="Note 3 2 4 3 2 3 2" xfId="13333"/>
    <cellStyle name="Note 3 2 4 3 2 3 2 2" xfId="13334"/>
    <cellStyle name="Note 3 2 4 3 2 3 3" xfId="13335"/>
    <cellStyle name="Note 3 2 4 3 2 4" xfId="13336"/>
    <cellStyle name="Note 3 2 4 3 2 4 2" xfId="13337"/>
    <cellStyle name="Note 3 2 4 3 2 5" xfId="13338"/>
    <cellStyle name="Note 3 2 4 3 2 5 2" xfId="13339"/>
    <cellStyle name="Note 3 2 4 3 2 6" xfId="13340"/>
    <cellStyle name="Note 3 2 4 3 2 6 2" xfId="13341"/>
    <cellStyle name="Note 3 2 4 3 2 7" xfId="13342"/>
    <cellStyle name="Note 3 2 4 3 3" xfId="13343"/>
    <cellStyle name="Note 3 2 4 3 3 2" xfId="13344"/>
    <cellStyle name="Note 3 2 4 3 3 2 2" xfId="13345"/>
    <cellStyle name="Note 3 2 4 3 3 2 2 2" xfId="13346"/>
    <cellStyle name="Note 3 2 4 3 3 2 3" xfId="13347"/>
    <cellStyle name="Note 3 2 4 3 3 3" xfId="13348"/>
    <cellStyle name="Note 3 2 4 3 3 3 2" xfId="13349"/>
    <cellStyle name="Note 3 2 4 3 3 3 2 2" xfId="13350"/>
    <cellStyle name="Note 3 2 4 3 3 3 3" xfId="13351"/>
    <cellStyle name="Note 3 2 4 3 3 4" xfId="13352"/>
    <cellStyle name="Note 3 2 4 3 3 4 2" xfId="13353"/>
    <cellStyle name="Note 3 2 4 3 3 5" xfId="13354"/>
    <cellStyle name="Note 3 2 4 3 3 5 2" xfId="13355"/>
    <cellStyle name="Note 3 2 4 3 3 6" xfId="13356"/>
    <cellStyle name="Note 3 2 4 3 3 6 2" xfId="13357"/>
    <cellStyle name="Note 3 2 4 3 3 7" xfId="13358"/>
    <cellStyle name="Note 3 2 4 3 4" xfId="13359"/>
    <cellStyle name="Note 3 2 4 3 4 2" xfId="13360"/>
    <cellStyle name="Note 3 2 4 3 5" xfId="13361"/>
    <cellStyle name="Note 3 2 4 3 5 2" xfId="13362"/>
    <cellStyle name="Note 3 2 4 4" xfId="13363"/>
    <cellStyle name="Note 3 2 4 4 2" xfId="13364"/>
    <cellStyle name="Note 3 2 4 4 2 2" xfId="13365"/>
    <cellStyle name="Note 3 2 4 4 2 2 2" xfId="13366"/>
    <cellStyle name="Note 3 2 4 4 2 3" xfId="13367"/>
    <cellStyle name="Note 3 2 4 4 3" xfId="13368"/>
    <cellStyle name="Note 3 2 4 4 3 2" xfId="13369"/>
    <cellStyle name="Note 3 2 4 4 3 2 2" xfId="13370"/>
    <cellStyle name="Note 3 2 4 4 3 3" xfId="13371"/>
    <cellStyle name="Note 3 2 4 4 4" xfId="13372"/>
    <cellStyle name="Note 3 2 4 4 4 2" xfId="13373"/>
    <cellStyle name="Note 3 2 4 4 5" xfId="13374"/>
    <cellStyle name="Note 3 2 4 4 5 2" xfId="13375"/>
    <cellStyle name="Note 3 2 4 4 6" xfId="13376"/>
    <cellStyle name="Note 3 2 4 4 6 2" xfId="13377"/>
    <cellStyle name="Note 3 2 4 4 7" xfId="13378"/>
    <cellStyle name="Note 3 2 4 5" xfId="13379"/>
    <cellStyle name="Note 3 2 4 5 2" xfId="13380"/>
    <cellStyle name="Note 3 2 4 5 2 2" xfId="13381"/>
    <cellStyle name="Note 3 2 4 5 2 2 2" xfId="13382"/>
    <cellStyle name="Note 3 2 4 5 2 3" xfId="13383"/>
    <cellStyle name="Note 3 2 4 5 3" xfId="13384"/>
    <cellStyle name="Note 3 2 4 5 3 2" xfId="13385"/>
    <cellStyle name="Note 3 2 4 5 3 2 2" xfId="13386"/>
    <cellStyle name="Note 3 2 4 5 3 3" xfId="13387"/>
    <cellStyle name="Note 3 2 4 5 4" xfId="13388"/>
    <cellStyle name="Note 3 2 4 5 4 2" xfId="13389"/>
    <cellStyle name="Note 3 2 4 5 5" xfId="13390"/>
    <cellStyle name="Note 3 2 4 5 5 2" xfId="13391"/>
    <cellStyle name="Note 3 2 4 5 6" xfId="13392"/>
    <cellStyle name="Note 3 2 4 5 6 2" xfId="13393"/>
    <cellStyle name="Note 3 2 4 5 7" xfId="13394"/>
    <cellStyle name="Note 3 2 4 6" xfId="13395"/>
    <cellStyle name="Note 3 2 4 6 2" xfId="13396"/>
    <cellStyle name="Note 3 2 4 6 2 2" xfId="13397"/>
    <cellStyle name="Note 3 2 4 6 2 2 2" xfId="13398"/>
    <cellStyle name="Note 3 2 4 6 2 3" xfId="13399"/>
    <cellStyle name="Note 3 2 4 6 3" xfId="13400"/>
    <cellStyle name="Note 3 2 4 6 3 2" xfId="13401"/>
    <cellStyle name="Note 3 2 4 6 3 2 2" xfId="13402"/>
    <cellStyle name="Note 3 2 4 6 3 3" xfId="13403"/>
    <cellStyle name="Note 3 2 4 6 4" xfId="13404"/>
    <cellStyle name="Note 3 2 4 6 4 2" xfId="13405"/>
    <cellStyle name="Note 3 2 4 6 5" xfId="13406"/>
    <cellStyle name="Note 3 2 4 6 5 2" xfId="13407"/>
    <cellStyle name="Note 3 2 4 6 6" xfId="13408"/>
    <cellStyle name="Note 3 2 4 6 6 2" xfId="13409"/>
    <cellStyle name="Note 3 2 4 6 7" xfId="13410"/>
    <cellStyle name="Note 3 2 4 7" xfId="13411"/>
    <cellStyle name="Note 3 2 4 7 2" xfId="13412"/>
    <cellStyle name="Note 3 2 4 8" xfId="13413"/>
    <cellStyle name="Note 3 2 4 8 2" xfId="13414"/>
    <cellStyle name="Note 3 2 5" xfId="13415"/>
    <cellStyle name="Note 3 2 5 2" xfId="13416"/>
    <cellStyle name="Note 3 2 5 2 2" xfId="13417"/>
    <cellStyle name="Note 3 2 5 2 2 2" xfId="13418"/>
    <cellStyle name="Note 3 2 5 2 2 2 2" xfId="13419"/>
    <cellStyle name="Note 3 2 5 2 2 2 2 2" xfId="13420"/>
    <cellStyle name="Note 3 2 5 2 2 2 3" xfId="13421"/>
    <cellStyle name="Note 3 2 5 2 2 3" xfId="13422"/>
    <cellStyle name="Note 3 2 5 2 2 3 2" xfId="13423"/>
    <cellStyle name="Note 3 2 5 2 2 3 2 2" xfId="13424"/>
    <cellStyle name="Note 3 2 5 2 2 3 3" xfId="13425"/>
    <cellStyle name="Note 3 2 5 2 2 4" xfId="13426"/>
    <cellStyle name="Note 3 2 5 2 2 4 2" xfId="13427"/>
    <cellStyle name="Note 3 2 5 2 2 5" xfId="13428"/>
    <cellStyle name="Note 3 2 5 2 2 5 2" xfId="13429"/>
    <cellStyle name="Note 3 2 5 2 2 6" xfId="13430"/>
    <cellStyle name="Note 3 2 5 2 2 6 2" xfId="13431"/>
    <cellStyle name="Note 3 2 5 2 2 7" xfId="13432"/>
    <cellStyle name="Note 3 2 5 2 3" xfId="13433"/>
    <cellStyle name="Note 3 2 5 2 3 2" xfId="13434"/>
    <cellStyle name="Note 3 2 5 2 3 2 2" xfId="13435"/>
    <cellStyle name="Note 3 2 5 2 3 2 2 2" xfId="13436"/>
    <cellStyle name="Note 3 2 5 2 3 2 3" xfId="13437"/>
    <cellStyle name="Note 3 2 5 2 3 3" xfId="13438"/>
    <cellStyle name="Note 3 2 5 2 3 3 2" xfId="13439"/>
    <cellStyle name="Note 3 2 5 2 3 3 2 2" xfId="13440"/>
    <cellStyle name="Note 3 2 5 2 3 3 3" xfId="13441"/>
    <cellStyle name="Note 3 2 5 2 3 4" xfId="13442"/>
    <cellStyle name="Note 3 2 5 2 3 4 2" xfId="13443"/>
    <cellStyle name="Note 3 2 5 2 3 5" xfId="13444"/>
    <cellStyle name="Note 3 2 5 2 3 5 2" xfId="13445"/>
    <cellStyle name="Note 3 2 5 2 3 6" xfId="13446"/>
    <cellStyle name="Note 3 2 5 2 3 6 2" xfId="13447"/>
    <cellStyle name="Note 3 2 5 2 3 7" xfId="13448"/>
    <cellStyle name="Note 3 2 5 2 4" xfId="13449"/>
    <cellStyle name="Note 3 2 5 2 4 2" xfId="13450"/>
    <cellStyle name="Note 3 2 5 2 5" xfId="13451"/>
    <cellStyle name="Note 3 2 5 2 5 2" xfId="13452"/>
    <cellStyle name="Note 3 2 5 3" xfId="13453"/>
    <cellStyle name="Note 3 2 5 3 2" xfId="13454"/>
    <cellStyle name="Note 3 2 5 3 2 2" xfId="13455"/>
    <cellStyle name="Note 3 2 5 3 2 2 2" xfId="13456"/>
    <cellStyle name="Note 3 2 5 3 2 2 2 2" xfId="13457"/>
    <cellStyle name="Note 3 2 5 3 2 2 3" xfId="13458"/>
    <cellStyle name="Note 3 2 5 3 2 3" xfId="13459"/>
    <cellStyle name="Note 3 2 5 3 2 3 2" xfId="13460"/>
    <cellStyle name="Note 3 2 5 3 2 3 2 2" xfId="13461"/>
    <cellStyle name="Note 3 2 5 3 2 3 3" xfId="13462"/>
    <cellStyle name="Note 3 2 5 3 2 4" xfId="13463"/>
    <cellStyle name="Note 3 2 5 3 2 4 2" xfId="13464"/>
    <cellStyle name="Note 3 2 5 3 2 5" xfId="13465"/>
    <cellStyle name="Note 3 2 5 3 2 5 2" xfId="13466"/>
    <cellStyle name="Note 3 2 5 3 2 6" xfId="13467"/>
    <cellStyle name="Note 3 2 5 3 2 6 2" xfId="13468"/>
    <cellStyle name="Note 3 2 5 3 2 7" xfId="13469"/>
    <cellStyle name="Note 3 2 5 3 3" xfId="13470"/>
    <cellStyle name="Note 3 2 5 3 3 2" xfId="13471"/>
    <cellStyle name="Note 3 2 5 3 3 2 2" xfId="13472"/>
    <cellStyle name="Note 3 2 5 3 3 2 2 2" xfId="13473"/>
    <cellStyle name="Note 3 2 5 3 3 2 3" xfId="13474"/>
    <cellStyle name="Note 3 2 5 3 3 3" xfId="13475"/>
    <cellStyle name="Note 3 2 5 3 3 3 2" xfId="13476"/>
    <cellStyle name="Note 3 2 5 3 3 3 2 2" xfId="13477"/>
    <cellStyle name="Note 3 2 5 3 3 3 3" xfId="13478"/>
    <cellStyle name="Note 3 2 5 3 3 4" xfId="13479"/>
    <cellStyle name="Note 3 2 5 3 3 4 2" xfId="13480"/>
    <cellStyle name="Note 3 2 5 3 3 5" xfId="13481"/>
    <cellStyle name="Note 3 2 5 3 3 5 2" xfId="13482"/>
    <cellStyle name="Note 3 2 5 3 3 6" xfId="13483"/>
    <cellStyle name="Note 3 2 5 3 3 6 2" xfId="13484"/>
    <cellStyle name="Note 3 2 5 3 3 7" xfId="13485"/>
    <cellStyle name="Note 3 2 5 3 4" xfId="13486"/>
    <cellStyle name="Note 3 2 5 3 4 2" xfId="13487"/>
    <cellStyle name="Note 3 2 5 3 5" xfId="13488"/>
    <cellStyle name="Note 3 2 5 3 5 2" xfId="13489"/>
    <cellStyle name="Note 3 2 5 4" xfId="13490"/>
    <cellStyle name="Note 3 2 5 4 2" xfId="13491"/>
    <cellStyle name="Note 3 2 5 4 2 2" xfId="13492"/>
    <cellStyle name="Note 3 2 5 4 2 2 2" xfId="13493"/>
    <cellStyle name="Note 3 2 5 4 2 3" xfId="13494"/>
    <cellStyle name="Note 3 2 5 4 3" xfId="13495"/>
    <cellStyle name="Note 3 2 5 4 3 2" xfId="13496"/>
    <cellStyle name="Note 3 2 5 4 3 2 2" xfId="13497"/>
    <cellStyle name="Note 3 2 5 4 3 3" xfId="13498"/>
    <cellStyle name="Note 3 2 5 4 4" xfId="13499"/>
    <cellStyle name="Note 3 2 5 4 4 2" xfId="13500"/>
    <cellStyle name="Note 3 2 5 4 5" xfId="13501"/>
    <cellStyle name="Note 3 2 5 4 5 2" xfId="13502"/>
    <cellStyle name="Note 3 2 5 4 6" xfId="13503"/>
    <cellStyle name="Note 3 2 5 4 6 2" xfId="13504"/>
    <cellStyle name="Note 3 2 5 4 7" xfId="13505"/>
    <cellStyle name="Note 3 2 5 5" xfId="13506"/>
    <cellStyle name="Note 3 2 5 5 2" xfId="13507"/>
    <cellStyle name="Note 3 2 5 5 2 2" xfId="13508"/>
    <cellStyle name="Note 3 2 5 5 2 2 2" xfId="13509"/>
    <cellStyle name="Note 3 2 5 5 2 3" xfId="13510"/>
    <cellStyle name="Note 3 2 5 5 3" xfId="13511"/>
    <cellStyle name="Note 3 2 5 5 3 2" xfId="13512"/>
    <cellStyle name="Note 3 2 5 5 3 2 2" xfId="13513"/>
    <cellStyle name="Note 3 2 5 5 3 3" xfId="13514"/>
    <cellStyle name="Note 3 2 5 5 4" xfId="13515"/>
    <cellStyle name="Note 3 2 5 5 4 2" xfId="13516"/>
    <cellStyle name="Note 3 2 5 5 5" xfId="13517"/>
    <cellStyle name="Note 3 2 5 5 5 2" xfId="13518"/>
    <cellStyle name="Note 3 2 5 5 6" xfId="13519"/>
    <cellStyle name="Note 3 2 5 5 6 2" xfId="13520"/>
    <cellStyle name="Note 3 2 5 5 7" xfId="13521"/>
    <cellStyle name="Note 3 2 5 6" xfId="13522"/>
    <cellStyle name="Note 3 2 5 6 2" xfId="13523"/>
    <cellStyle name="Note 3 2 5 6 2 2" xfId="13524"/>
    <cellStyle name="Note 3 2 5 6 2 2 2" xfId="13525"/>
    <cellStyle name="Note 3 2 5 6 2 3" xfId="13526"/>
    <cellStyle name="Note 3 2 5 6 3" xfId="13527"/>
    <cellStyle name="Note 3 2 5 6 3 2" xfId="13528"/>
    <cellStyle name="Note 3 2 5 6 3 2 2" xfId="13529"/>
    <cellStyle name="Note 3 2 5 6 3 3" xfId="13530"/>
    <cellStyle name="Note 3 2 5 6 4" xfId="13531"/>
    <cellStyle name="Note 3 2 5 6 4 2" xfId="13532"/>
    <cellStyle name="Note 3 2 5 6 5" xfId="13533"/>
    <cellStyle name="Note 3 2 5 6 5 2" xfId="13534"/>
    <cellStyle name="Note 3 2 5 6 6" xfId="13535"/>
    <cellStyle name="Note 3 2 5 6 6 2" xfId="13536"/>
    <cellStyle name="Note 3 2 5 6 7" xfId="13537"/>
    <cellStyle name="Note 3 2 5 7" xfId="13538"/>
    <cellStyle name="Note 3 2 5 7 2" xfId="13539"/>
    <cellStyle name="Note 3 2 5 8" xfId="13540"/>
    <cellStyle name="Note 3 2 5 8 2" xfId="13541"/>
    <cellStyle name="Note 3 2 6" xfId="13542"/>
    <cellStyle name="Note 3 2 6 2" xfId="13543"/>
    <cellStyle name="Note 3 2 6 2 2" xfId="13544"/>
    <cellStyle name="Note 3 2 6 2 2 2" xfId="13545"/>
    <cellStyle name="Note 3 2 6 2 2 2 2" xfId="13546"/>
    <cellStyle name="Note 3 2 6 2 2 2 2 2" xfId="13547"/>
    <cellStyle name="Note 3 2 6 2 2 2 3" xfId="13548"/>
    <cellStyle name="Note 3 2 6 2 2 3" xfId="13549"/>
    <cellStyle name="Note 3 2 6 2 2 3 2" xfId="13550"/>
    <cellStyle name="Note 3 2 6 2 2 3 2 2" xfId="13551"/>
    <cellStyle name="Note 3 2 6 2 2 3 3" xfId="13552"/>
    <cellStyle name="Note 3 2 6 2 2 4" xfId="13553"/>
    <cellStyle name="Note 3 2 6 2 2 4 2" xfId="13554"/>
    <cellStyle name="Note 3 2 6 2 2 5" xfId="13555"/>
    <cellStyle name="Note 3 2 6 2 2 5 2" xfId="13556"/>
    <cellStyle name="Note 3 2 6 2 2 6" xfId="13557"/>
    <cellStyle name="Note 3 2 6 2 2 6 2" xfId="13558"/>
    <cellStyle name="Note 3 2 6 2 2 7" xfId="13559"/>
    <cellStyle name="Note 3 2 6 2 3" xfId="13560"/>
    <cellStyle name="Note 3 2 6 2 3 2" xfId="13561"/>
    <cellStyle name="Note 3 2 6 2 3 2 2" xfId="13562"/>
    <cellStyle name="Note 3 2 6 2 3 2 2 2" xfId="13563"/>
    <cellStyle name="Note 3 2 6 2 3 2 3" xfId="13564"/>
    <cellStyle name="Note 3 2 6 2 3 3" xfId="13565"/>
    <cellStyle name="Note 3 2 6 2 3 3 2" xfId="13566"/>
    <cellStyle name="Note 3 2 6 2 3 3 2 2" xfId="13567"/>
    <cellStyle name="Note 3 2 6 2 3 3 3" xfId="13568"/>
    <cellStyle name="Note 3 2 6 2 3 4" xfId="13569"/>
    <cellStyle name="Note 3 2 6 2 3 4 2" xfId="13570"/>
    <cellStyle name="Note 3 2 6 2 3 5" xfId="13571"/>
    <cellStyle name="Note 3 2 6 2 3 5 2" xfId="13572"/>
    <cellStyle name="Note 3 2 6 2 3 6" xfId="13573"/>
    <cellStyle name="Note 3 2 6 2 3 6 2" xfId="13574"/>
    <cellStyle name="Note 3 2 6 2 3 7" xfId="13575"/>
    <cellStyle name="Note 3 2 6 2 4" xfId="13576"/>
    <cellStyle name="Note 3 2 6 2 4 2" xfId="13577"/>
    <cellStyle name="Note 3 2 6 2 5" xfId="13578"/>
    <cellStyle name="Note 3 2 6 2 5 2" xfId="13579"/>
    <cellStyle name="Note 3 2 6 3" xfId="13580"/>
    <cellStyle name="Note 3 2 6 3 2" xfId="13581"/>
    <cellStyle name="Note 3 2 6 3 2 2" xfId="13582"/>
    <cellStyle name="Note 3 2 6 3 2 2 2" xfId="13583"/>
    <cellStyle name="Note 3 2 6 3 2 2 2 2" xfId="13584"/>
    <cellStyle name="Note 3 2 6 3 2 2 3" xfId="13585"/>
    <cellStyle name="Note 3 2 6 3 2 3" xfId="13586"/>
    <cellStyle name="Note 3 2 6 3 2 3 2" xfId="13587"/>
    <cellStyle name="Note 3 2 6 3 2 3 2 2" xfId="13588"/>
    <cellStyle name="Note 3 2 6 3 2 3 3" xfId="13589"/>
    <cellStyle name="Note 3 2 6 3 2 4" xfId="13590"/>
    <cellStyle name="Note 3 2 6 3 2 4 2" xfId="13591"/>
    <cellStyle name="Note 3 2 6 3 2 5" xfId="13592"/>
    <cellStyle name="Note 3 2 6 3 2 5 2" xfId="13593"/>
    <cellStyle name="Note 3 2 6 3 2 6" xfId="13594"/>
    <cellStyle name="Note 3 2 6 3 2 6 2" xfId="13595"/>
    <cellStyle name="Note 3 2 6 3 2 7" xfId="13596"/>
    <cellStyle name="Note 3 2 6 3 3" xfId="13597"/>
    <cellStyle name="Note 3 2 6 3 3 2" xfId="13598"/>
    <cellStyle name="Note 3 2 6 3 3 2 2" xfId="13599"/>
    <cellStyle name="Note 3 2 6 3 3 2 2 2" xfId="13600"/>
    <cellStyle name="Note 3 2 6 3 3 2 3" xfId="13601"/>
    <cellStyle name="Note 3 2 6 3 3 3" xfId="13602"/>
    <cellStyle name="Note 3 2 6 3 3 3 2" xfId="13603"/>
    <cellStyle name="Note 3 2 6 3 3 3 2 2" xfId="13604"/>
    <cellStyle name="Note 3 2 6 3 3 3 3" xfId="13605"/>
    <cellStyle name="Note 3 2 6 3 3 4" xfId="13606"/>
    <cellStyle name="Note 3 2 6 3 3 4 2" xfId="13607"/>
    <cellStyle name="Note 3 2 6 3 3 5" xfId="13608"/>
    <cellStyle name="Note 3 2 6 3 3 5 2" xfId="13609"/>
    <cellStyle name="Note 3 2 6 3 3 6" xfId="13610"/>
    <cellStyle name="Note 3 2 6 3 3 6 2" xfId="13611"/>
    <cellStyle name="Note 3 2 6 3 3 7" xfId="13612"/>
    <cellStyle name="Note 3 2 6 3 4" xfId="13613"/>
    <cellStyle name="Note 3 2 6 3 4 2" xfId="13614"/>
    <cellStyle name="Note 3 2 6 3 5" xfId="13615"/>
    <cellStyle name="Note 3 2 6 3 5 2" xfId="13616"/>
    <cellStyle name="Note 3 2 6 4" xfId="13617"/>
    <cellStyle name="Note 3 2 6 4 2" xfId="13618"/>
    <cellStyle name="Note 3 2 6 4 2 2" xfId="13619"/>
    <cellStyle name="Note 3 2 6 4 2 2 2" xfId="13620"/>
    <cellStyle name="Note 3 2 6 4 2 3" xfId="13621"/>
    <cellStyle name="Note 3 2 6 4 3" xfId="13622"/>
    <cellStyle name="Note 3 2 6 4 3 2" xfId="13623"/>
    <cellStyle name="Note 3 2 6 4 3 2 2" xfId="13624"/>
    <cellStyle name="Note 3 2 6 4 3 3" xfId="13625"/>
    <cellStyle name="Note 3 2 6 4 4" xfId="13626"/>
    <cellStyle name="Note 3 2 6 4 4 2" xfId="13627"/>
    <cellStyle name="Note 3 2 6 4 5" xfId="13628"/>
    <cellStyle name="Note 3 2 6 4 5 2" xfId="13629"/>
    <cellStyle name="Note 3 2 6 4 6" xfId="13630"/>
    <cellStyle name="Note 3 2 6 4 6 2" xfId="13631"/>
    <cellStyle name="Note 3 2 6 4 7" xfId="13632"/>
    <cellStyle name="Note 3 2 6 5" xfId="13633"/>
    <cellStyle name="Note 3 2 6 5 2" xfId="13634"/>
    <cellStyle name="Note 3 2 6 5 2 2" xfId="13635"/>
    <cellStyle name="Note 3 2 6 5 2 2 2" xfId="13636"/>
    <cellStyle name="Note 3 2 6 5 2 3" xfId="13637"/>
    <cellStyle name="Note 3 2 6 5 3" xfId="13638"/>
    <cellStyle name="Note 3 2 6 5 3 2" xfId="13639"/>
    <cellStyle name="Note 3 2 6 5 3 2 2" xfId="13640"/>
    <cellStyle name="Note 3 2 6 5 3 3" xfId="13641"/>
    <cellStyle name="Note 3 2 6 5 4" xfId="13642"/>
    <cellStyle name="Note 3 2 6 5 4 2" xfId="13643"/>
    <cellStyle name="Note 3 2 6 5 5" xfId="13644"/>
    <cellStyle name="Note 3 2 6 5 5 2" xfId="13645"/>
    <cellStyle name="Note 3 2 6 5 6" xfId="13646"/>
    <cellStyle name="Note 3 2 6 5 6 2" xfId="13647"/>
    <cellStyle name="Note 3 2 6 5 7" xfId="13648"/>
    <cellStyle name="Note 3 2 6 6" xfId="13649"/>
    <cellStyle name="Note 3 2 6 6 2" xfId="13650"/>
    <cellStyle name="Note 3 2 6 6 2 2" xfId="13651"/>
    <cellStyle name="Note 3 2 6 6 2 2 2" xfId="13652"/>
    <cellStyle name="Note 3 2 6 6 2 3" xfId="13653"/>
    <cellStyle name="Note 3 2 6 6 3" xfId="13654"/>
    <cellStyle name="Note 3 2 6 6 3 2" xfId="13655"/>
    <cellStyle name="Note 3 2 6 6 3 2 2" xfId="13656"/>
    <cellStyle name="Note 3 2 6 6 3 3" xfId="13657"/>
    <cellStyle name="Note 3 2 6 6 4" xfId="13658"/>
    <cellStyle name="Note 3 2 6 6 4 2" xfId="13659"/>
    <cellStyle name="Note 3 2 6 6 5" xfId="13660"/>
    <cellStyle name="Note 3 2 6 6 5 2" xfId="13661"/>
    <cellStyle name="Note 3 2 6 6 6" xfId="13662"/>
    <cellStyle name="Note 3 2 6 6 6 2" xfId="13663"/>
    <cellStyle name="Note 3 2 6 6 7" xfId="13664"/>
    <cellStyle name="Note 3 2 6 7" xfId="13665"/>
    <cellStyle name="Note 3 2 6 7 2" xfId="13666"/>
    <cellStyle name="Note 3 2 6 8" xfId="13667"/>
    <cellStyle name="Note 3 2 6 8 2" xfId="13668"/>
    <cellStyle name="Note 3 2 7" xfId="13669"/>
    <cellStyle name="Note 3 2 7 2" xfId="13670"/>
    <cellStyle name="Note 3 2 7 2 2" xfId="13671"/>
    <cellStyle name="Note 3 2 7 2 2 2" xfId="13672"/>
    <cellStyle name="Note 3 2 7 2 2 2 2" xfId="13673"/>
    <cellStyle name="Note 3 2 7 2 2 2 2 2" xfId="13674"/>
    <cellStyle name="Note 3 2 7 2 2 2 3" xfId="13675"/>
    <cellStyle name="Note 3 2 7 2 2 3" xfId="13676"/>
    <cellStyle name="Note 3 2 7 2 2 3 2" xfId="13677"/>
    <cellStyle name="Note 3 2 7 2 2 3 2 2" xfId="13678"/>
    <cellStyle name="Note 3 2 7 2 2 3 3" xfId="13679"/>
    <cellStyle name="Note 3 2 7 2 2 4" xfId="13680"/>
    <cellStyle name="Note 3 2 7 2 2 4 2" xfId="13681"/>
    <cellStyle name="Note 3 2 7 2 2 5" xfId="13682"/>
    <cellStyle name="Note 3 2 7 2 2 5 2" xfId="13683"/>
    <cellStyle name="Note 3 2 7 2 2 6" xfId="13684"/>
    <cellStyle name="Note 3 2 7 2 2 6 2" xfId="13685"/>
    <cellStyle name="Note 3 2 7 2 2 7" xfId="13686"/>
    <cellStyle name="Note 3 2 7 2 3" xfId="13687"/>
    <cellStyle name="Note 3 2 7 2 3 2" xfId="13688"/>
    <cellStyle name="Note 3 2 7 2 3 2 2" xfId="13689"/>
    <cellStyle name="Note 3 2 7 2 3 2 2 2" xfId="13690"/>
    <cellStyle name="Note 3 2 7 2 3 2 3" xfId="13691"/>
    <cellStyle name="Note 3 2 7 2 3 3" xfId="13692"/>
    <cellStyle name="Note 3 2 7 2 3 3 2" xfId="13693"/>
    <cellStyle name="Note 3 2 7 2 3 3 2 2" xfId="13694"/>
    <cellStyle name="Note 3 2 7 2 3 3 3" xfId="13695"/>
    <cellStyle name="Note 3 2 7 2 3 4" xfId="13696"/>
    <cellStyle name="Note 3 2 7 2 3 4 2" xfId="13697"/>
    <cellStyle name="Note 3 2 7 2 3 5" xfId="13698"/>
    <cellStyle name="Note 3 2 7 2 3 5 2" xfId="13699"/>
    <cellStyle name="Note 3 2 7 2 3 6" xfId="13700"/>
    <cellStyle name="Note 3 2 7 2 3 6 2" xfId="13701"/>
    <cellStyle name="Note 3 2 7 2 3 7" xfId="13702"/>
    <cellStyle name="Note 3 2 7 2 4" xfId="13703"/>
    <cellStyle name="Note 3 2 7 2 4 2" xfId="13704"/>
    <cellStyle name="Note 3 2 7 2 5" xfId="13705"/>
    <cellStyle name="Note 3 2 7 2 5 2" xfId="13706"/>
    <cellStyle name="Note 3 2 7 3" xfId="13707"/>
    <cellStyle name="Note 3 2 7 3 2" xfId="13708"/>
    <cellStyle name="Note 3 2 7 3 2 2" xfId="13709"/>
    <cellStyle name="Note 3 2 7 3 2 2 2" xfId="13710"/>
    <cellStyle name="Note 3 2 7 3 2 2 2 2" xfId="13711"/>
    <cellStyle name="Note 3 2 7 3 2 2 3" xfId="13712"/>
    <cellStyle name="Note 3 2 7 3 2 3" xfId="13713"/>
    <cellStyle name="Note 3 2 7 3 2 3 2" xfId="13714"/>
    <cellStyle name="Note 3 2 7 3 2 3 2 2" xfId="13715"/>
    <cellStyle name="Note 3 2 7 3 2 3 3" xfId="13716"/>
    <cellStyle name="Note 3 2 7 3 2 4" xfId="13717"/>
    <cellStyle name="Note 3 2 7 3 2 4 2" xfId="13718"/>
    <cellStyle name="Note 3 2 7 3 2 5" xfId="13719"/>
    <cellStyle name="Note 3 2 7 3 2 5 2" xfId="13720"/>
    <cellStyle name="Note 3 2 7 3 2 6" xfId="13721"/>
    <cellStyle name="Note 3 2 7 3 2 6 2" xfId="13722"/>
    <cellStyle name="Note 3 2 7 3 2 7" xfId="13723"/>
    <cellStyle name="Note 3 2 7 3 3" xfId="13724"/>
    <cellStyle name="Note 3 2 7 3 3 2" xfId="13725"/>
    <cellStyle name="Note 3 2 7 3 3 2 2" xfId="13726"/>
    <cellStyle name="Note 3 2 7 3 3 2 2 2" xfId="13727"/>
    <cellStyle name="Note 3 2 7 3 3 2 3" xfId="13728"/>
    <cellStyle name="Note 3 2 7 3 3 3" xfId="13729"/>
    <cellStyle name="Note 3 2 7 3 3 3 2" xfId="13730"/>
    <cellStyle name="Note 3 2 7 3 3 3 2 2" xfId="13731"/>
    <cellStyle name="Note 3 2 7 3 3 3 3" xfId="13732"/>
    <cellStyle name="Note 3 2 7 3 3 4" xfId="13733"/>
    <cellStyle name="Note 3 2 7 3 3 4 2" xfId="13734"/>
    <cellStyle name="Note 3 2 7 3 3 5" xfId="13735"/>
    <cellStyle name="Note 3 2 7 3 3 5 2" xfId="13736"/>
    <cellStyle name="Note 3 2 7 3 3 6" xfId="13737"/>
    <cellStyle name="Note 3 2 7 3 3 6 2" xfId="13738"/>
    <cellStyle name="Note 3 2 7 3 3 7" xfId="13739"/>
    <cellStyle name="Note 3 2 7 3 4" xfId="13740"/>
    <cellStyle name="Note 3 2 7 3 4 2" xfId="13741"/>
    <cellStyle name="Note 3 2 7 3 5" xfId="13742"/>
    <cellStyle name="Note 3 2 7 3 5 2" xfId="13743"/>
    <cellStyle name="Note 3 2 7 4" xfId="13744"/>
    <cellStyle name="Note 3 2 7 4 2" xfId="13745"/>
    <cellStyle name="Note 3 2 7 4 2 2" xfId="13746"/>
    <cellStyle name="Note 3 2 7 4 2 2 2" xfId="13747"/>
    <cellStyle name="Note 3 2 7 4 2 3" xfId="13748"/>
    <cellStyle name="Note 3 2 7 4 3" xfId="13749"/>
    <cellStyle name="Note 3 2 7 4 3 2" xfId="13750"/>
    <cellStyle name="Note 3 2 7 4 3 2 2" xfId="13751"/>
    <cellStyle name="Note 3 2 7 4 3 3" xfId="13752"/>
    <cellStyle name="Note 3 2 7 4 4" xfId="13753"/>
    <cellStyle name="Note 3 2 7 4 4 2" xfId="13754"/>
    <cellStyle name="Note 3 2 7 4 5" xfId="13755"/>
    <cellStyle name="Note 3 2 7 4 5 2" xfId="13756"/>
    <cellStyle name="Note 3 2 7 4 6" xfId="13757"/>
    <cellStyle name="Note 3 2 7 4 6 2" xfId="13758"/>
    <cellStyle name="Note 3 2 7 4 7" xfId="13759"/>
    <cellStyle name="Note 3 2 7 5" xfId="13760"/>
    <cellStyle name="Note 3 2 7 5 2" xfId="13761"/>
    <cellStyle name="Note 3 2 7 5 2 2" xfId="13762"/>
    <cellStyle name="Note 3 2 7 5 2 2 2" xfId="13763"/>
    <cellStyle name="Note 3 2 7 5 2 3" xfId="13764"/>
    <cellStyle name="Note 3 2 7 5 3" xfId="13765"/>
    <cellStyle name="Note 3 2 7 5 3 2" xfId="13766"/>
    <cellStyle name="Note 3 2 7 5 3 2 2" xfId="13767"/>
    <cellStyle name="Note 3 2 7 5 3 3" xfId="13768"/>
    <cellStyle name="Note 3 2 7 5 4" xfId="13769"/>
    <cellStyle name="Note 3 2 7 5 4 2" xfId="13770"/>
    <cellStyle name="Note 3 2 7 5 5" xfId="13771"/>
    <cellStyle name="Note 3 2 7 5 5 2" xfId="13772"/>
    <cellStyle name="Note 3 2 7 5 6" xfId="13773"/>
    <cellStyle name="Note 3 2 7 5 6 2" xfId="13774"/>
    <cellStyle name="Note 3 2 7 5 7" xfId="13775"/>
    <cellStyle name="Note 3 2 7 6" xfId="13776"/>
    <cellStyle name="Note 3 2 7 6 2" xfId="13777"/>
    <cellStyle name="Note 3 2 7 7" xfId="13778"/>
    <cellStyle name="Note 3 2 7 7 2" xfId="13779"/>
    <cellStyle name="Note 3 2 8" xfId="13780"/>
    <cellStyle name="Note 3 2 8 2" xfId="13781"/>
    <cellStyle name="Note 3 2 8 2 2" xfId="13782"/>
    <cellStyle name="Note 3 2 8 2 2 2" xfId="13783"/>
    <cellStyle name="Note 3 2 8 2 2 2 2" xfId="13784"/>
    <cellStyle name="Note 3 2 8 2 2 3" xfId="13785"/>
    <cellStyle name="Note 3 2 8 2 3" xfId="13786"/>
    <cellStyle name="Note 3 2 8 2 3 2" xfId="13787"/>
    <cellStyle name="Note 3 2 8 2 3 2 2" xfId="13788"/>
    <cellStyle name="Note 3 2 8 2 3 3" xfId="13789"/>
    <cellStyle name="Note 3 2 8 2 4" xfId="13790"/>
    <cellStyle name="Note 3 2 8 2 4 2" xfId="13791"/>
    <cellStyle name="Note 3 2 8 2 5" xfId="13792"/>
    <cellStyle name="Note 3 2 8 2 5 2" xfId="13793"/>
    <cellStyle name="Note 3 2 8 2 6" xfId="13794"/>
    <cellStyle name="Note 3 2 8 2 6 2" xfId="13795"/>
    <cellStyle name="Note 3 2 8 2 7" xfId="13796"/>
    <cellStyle name="Note 3 2 8 3" xfId="13797"/>
    <cellStyle name="Note 3 2 8 3 2" xfId="13798"/>
    <cellStyle name="Note 3 2 8 3 2 2" xfId="13799"/>
    <cellStyle name="Note 3 2 8 3 2 2 2" xfId="13800"/>
    <cellStyle name="Note 3 2 8 3 2 3" xfId="13801"/>
    <cellStyle name="Note 3 2 8 3 3" xfId="13802"/>
    <cellStyle name="Note 3 2 8 3 3 2" xfId="13803"/>
    <cellStyle name="Note 3 2 8 3 3 2 2" xfId="13804"/>
    <cellStyle name="Note 3 2 8 3 3 3" xfId="13805"/>
    <cellStyle name="Note 3 2 8 3 4" xfId="13806"/>
    <cellStyle name="Note 3 2 8 3 4 2" xfId="13807"/>
    <cellStyle name="Note 3 2 8 3 5" xfId="13808"/>
    <cellStyle name="Note 3 2 8 3 5 2" xfId="13809"/>
    <cellStyle name="Note 3 2 8 3 6" xfId="13810"/>
    <cellStyle name="Note 3 2 8 3 6 2" xfId="13811"/>
    <cellStyle name="Note 3 2 8 3 7" xfId="13812"/>
    <cellStyle name="Note 3 2 8 4" xfId="13813"/>
    <cellStyle name="Note 3 2 8 4 2" xfId="13814"/>
    <cellStyle name="Note 3 2 8 5" xfId="13815"/>
    <cellStyle name="Note 3 2 8 5 2" xfId="13816"/>
    <cellStyle name="Note 3 2 9" xfId="13817"/>
    <cellStyle name="Note 3 2 9 2" xfId="13818"/>
    <cellStyle name="Note 3 2 9 2 2" xfId="13819"/>
    <cellStyle name="Note 3 2 9 2 2 2" xfId="13820"/>
    <cellStyle name="Note 3 2 9 2 2 2 2" xfId="13821"/>
    <cellStyle name="Note 3 2 9 2 2 3" xfId="13822"/>
    <cellStyle name="Note 3 2 9 2 3" xfId="13823"/>
    <cellStyle name="Note 3 2 9 2 3 2" xfId="13824"/>
    <cellStyle name="Note 3 2 9 2 3 2 2" xfId="13825"/>
    <cellStyle name="Note 3 2 9 2 3 3" xfId="13826"/>
    <cellStyle name="Note 3 2 9 2 4" xfId="13827"/>
    <cellStyle name="Note 3 2 9 2 4 2" xfId="13828"/>
    <cellStyle name="Note 3 2 9 2 5" xfId="13829"/>
    <cellStyle name="Note 3 2 9 2 5 2" xfId="13830"/>
    <cellStyle name="Note 3 2 9 2 6" xfId="13831"/>
    <cellStyle name="Note 3 2 9 2 6 2" xfId="13832"/>
    <cellStyle name="Note 3 2 9 2 7" xfId="13833"/>
    <cellStyle name="Note 3 2 9 3" xfId="13834"/>
    <cellStyle name="Note 3 2 9 3 2" xfId="13835"/>
    <cellStyle name="Note 3 2 9 3 2 2" xfId="13836"/>
    <cellStyle name="Note 3 2 9 3 2 2 2" xfId="13837"/>
    <cellStyle name="Note 3 2 9 3 2 3" xfId="13838"/>
    <cellStyle name="Note 3 2 9 3 3" xfId="13839"/>
    <cellStyle name="Note 3 2 9 3 3 2" xfId="13840"/>
    <cellStyle name="Note 3 2 9 3 3 2 2" xfId="13841"/>
    <cellStyle name="Note 3 2 9 3 3 3" xfId="13842"/>
    <cellStyle name="Note 3 2 9 3 4" xfId="13843"/>
    <cellStyle name="Note 3 2 9 3 4 2" xfId="13844"/>
    <cellStyle name="Note 3 2 9 3 5" xfId="13845"/>
    <cellStyle name="Note 3 2 9 3 5 2" xfId="13846"/>
    <cellStyle name="Note 3 2 9 3 6" xfId="13847"/>
    <cellStyle name="Note 3 2 9 3 6 2" xfId="13848"/>
    <cellStyle name="Note 3 2 9 3 7" xfId="13849"/>
    <cellStyle name="Note 3 2 9 4" xfId="13850"/>
    <cellStyle name="Note 3 2 9 4 2" xfId="13851"/>
    <cellStyle name="Note 3 2 9 5" xfId="13852"/>
    <cellStyle name="Note 3 2 9 5 2" xfId="13853"/>
    <cellStyle name="Note 3 3" xfId="13854"/>
    <cellStyle name="Note 3 3 2" xfId="13855"/>
    <cellStyle name="Note 3 3 2 2" xfId="13856"/>
    <cellStyle name="Note 3 3 2 2 2" xfId="13857"/>
    <cellStyle name="Note 3 3 2 2 2 2" xfId="13858"/>
    <cellStyle name="Note 3 3 2 2 3" xfId="13859"/>
    <cellStyle name="Note 3 3 2 3" xfId="13860"/>
    <cellStyle name="Note 3 3 2 3 2" xfId="13861"/>
    <cellStyle name="Note 3 3 2 3 2 2" xfId="13862"/>
    <cellStyle name="Note 3 3 2 3 3" xfId="13863"/>
    <cellStyle name="Note 3 3 2 4" xfId="13864"/>
    <cellStyle name="Note 3 3 2 4 2" xfId="13865"/>
    <cellStyle name="Note 3 3 2 5" xfId="13866"/>
    <cellStyle name="Note 3 3 2 5 2" xfId="13867"/>
    <cellStyle name="Note 3 3 2 6" xfId="13868"/>
    <cellStyle name="Note 3 3 2 6 2" xfId="13869"/>
    <cellStyle name="Note 3 3 2 7" xfId="13870"/>
    <cellStyle name="Note 3 3 3" xfId="13871"/>
    <cellStyle name="Note 3 3 3 2" xfId="13872"/>
    <cellStyle name="Note 3 3 3 2 2" xfId="13873"/>
    <cellStyle name="Note 3 3 3 2 2 2" xfId="13874"/>
    <cellStyle name="Note 3 3 3 2 3" xfId="13875"/>
    <cellStyle name="Note 3 3 3 3" xfId="13876"/>
    <cellStyle name="Note 3 3 3 3 2" xfId="13877"/>
    <cellStyle name="Note 3 3 3 3 2 2" xfId="13878"/>
    <cellStyle name="Note 3 3 3 3 3" xfId="13879"/>
    <cellStyle name="Note 3 3 3 4" xfId="13880"/>
    <cellStyle name="Note 3 3 3 4 2" xfId="13881"/>
    <cellStyle name="Note 3 3 3 5" xfId="13882"/>
    <cellStyle name="Note 3 3 3 5 2" xfId="13883"/>
    <cellStyle name="Note 3 3 3 6" xfId="13884"/>
    <cellStyle name="Note 3 3 3 6 2" xfId="13885"/>
    <cellStyle name="Note 3 3 3 7" xfId="13886"/>
    <cellStyle name="Note 3 3 4" xfId="13887"/>
    <cellStyle name="Note 3 3 4 2" xfId="13888"/>
    <cellStyle name="Note 3 3 5" xfId="13889"/>
    <cellStyle name="Note 3 3 5 2" xfId="13890"/>
    <cellStyle name="Note 3 4" xfId="13891"/>
    <cellStyle name="Note 3 4 2" xfId="13892"/>
    <cellStyle name="Note 3 4 2 2" xfId="13893"/>
    <cellStyle name="Note 3 4 2 2 2" xfId="13894"/>
    <cellStyle name="Note 3 4 2 2 2 2" xfId="13895"/>
    <cellStyle name="Note 3 4 2 2 3" xfId="13896"/>
    <cellStyle name="Note 3 4 2 3" xfId="13897"/>
    <cellStyle name="Note 3 4 2 3 2" xfId="13898"/>
    <cellStyle name="Note 3 4 2 3 2 2" xfId="13899"/>
    <cellStyle name="Note 3 4 2 3 3" xfId="13900"/>
    <cellStyle name="Note 3 4 2 4" xfId="13901"/>
    <cellStyle name="Note 3 4 2 4 2" xfId="13902"/>
    <cellStyle name="Note 3 4 2 5" xfId="13903"/>
    <cellStyle name="Note 3 4 2 5 2" xfId="13904"/>
    <cellStyle name="Note 3 4 2 6" xfId="13905"/>
    <cellStyle name="Note 3 4 2 6 2" xfId="13906"/>
    <cellStyle name="Note 3 4 2 7" xfId="13907"/>
    <cellStyle name="Note 3 4 3" xfId="13908"/>
    <cellStyle name="Note 3 4 3 2" xfId="13909"/>
    <cellStyle name="Note 3 4 3 2 2" xfId="13910"/>
    <cellStyle name="Note 3 4 3 2 2 2" xfId="13911"/>
    <cellStyle name="Note 3 4 3 2 3" xfId="13912"/>
    <cellStyle name="Note 3 4 3 3" xfId="13913"/>
    <cellStyle name="Note 3 4 3 3 2" xfId="13914"/>
    <cellStyle name="Note 3 4 3 3 2 2" xfId="13915"/>
    <cellStyle name="Note 3 4 3 3 3" xfId="13916"/>
    <cellStyle name="Note 3 4 3 4" xfId="13917"/>
    <cellStyle name="Note 3 4 3 4 2" xfId="13918"/>
    <cellStyle name="Note 3 4 3 5" xfId="13919"/>
    <cellStyle name="Note 3 4 3 5 2" xfId="13920"/>
    <cellStyle name="Note 3 4 3 6" xfId="13921"/>
    <cellStyle name="Note 3 4 3 6 2" xfId="13922"/>
    <cellStyle name="Note 3 4 3 7" xfId="13923"/>
    <cellStyle name="Note 3 4 4" xfId="13924"/>
    <cellStyle name="Note 3 4 4 2" xfId="13925"/>
    <cellStyle name="Note 3 4 5" xfId="13926"/>
    <cellStyle name="Note 3 4 5 2" xfId="13927"/>
    <cellStyle name="Note 3 5" xfId="13928"/>
    <cellStyle name="Note 3 5 2" xfId="13929"/>
    <cellStyle name="Note 3 5 2 2" xfId="13930"/>
    <cellStyle name="Note 3 5 2 2 2" xfId="13931"/>
    <cellStyle name="Note 3 5 2 3" xfId="13932"/>
    <cellStyle name="Note 3 5 3" xfId="13933"/>
    <cellStyle name="Note 3 5 3 2" xfId="13934"/>
    <cellStyle name="Note 3 5 3 2 2" xfId="13935"/>
    <cellStyle name="Note 3 5 3 3" xfId="13936"/>
    <cellStyle name="Note 3 5 4" xfId="13937"/>
    <cellStyle name="Note 3 5 4 2" xfId="13938"/>
    <cellStyle name="Note 3 5 5" xfId="13939"/>
    <cellStyle name="Note 3 5 5 2" xfId="13940"/>
    <cellStyle name="Note 3 5 6" xfId="13941"/>
    <cellStyle name="Note 3 5 6 2" xfId="13942"/>
    <cellStyle name="Note 3 5 7" xfId="13943"/>
    <cellStyle name="Note 3 6" xfId="13944"/>
    <cellStyle name="Note 3 6 2" xfId="13945"/>
    <cellStyle name="Note 3 6 2 2" xfId="13946"/>
    <cellStyle name="Note 3 6 2 2 2" xfId="13947"/>
    <cellStyle name="Note 3 6 2 3" xfId="13948"/>
    <cellStyle name="Note 3 6 3" xfId="13949"/>
    <cellStyle name="Note 3 6 3 2" xfId="13950"/>
    <cellStyle name="Note 3 6 3 2 2" xfId="13951"/>
    <cellStyle name="Note 3 6 3 3" xfId="13952"/>
    <cellStyle name="Note 3 6 4" xfId="13953"/>
    <cellStyle name="Note 3 6 4 2" xfId="13954"/>
    <cellStyle name="Note 3 6 5" xfId="13955"/>
    <cellStyle name="Note 3 6 5 2" xfId="13956"/>
    <cellStyle name="Note 3 6 6" xfId="13957"/>
    <cellStyle name="Note 3 6 6 2" xfId="13958"/>
    <cellStyle name="Note 3 6 7" xfId="13959"/>
    <cellStyle name="Note 3 7" xfId="13960"/>
    <cellStyle name="Note 3 7 2" xfId="13961"/>
    <cellStyle name="Note 3 8" xfId="13962"/>
    <cellStyle name="Note 3 8 2" xfId="13963"/>
    <cellStyle name="Note 3 9" xfId="13964"/>
    <cellStyle name="Note 3 9 2" xfId="13965"/>
    <cellStyle name="Note 4" xfId="302"/>
    <cellStyle name="Note 4 2" xfId="13966"/>
    <cellStyle name="Note 4 2 10" xfId="13967"/>
    <cellStyle name="Note 4 2 10 2" xfId="13968"/>
    <cellStyle name="Note 4 2 10 2 2" xfId="13969"/>
    <cellStyle name="Note 4 2 10 2 2 2" xfId="13970"/>
    <cellStyle name="Note 4 2 10 2 3" xfId="13971"/>
    <cellStyle name="Note 4 2 10 3" xfId="13972"/>
    <cellStyle name="Note 4 2 10 3 2" xfId="13973"/>
    <cellStyle name="Note 4 2 10 3 2 2" xfId="13974"/>
    <cellStyle name="Note 4 2 10 3 3" xfId="13975"/>
    <cellStyle name="Note 4 2 10 4" xfId="13976"/>
    <cellStyle name="Note 4 2 10 4 2" xfId="13977"/>
    <cellStyle name="Note 4 2 10 5" xfId="13978"/>
    <cellStyle name="Note 4 2 10 5 2" xfId="13979"/>
    <cellStyle name="Note 4 2 10 6" xfId="13980"/>
    <cellStyle name="Note 4 2 10 6 2" xfId="13981"/>
    <cellStyle name="Note 4 2 10 7" xfId="13982"/>
    <cellStyle name="Note 4 2 11" xfId="13983"/>
    <cellStyle name="Note 4 2 11 2" xfId="13984"/>
    <cellStyle name="Note 4 2 11 2 2" xfId="13985"/>
    <cellStyle name="Note 4 2 11 2 2 2" xfId="13986"/>
    <cellStyle name="Note 4 2 11 2 3" xfId="13987"/>
    <cellStyle name="Note 4 2 11 3" xfId="13988"/>
    <cellStyle name="Note 4 2 11 3 2" xfId="13989"/>
    <cellStyle name="Note 4 2 11 3 2 2" xfId="13990"/>
    <cellStyle name="Note 4 2 11 3 3" xfId="13991"/>
    <cellStyle name="Note 4 2 11 4" xfId="13992"/>
    <cellStyle name="Note 4 2 11 4 2" xfId="13993"/>
    <cellStyle name="Note 4 2 11 5" xfId="13994"/>
    <cellStyle name="Note 4 2 11 5 2" xfId="13995"/>
    <cellStyle name="Note 4 2 11 6" xfId="13996"/>
    <cellStyle name="Note 4 2 11 6 2" xfId="13997"/>
    <cellStyle name="Note 4 2 11 7" xfId="13998"/>
    <cellStyle name="Note 4 2 12" xfId="13999"/>
    <cellStyle name="Note 4 2 12 2" xfId="14000"/>
    <cellStyle name="Note 4 2 13" xfId="14001"/>
    <cellStyle name="Note 4 2 13 2" xfId="14002"/>
    <cellStyle name="Note 4 2 14" xfId="14003"/>
    <cellStyle name="Note 4 2 14 2" xfId="14004"/>
    <cellStyle name="Note 4 2 2" xfId="14005"/>
    <cellStyle name="Note 4 2 2 2" xfId="14006"/>
    <cellStyle name="Note 4 2 2 2 2" xfId="14007"/>
    <cellStyle name="Note 4 2 2 2 2 2" xfId="14008"/>
    <cellStyle name="Note 4 2 2 2 2 2 2" xfId="14009"/>
    <cellStyle name="Note 4 2 2 2 2 2 2 2" xfId="14010"/>
    <cellStyle name="Note 4 2 2 2 2 2 3" xfId="14011"/>
    <cellStyle name="Note 4 2 2 2 2 3" xfId="14012"/>
    <cellStyle name="Note 4 2 2 2 2 3 2" xfId="14013"/>
    <cellStyle name="Note 4 2 2 2 2 3 2 2" xfId="14014"/>
    <cellStyle name="Note 4 2 2 2 2 3 3" xfId="14015"/>
    <cellStyle name="Note 4 2 2 2 2 4" xfId="14016"/>
    <cellStyle name="Note 4 2 2 2 2 4 2" xfId="14017"/>
    <cellStyle name="Note 4 2 2 2 2 5" xfId="14018"/>
    <cellStyle name="Note 4 2 2 2 2 5 2" xfId="14019"/>
    <cellStyle name="Note 4 2 2 2 2 6" xfId="14020"/>
    <cellStyle name="Note 4 2 2 2 2 6 2" xfId="14021"/>
    <cellStyle name="Note 4 2 2 2 2 7" xfId="14022"/>
    <cellStyle name="Note 4 2 2 2 3" xfId="14023"/>
    <cellStyle name="Note 4 2 2 2 3 2" xfId="14024"/>
    <cellStyle name="Note 4 2 2 2 3 2 2" xfId="14025"/>
    <cellStyle name="Note 4 2 2 2 3 2 2 2" xfId="14026"/>
    <cellStyle name="Note 4 2 2 2 3 2 3" xfId="14027"/>
    <cellStyle name="Note 4 2 2 2 3 3" xfId="14028"/>
    <cellStyle name="Note 4 2 2 2 3 3 2" xfId="14029"/>
    <cellStyle name="Note 4 2 2 2 3 3 2 2" xfId="14030"/>
    <cellStyle name="Note 4 2 2 2 3 3 3" xfId="14031"/>
    <cellStyle name="Note 4 2 2 2 3 4" xfId="14032"/>
    <cellStyle name="Note 4 2 2 2 3 4 2" xfId="14033"/>
    <cellStyle name="Note 4 2 2 2 3 5" xfId="14034"/>
    <cellStyle name="Note 4 2 2 2 3 5 2" xfId="14035"/>
    <cellStyle name="Note 4 2 2 2 3 6" xfId="14036"/>
    <cellStyle name="Note 4 2 2 2 3 6 2" xfId="14037"/>
    <cellStyle name="Note 4 2 2 2 3 7" xfId="14038"/>
    <cellStyle name="Note 4 2 2 2 4" xfId="14039"/>
    <cellStyle name="Note 4 2 2 2 4 2" xfId="14040"/>
    <cellStyle name="Note 4 2 2 2 5" xfId="14041"/>
    <cellStyle name="Note 4 2 2 2 5 2" xfId="14042"/>
    <cellStyle name="Note 4 2 2 3" xfId="14043"/>
    <cellStyle name="Note 4 2 2 3 2" xfId="14044"/>
    <cellStyle name="Note 4 2 2 3 2 2" xfId="14045"/>
    <cellStyle name="Note 4 2 2 3 2 2 2" xfId="14046"/>
    <cellStyle name="Note 4 2 2 3 2 2 2 2" xfId="14047"/>
    <cellStyle name="Note 4 2 2 3 2 2 3" xfId="14048"/>
    <cellStyle name="Note 4 2 2 3 2 3" xfId="14049"/>
    <cellStyle name="Note 4 2 2 3 2 3 2" xfId="14050"/>
    <cellStyle name="Note 4 2 2 3 2 3 2 2" xfId="14051"/>
    <cellStyle name="Note 4 2 2 3 2 3 3" xfId="14052"/>
    <cellStyle name="Note 4 2 2 3 2 4" xfId="14053"/>
    <cellStyle name="Note 4 2 2 3 2 4 2" xfId="14054"/>
    <cellStyle name="Note 4 2 2 3 2 5" xfId="14055"/>
    <cellStyle name="Note 4 2 2 3 2 5 2" xfId="14056"/>
    <cellStyle name="Note 4 2 2 3 2 6" xfId="14057"/>
    <cellStyle name="Note 4 2 2 3 2 6 2" xfId="14058"/>
    <cellStyle name="Note 4 2 2 3 2 7" xfId="14059"/>
    <cellStyle name="Note 4 2 2 3 3" xfId="14060"/>
    <cellStyle name="Note 4 2 2 3 3 2" xfId="14061"/>
    <cellStyle name="Note 4 2 2 3 3 2 2" xfId="14062"/>
    <cellStyle name="Note 4 2 2 3 3 2 2 2" xfId="14063"/>
    <cellStyle name="Note 4 2 2 3 3 2 3" xfId="14064"/>
    <cellStyle name="Note 4 2 2 3 3 3" xfId="14065"/>
    <cellStyle name="Note 4 2 2 3 3 3 2" xfId="14066"/>
    <cellStyle name="Note 4 2 2 3 3 3 2 2" xfId="14067"/>
    <cellStyle name="Note 4 2 2 3 3 3 3" xfId="14068"/>
    <cellStyle name="Note 4 2 2 3 3 4" xfId="14069"/>
    <cellStyle name="Note 4 2 2 3 3 4 2" xfId="14070"/>
    <cellStyle name="Note 4 2 2 3 3 5" xfId="14071"/>
    <cellStyle name="Note 4 2 2 3 3 5 2" xfId="14072"/>
    <cellStyle name="Note 4 2 2 3 3 6" xfId="14073"/>
    <cellStyle name="Note 4 2 2 3 3 6 2" xfId="14074"/>
    <cellStyle name="Note 4 2 2 3 3 7" xfId="14075"/>
    <cellStyle name="Note 4 2 2 3 4" xfId="14076"/>
    <cellStyle name="Note 4 2 2 3 4 2" xfId="14077"/>
    <cellStyle name="Note 4 2 2 3 5" xfId="14078"/>
    <cellStyle name="Note 4 2 2 3 5 2" xfId="14079"/>
    <cellStyle name="Note 4 2 2 4" xfId="14080"/>
    <cellStyle name="Note 4 2 2 4 2" xfId="14081"/>
    <cellStyle name="Note 4 2 2 4 2 2" xfId="14082"/>
    <cellStyle name="Note 4 2 2 4 2 2 2" xfId="14083"/>
    <cellStyle name="Note 4 2 2 4 2 3" xfId="14084"/>
    <cellStyle name="Note 4 2 2 4 3" xfId="14085"/>
    <cellStyle name="Note 4 2 2 4 3 2" xfId="14086"/>
    <cellStyle name="Note 4 2 2 4 3 2 2" xfId="14087"/>
    <cellStyle name="Note 4 2 2 4 3 3" xfId="14088"/>
    <cellStyle name="Note 4 2 2 4 4" xfId="14089"/>
    <cellStyle name="Note 4 2 2 4 4 2" xfId="14090"/>
    <cellStyle name="Note 4 2 2 4 5" xfId="14091"/>
    <cellStyle name="Note 4 2 2 4 5 2" xfId="14092"/>
    <cellStyle name="Note 4 2 2 4 6" xfId="14093"/>
    <cellStyle name="Note 4 2 2 4 6 2" xfId="14094"/>
    <cellStyle name="Note 4 2 2 4 7" xfId="14095"/>
    <cellStyle name="Note 4 2 2 5" xfId="14096"/>
    <cellStyle name="Note 4 2 2 5 2" xfId="14097"/>
    <cellStyle name="Note 4 2 2 5 2 2" xfId="14098"/>
    <cellStyle name="Note 4 2 2 5 2 2 2" xfId="14099"/>
    <cellStyle name="Note 4 2 2 5 2 3" xfId="14100"/>
    <cellStyle name="Note 4 2 2 5 3" xfId="14101"/>
    <cellStyle name="Note 4 2 2 5 3 2" xfId="14102"/>
    <cellStyle name="Note 4 2 2 5 3 2 2" xfId="14103"/>
    <cellStyle name="Note 4 2 2 5 3 3" xfId="14104"/>
    <cellStyle name="Note 4 2 2 5 4" xfId="14105"/>
    <cellStyle name="Note 4 2 2 5 4 2" xfId="14106"/>
    <cellStyle name="Note 4 2 2 5 5" xfId="14107"/>
    <cellStyle name="Note 4 2 2 5 5 2" xfId="14108"/>
    <cellStyle name="Note 4 2 2 5 6" xfId="14109"/>
    <cellStyle name="Note 4 2 2 5 6 2" xfId="14110"/>
    <cellStyle name="Note 4 2 2 5 7" xfId="14111"/>
    <cellStyle name="Note 4 2 2 6" xfId="14112"/>
    <cellStyle name="Note 4 2 2 6 2" xfId="14113"/>
    <cellStyle name="Note 4 2 2 6 2 2" xfId="14114"/>
    <cellStyle name="Note 4 2 2 6 2 2 2" xfId="14115"/>
    <cellStyle name="Note 4 2 2 6 2 3" xfId="14116"/>
    <cellStyle name="Note 4 2 2 6 3" xfId="14117"/>
    <cellStyle name="Note 4 2 2 6 3 2" xfId="14118"/>
    <cellStyle name="Note 4 2 2 6 3 2 2" xfId="14119"/>
    <cellStyle name="Note 4 2 2 6 3 3" xfId="14120"/>
    <cellStyle name="Note 4 2 2 6 4" xfId="14121"/>
    <cellStyle name="Note 4 2 2 6 4 2" xfId="14122"/>
    <cellStyle name="Note 4 2 2 6 5" xfId="14123"/>
    <cellStyle name="Note 4 2 2 6 5 2" xfId="14124"/>
    <cellStyle name="Note 4 2 2 6 6" xfId="14125"/>
    <cellStyle name="Note 4 2 2 6 6 2" xfId="14126"/>
    <cellStyle name="Note 4 2 2 6 7" xfId="14127"/>
    <cellStyle name="Note 4 2 2 7" xfId="14128"/>
    <cellStyle name="Note 4 2 2 7 2" xfId="14129"/>
    <cellStyle name="Note 4 2 2 8" xfId="14130"/>
    <cellStyle name="Note 4 2 2 8 2" xfId="14131"/>
    <cellStyle name="Note 4 2 3" xfId="14132"/>
    <cellStyle name="Note 4 2 3 2" xfId="14133"/>
    <cellStyle name="Note 4 2 3 2 2" xfId="14134"/>
    <cellStyle name="Note 4 2 3 2 2 2" xfId="14135"/>
    <cellStyle name="Note 4 2 3 2 2 2 2" xfId="14136"/>
    <cellStyle name="Note 4 2 3 2 2 2 2 2" xfId="14137"/>
    <cellStyle name="Note 4 2 3 2 2 2 3" xfId="14138"/>
    <cellStyle name="Note 4 2 3 2 2 3" xfId="14139"/>
    <cellStyle name="Note 4 2 3 2 2 3 2" xfId="14140"/>
    <cellStyle name="Note 4 2 3 2 2 3 2 2" xfId="14141"/>
    <cellStyle name="Note 4 2 3 2 2 3 3" xfId="14142"/>
    <cellStyle name="Note 4 2 3 2 2 4" xfId="14143"/>
    <cellStyle name="Note 4 2 3 2 2 4 2" xfId="14144"/>
    <cellStyle name="Note 4 2 3 2 2 5" xfId="14145"/>
    <cellStyle name="Note 4 2 3 2 2 5 2" xfId="14146"/>
    <cellStyle name="Note 4 2 3 2 2 6" xfId="14147"/>
    <cellStyle name="Note 4 2 3 2 2 6 2" xfId="14148"/>
    <cellStyle name="Note 4 2 3 2 2 7" xfId="14149"/>
    <cellStyle name="Note 4 2 3 2 3" xfId="14150"/>
    <cellStyle name="Note 4 2 3 2 3 2" xfId="14151"/>
    <cellStyle name="Note 4 2 3 2 3 2 2" xfId="14152"/>
    <cellStyle name="Note 4 2 3 2 3 2 2 2" xfId="14153"/>
    <cellStyle name="Note 4 2 3 2 3 2 3" xfId="14154"/>
    <cellStyle name="Note 4 2 3 2 3 3" xfId="14155"/>
    <cellStyle name="Note 4 2 3 2 3 3 2" xfId="14156"/>
    <cellStyle name="Note 4 2 3 2 3 3 2 2" xfId="14157"/>
    <cellStyle name="Note 4 2 3 2 3 3 3" xfId="14158"/>
    <cellStyle name="Note 4 2 3 2 3 4" xfId="14159"/>
    <cellStyle name="Note 4 2 3 2 3 4 2" xfId="14160"/>
    <cellStyle name="Note 4 2 3 2 3 5" xfId="14161"/>
    <cellStyle name="Note 4 2 3 2 3 5 2" xfId="14162"/>
    <cellStyle name="Note 4 2 3 2 3 6" xfId="14163"/>
    <cellStyle name="Note 4 2 3 2 3 6 2" xfId="14164"/>
    <cellStyle name="Note 4 2 3 2 3 7" xfId="14165"/>
    <cellStyle name="Note 4 2 3 2 4" xfId="14166"/>
    <cellStyle name="Note 4 2 3 2 4 2" xfId="14167"/>
    <cellStyle name="Note 4 2 3 2 5" xfId="14168"/>
    <cellStyle name="Note 4 2 3 2 5 2" xfId="14169"/>
    <cellStyle name="Note 4 2 3 3" xfId="14170"/>
    <cellStyle name="Note 4 2 3 3 2" xfId="14171"/>
    <cellStyle name="Note 4 2 3 3 2 2" xfId="14172"/>
    <cellStyle name="Note 4 2 3 3 2 2 2" xfId="14173"/>
    <cellStyle name="Note 4 2 3 3 2 2 2 2" xfId="14174"/>
    <cellStyle name="Note 4 2 3 3 2 2 3" xfId="14175"/>
    <cellStyle name="Note 4 2 3 3 2 3" xfId="14176"/>
    <cellStyle name="Note 4 2 3 3 2 3 2" xfId="14177"/>
    <cellStyle name="Note 4 2 3 3 2 3 2 2" xfId="14178"/>
    <cellStyle name="Note 4 2 3 3 2 3 3" xfId="14179"/>
    <cellStyle name="Note 4 2 3 3 2 4" xfId="14180"/>
    <cellStyle name="Note 4 2 3 3 2 4 2" xfId="14181"/>
    <cellStyle name="Note 4 2 3 3 2 5" xfId="14182"/>
    <cellStyle name="Note 4 2 3 3 2 5 2" xfId="14183"/>
    <cellStyle name="Note 4 2 3 3 2 6" xfId="14184"/>
    <cellStyle name="Note 4 2 3 3 2 6 2" xfId="14185"/>
    <cellStyle name="Note 4 2 3 3 2 7" xfId="14186"/>
    <cellStyle name="Note 4 2 3 3 3" xfId="14187"/>
    <cellStyle name="Note 4 2 3 3 3 2" xfId="14188"/>
    <cellStyle name="Note 4 2 3 3 3 2 2" xfId="14189"/>
    <cellStyle name="Note 4 2 3 3 3 2 2 2" xfId="14190"/>
    <cellStyle name="Note 4 2 3 3 3 2 3" xfId="14191"/>
    <cellStyle name="Note 4 2 3 3 3 3" xfId="14192"/>
    <cellStyle name="Note 4 2 3 3 3 3 2" xfId="14193"/>
    <cellStyle name="Note 4 2 3 3 3 3 2 2" xfId="14194"/>
    <cellStyle name="Note 4 2 3 3 3 3 3" xfId="14195"/>
    <cellStyle name="Note 4 2 3 3 3 4" xfId="14196"/>
    <cellStyle name="Note 4 2 3 3 3 4 2" xfId="14197"/>
    <cellStyle name="Note 4 2 3 3 3 5" xfId="14198"/>
    <cellStyle name="Note 4 2 3 3 3 5 2" xfId="14199"/>
    <cellStyle name="Note 4 2 3 3 3 6" xfId="14200"/>
    <cellStyle name="Note 4 2 3 3 3 6 2" xfId="14201"/>
    <cellStyle name="Note 4 2 3 3 3 7" xfId="14202"/>
    <cellStyle name="Note 4 2 3 3 4" xfId="14203"/>
    <cellStyle name="Note 4 2 3 3 4 2" xfId="14204"/>
    <cellStyle name="Note 4 2 3 3 5" xfId="14205"/>
    <cellStyle name="Note 4 2 3 3 5 2" xfId="14206"/>
    <cellStyle name="Note 4 2 3 4" xfId="14207"/>
    <cellStyle name="Note 4 2 3 4 2" xfId="14208"/>
    <cellStyle name="Note 4 2 3 4 2 2" xfId="14209"/>
    <cellStyle name="Note 4 2 3 4 2 2 2" xfId="14210"/>
    <cellStyle name="Note 4 2 3 4 2 3" xfId="14211"/>
    <cellStyle name="Note 4 2 3 4 3" xfId="14212"/>
    <cellStyle name="Note 4 2 3 4 3 2" xfId="14213"/>
    <cellStyle name="Note 4 2 3 4 3 2 2" xfId="14214"/>
    <cellStyle name="Note 4 2 3 4 3 3" xfId="14215"/>
    <cellStyle name="Note 4 2 3 4 4" xfId="14216"/>
    <cellStyle name="Note 4 2 3 4 4 2" xfId="14217"/>
    <cellStyle name="Note 4 2 3 4 5" xfId="14218"/>
    <cellStyle name="Note 4 2 3 4 5 2" xfId="14219"/>
    <cellStyle name="Note 4 2 3 4 6" xfId="14220"/>
    <cellStyle name="Note 4 2 3 4 6 2" xfId="14221"/>
    <cellStyle name="Note 4 2 3 4 7" xfId="14222"/>
    <cellStyle name="Note 4 2 3 5" xfId="14223"/>
    <cellStyle name="Note 4 2 3 5 2" xfId="14224"/>
    <cellStyle name="Note 4 2 3 5 2 2" xfId="14225"/>
    <cellStyle name="Note 4 2 3 5 2 2 2" xfId="14226"/>
    <cellStyle name="Note 4 2 3 5 2 3" xfId="14227"/>
    <cellStyle name="Note 4 2 3 5 3" xfId="14228"/>
    <cellStyle name="Note 4 2 3 5 3 2" xfId="14229"/>
    <cellStyle name="Note 4 2 3 5 3 2 2" xfId="14230"/>
    <cellStyle name="Note 4 2 3 5 3 3" xfId="14231"/>
    <cellStyle name="Note 4 2 3 5 4" xfId="14232"/>
    <cellStyle name="Note 4 2 3 5 4 2" xfId="14233"/>
    <cellStyle name="Note 4 2 3 5 5" xfId="14234"/>
    <cellStyle name="Note 4 2 3 5 5 2" xfId="14235"/>
    <cellStyle name="Note 4 2 3 5 6" xfId="14236"/>
    <cellStyle name="Note 4 2 3 5 6 2" xfId="14237"/>
    <cellStyle name="Note 4 2 3 5 7" xfId="14238"/>
    <cellStyle name="Note 4 2 3 6" xfId="14239"/>
    <cellStyle name="Note 4 2 3 6 2" xfId="14240"/>
    <cellStyle name="Note 4 2 3 6 2 2" xfId="14241"/>
    <cellStyle name="Note 4 2 3 6 2 2 2" xfId="14242"/>
    <cellStyle name="Note 4 2 3 6 2 3" xfId="14243"/>
    <cellStyle name="Note 4 2 3 6 3" xfId="14244"/>
    <cellStyle name="Note 4 2 3 6 3 2" xfId="14245"/>
    <cellStyle name="Note 4 2 3 6 3 2 2" xfId="14246"/>
    <cellStyle name="Note 4 2 3 6 3 3" xfId="14247"/>
    <cellStyle name="Note 4 2 3 6 4" xfId="14248"/>
    <cellStyle name="Note 4 2 3 6 4 2" xfId="14249"/>
    <cellStyle name="Note 4 2 3 6 5" xfId="14250"/>
    <cellStyle name="Note 4 2 3 6 5 2" xfId="14251"/>
    <cellStyle name="Note 4 2 3 6 6" xfId="14252"/>
    <cellStyle name="Note 4 2 3 6 6 2" xfId="14253"/>
    <cellStyle name="Note 4 2 3 6 7" xfId="14254"/>
    <cellStyle name="Note 4 2 3 7" xfId="14255"/>
    <cellStyle name="Note 4 2 3 7 2" xfId="14256"/>
    <cellStyle name="Note 4 2 3 8" xfId="14257"/>
    <cellStyle name="Note 4 2 3 8 2" xfId="14258"/>
    <cellStyle name="Note 4 2 4" xfId="14259"/>
    <cellStyle name="Note 4 2 4 2" xfId="14260"/>
    <cellStyle name="Note 4 2 4 2 2" xfId="14261"/>
    <cellStyle name="Note 4 2 4 2 2 2" xfId="14262"/>
    <cellStyle name="Note 4 2 4 2 2 2 2" xfId="14263"/>
    <cellStyle name="Note 4 2 4 2 2 2 2 2" xfId="14264"/>
    <cellStyle name="Note 4 2 4 2 2 2 3" xfId="14265"/>
    <cellStyle name="Note 4 2 4 2 2 3" xfId="14266"/>
    <cellStyle name="Note 4 2 4 2 2 3 2" xfId="14267"/>
    <cellStyle name="Note 4 2 4 2 2 3 2 2" xfId="14268"/>
    <cellStyle name="Note 4 2 4 2 2 3 3" xfId="14269"/>
    <cellStyle name="Note 4 2 4 2 2 4" xfId="14270"/>
    <cellStyle name="Note 4 2 4 2 2 4 2" xfId="14271"/>
    <cellStyle name="Note 4 2 4 2 2 5" xfId="14272"/>
    <cellStyle name="Note 4 2 4 2 2 5 2" xfId="14273"/>
    <cellStyle name="Note 4 2 4 2 2 6" xfId="14274"/>
    <cellStyle name="Note 4 2 4 2 2 6 2" xfId="14275"/>
    <cellStyle name="Note 4 2 4 2 2 7" xfId="14276"/>
    <cellStyle name="Note 4 2 4 2 3" xfId="14277"/>
    <cellStyle name="Note 4 2 4 2 3 2" xfId="14278"/>
    <cellStyle name="Note 4 2 4 2 3 2 2" xfId="14279"/>
    <cellStyle name="Note 4 2 4 2 3 2 2 2" xfId="14280"/>
    <cellStyle name="Note 4 2 4 2 3 2 3" xfId="14281"/>
    <cellStyle name="Note 4 2 4 2 3 3" xfId="14282"/>
    <cellStyle name="Note 4 2 4 2 3 3 2" xfId="14283"/>
    <cellStyle name="Note 4 2 4 2 3 3 2 2" xfId="14284"/>
    <cellStyle name="Note 4 2 4 2 3 3 3" xfId="14285"/>
    <cellStyle name="Note 4 2 4 2 3 4" xfId="14286"/>
    <cellStyle name="Note 4 2 4 2 3 4 2" xfId="14287"/>
    <cellStyle name="Note 4 2 4 2 3 5" xfId="14288"/>
    <cellStyle name="Note 4 2 4 2 3 5 2" xfId="14289"/>
    <cellStyle name="Note 4 2 4 2 3 6" xfId="14290"/>
    <cellStyle name="Note 4 2 4 2 3 6 2" xfId="14291"/>
    <cellStyle name="Note 4 2 4 2 3 7" xfId="14292"/>
    <cellStyle name="Note 4 2 4 2 4" xfId="14293"/>
    <cellStyle name="Note 4 2 4 2 4 2" xfId="14294"/>
    <cellStyle name="Note 4 2 4 2 5" xfId="14295"/>
    <cellStyle name="Note 4 2 4 2 5 2" xfId="14296"/>
    <cellStyle name="Note 4 2 4 3" xfId="14297"/>
    <cellStyle name="Note 4 2 4 3 2" xfId="14298"/>
    <cellStyle name="Note 4 2 4 3 2 2" xfId="14299"/>
    <cellStyle name="Note 4 2 4 3 2 2 2" xfId="14300"/>
    <cellStyle name="Note 4 2 4 3 2 2 2 2" xfId="14301"/>
    <cellStyle name="Note 4 2 4 3 2 2 3" xfId="14302"/>
    <cellStyle name="Note 4 2 4 3 2 3" xfId="14303"/>
    <cellStyle name="Note 4 2 4 3 2 3 2" xfId="14304"/>
    <cellStyle name="Note 4 2 4 3 2 3 2 2" xfId="14305"/>
    <cellStyle name="Note 4 2 4 3 2 3 3" xfId="14306"/>
    <cellStyle name="Note 4 2 4 3 2 4" xfId="14307"/>
    <cellStyle name="Note 4 2 4 3 2 4 2" xfId="14308"/>
    <cellStyle name="Note 4 2 4 3 2 5" xfId="14309"/>
    <cellStyle name="Note 4 2 4 3 2 5 2" xfId="14310"/>
    <cellStyle name="Note 4 2 4 3 2 6" xfId="14311"/>
    <cellStyle name="Note 4 2 4 3 2 6 2" xfId="14312"/>
    <cellStyle name="Note 4 2 4 3 2 7" xfId="14313"/>
    <cellStyle name="Note 4 2 4 3 3" xfId="14314"/>
    <cellStyle name="Note 4 2 4 3 3 2" xfId="14315"/>
    <cellStyle name="Note 4 2 4 3 3 2 2" xfId="14316"/>
    <cellStyle name="Note 4 2 4 3 3 2 2 2" xfId="14317"/>
    <cellStyle name="Note 4 2 4 3 3 2 3" xfId="14318"/>
    <cellStyle name="Note 4 2 4 3 3 3" xfId="14319"/>
    <cellStyle name="Note 4 2 4 3 3 3 2" xfId="14320"/>
    <cellStyle name="Note 4 2 4 3 3 3 2 2" xfId="14321"/>
    <cellStyle name="Note 4 2 4 3 3 3 3" xfId="14322"/>
    <cellStyle name="Note 4 2 4 3 3 4" xfId="14323"/>
    <cellStyle name="Note 4 2 4 3 3 4 2" xfId="14324"/>
    <cellStyle name="Note 4 2 4 3 3 5" xfId="14325"/>
    <cellStyle name="Note 4 2 4 3 3 5 2" xfId="14326"/>
    <cellStyle name="Note 4 2 4 3 3 6" xfId="14327"/>
    <cellStyle name="Note 4 2 4 3 3 6 2" xfId="14328"/>
    <cellStyle name="Note 4 2 4 3 3 7" xfId="14329"/>
    <cellStyle name="Note 4 2 4 3 4" xfId="14330"/>
    <cellStyle name="Note 4 2 4 3 4 2" xfId="14331"/>
    <cellStyle name="Note 4 2 4 3 5" xfId="14332"/>
    <cellStyle name="Note 4 2 4 3 5 2" xfId="14333"/>
    <cellStyle name="Note 4 2 4 4" xfId="14334"/>
    <cellStyle name="Note 4 2 4 4 2" xfId="14335"/>
    <cellStyle name="Note 4 2 4 4 2 2" xfId="14336"/>
    <cellStyle name="Note 4 2 4 4 2 2 2" xfId="14337"/>
    <cellStyle name="Note 4 2 4 4 2 3" xfId="14338"/>
    <cellStyle name="Note 4 2 4 4 3" xfId="14339"/>
    <cellStyle name="Note 4 2 4 4 3 2" xfId="14340"/>
    <cellStyle name="Note 4 2 4 4 3 2 2" xfId="14341"/>
    <cellStyle name="Note 4 2 4 4 3 3" xfId="14342"/>
    <cellStyle name="Note 4 2 4 4 4" xfId="14343"/>
    <cellStyle name="Note 4 2 4 4 4 2" xfId="14344"/>
    <cellStyle name="Note 4 2 4 4 5" xfId="14345"/>
    <cellStyle name="Note 4 2 4 4 5 2" xfId="14346"/>
    <cellStyle name="Note 4 2 4 4 6" xfId="14347"/>
    <cellStyle name="Note 4 2 4 4 6 2" xfId="14348"/>
    <cellStyle name="Note 4 2 4 4 7" xfId="14349"/>
    <cellStyle name="Note 4 2 4 5" xfId="14350"/>
    <cellStyle name="Note 4 2 4 5 2" xfId="14351"/>
    <cellStyle name="Note 4 2 4 5 2 2" xfId="14352"/>
    <cellStyle name="Note 4 2 4 5 2 2 2" xfId="14353"/>
    <cellStyle name="Note 4 2 4 5 2 3" xfId="14354"/>
    <cellStyle name="Note 4 2 4 5 3" xfId="14355"/>
    <cellStyle name="Note 4 2 4 5 3 2" xfId="14356"/>
    <cellStyle name="Note 4 2 4 5 3 2 2" xfId="14357"/>
    <cellStyle name="Note 4 2 4 5 3 3" xfId="14358"/>
    <cellStyle name="Note 4 2 4 5 4" xfId="14359"/>
    <cellStyle name="Note 4 2 4 5 4 2" xfId="14360"/>
    <cellStyle name="Note 4 2 4 5 5" xfId="14361"/>
    <cellStyle name="Note 4 2 4 5 5 2" xfId="14362"/>
    <cellStyle name="Note 4 2 4 5 6" xfId="14363"/>
    <cellStyle name="Note 4 2 4 5 6 2" xfId="14364"/>
    <cellStyle name="Note 4 2 4 5 7" xfId="14365"/>
    <cellStyle name="Note 4 2 4 6" xfId="14366"/>
    <cellStyle name="Note 4 2 4 6 2" xfId="14367"/>
    <cellStyle name="Note 4 2 4 6 2 2" xfId="14368"/>
    <cellStyle name="Note 4 2 4 6 2 2 2" xfId="14369"/>
    <cellStyle name="Note 4 2 4 6 2 3" xfId="14370"/>
    <cellStyle name="Note 4 2 4 6 3" xfId="14371"/>
    <cellStyle name="Note 4 2 4 6 3 2" xfId="14372"/>
    <cellStyle name="Note 4 2 4 6 3 2 2" xfId="14373"/>
    <cellStyle name="Note 4 2 4 6 3 3" xfId="14374"/>
    <cellStyle name="Note 4 2 4 6 4" xfId="14375"/>
    <cellStyle name="Note 4 2 4 6 4 2" xfId="14376"/>
    <cellStyle name="Note 4 2 4 6 5" xfId="14377"/>
    <cellStyle name="Note 4 2 4 6 5 2" xfId="14378"/>
    <cellStyle name="Note 4 2 4 6 6" xfId="14379"/>
    <cellStyle name="Note 4 2 4 6 6 2" xfId="14380"/>
    <cellStyle name="Note 4 2 4 6 7" xfId="14381"/>
    <cellStyle name="Note 4 2 4 7" xfId="14382"/>
    <cellStyle name="Note 4 2 4 7 2" xfId="14383"/>
    <cellStyle name="Note 4 2 4 8" xfId="14384"/>
    <cellStyle name="Note 4 2 4 8 2" xfId="14385"/>
    <cellStyle name="Note 4 2 5" xfId="14386"/>
    <cellStyle name="Note 4 2 5 2" xfId="14387"/>
    <cellStyle name="Note 4 2 5 2 2" xfId="14388"/>
    <cellStyle name="Note 4 2 5 2 2 2" xfId="14389"/>
    <cellStyle name="Note 4 2 5 2 2 2 2" xfId="14390"/>
    <cellStyle name="Note 4 2 5 2 2 2 2 2" xfId="14391"/>
    <cellStyle name="Note 4 2 5 2 2 2 3" xfId="14392"/>
    <cellStyle name="Note 4 2 5 2 2 3" xfId="14393"/>
    <cellStyle name="Note 4 2 5 2 2 3 2" xfId="14394"/>
    <cellStyle name="Note 4 2 5 2 2 3 2 2" xfId="14395"/>
    <cellStyle name="Note 4 2 5 2 2 3 3" xfId="14396"/>
    <cellStyle name="Note 4 2 5 2 2 4" xfId="14397"/>
    <cellStyle name="Note 4 2 5 2 2 4 2" xfId="14398"/>
    <cellStyle name="Note 4 2 5 2 2 5" xfId="14399"/>
    <cellStyle name="Note 4 2 5 2 2 5 2" xfId="14400"/>
    <cellStyle name="Note 4 2 5 2 2 6" xfId="14401"/>
    <cellStyle name="Note 4 2 5 2 2 6 2" xfId="14402"/>
    <cellStyle name="Note 4 2 5 2 2 7" xfId="14403"/>
    <cellStyle name="Note 4 2 5 2 3" xfId="14404"/>
    <cellStyle name="Note 4 2 5 2 3 2" xfId="14405"/>
    <cellStyle name="Note 4 2 5 2 3 2 2" xfId="14406"/>
    <cellStyle name="Note 4 2 5 2 3 2 2 2" xfId="14407"/>
    <cellStyle name="Note 4 2 5 2 3 2 3" xfId="14408"/>
    <cellStyle name="Note 4 2 5 2 3 3" xfId="14409"/>
    <cellStyle name="Note 4 2 5 2 3 3 2" xfId="14410"/>
    <cellStyle name="Note 4 2 5 2 3 3 2 2" xfId="14411"/>
    <cellStyle name="Note 4 2 5 2 3 3 3" xfId="14412"/>
    <cellStyle name="Note 4 2 5 2 3 4" xfId="14413"/>
    <cellStyle name="Note 4 2 5 2 3 4 2" xfId="14414"/>
    <cellStyle name="Note 4 2 5 2 3 5" xfId="14415"/>
    <cellStyle name="Note 4 2 5 2 3 5 2" xfId="14416"/>
    <cellStyle name="Note 4 2 5 2 3 6" xfId="14417"/>
    <cellStyle name="Note 4 2 5 2 3 6 2" xfId="14418"/>
    <cellStyle name="Note 4 2 5 2 3 7" xfId="14419"/>
    <cellStyle name="Note 4 2 5 2 4" xfId="14420"/>
    <cellStyle name="Note 4 2 5 2 4 2" xfId="14421"/>
    <cellStyle name="Note 4 2 5 2 5" xfId="14422"/>
    <cellStyle name="Note 4 2 5 2 5 2" xfId="14423"/>
    <cellStyle name="Note 4 2 5 3" xfId="14424"/>
    <cellStyle name="Note 4 2 5 3 2" xfId="14425"/>
    <cellStyle name="Note 4 2 5 3 2 2" xfId="14426"/>
    <cellStyle name="Note 4 2 5 3 2 2 2" xfId="14427"/>
    <cellStyle name="Note 4 2 5 3 2 2 2 2" xfId="14428"/>
    <cellStyle name="Note 4 2 5 3 2 2 3" xfId="14429"/>
    <cellStyle name="Note 4 2 5 3 2 3" xfId="14430"/>
    <cellStyle name="Note 4 2 5 3 2 3 2" xfId="14431"/>
    <cellStyle name="Note 4 2 5 3 2 3 2 2" xfId="14432"/>
    <cellStyle name="Note 4 2 5 3 2 3 3" xfId="14433"/>
    <cellStyle name="Note 4 2 5 3 2 4" xfId="14434"/>
    <cellStyle name="Note 4 2 5 3 2 4 2" xfId="14435"/>
    <cellStyle name="Note 4 2 5 3 2 5" xfId="14436"/>
    <cellStyle name="Note 4 2 5 3 2 5 2" xfId="14437"/>
    <cellStyle name="Note 4 2 5 3 2 6" xfId="14438"/>
    <cellStyle name="Note 4 2 5 3 2 6 2" xfId="14439"/>
    <cellStyle name="Note 4 2 5 3 2 7" xfId="14440"/>
    <cellStyle name="Note 4 2 5 3 3" xfId="14441"/>
    <cellStyle name="Note 4 2 5 3 3 2" xfId="14442"/>
    <cellStyle name="Note 4 2 5 3 3 2 2" xfId="14443"/>
    <cellStyle name="Note 4 2 5 3 3 2 2 2" xfId="14444"/>
    <cellStyle name="Note 4 2 5 3 3 2 3" xfId="14445"/>
    <cellStyle name="Note 4 2 5 3 3 3" xfId="14446"/>
    <cellStyle name="Note 4 2 5 3 3 3 2" xfId="14447"/>
    <cellStyle name="Note 4 2 5 3 3 3 2 2" xfId="14448"/>
    <cellStyle name="Note 4 2 5 3 3 3 3" xfId="14449"/>
    <cellStyle name="Note 4 2 5 3 3 4" xfId="14450"/>
    <cellStyle name="Note 4 2 5 3 3 4 2" xfId="14451"/>
    <cellStyle name="Note 4 2 5 3 3 5" xfId="14452"/>
    <cellStyle name="Note 4 2 5 3 3 5 2" xfId="14453"/>
    <cellStyle name="Note 4 2 5 3 3 6" xfId="14454"/>
    <cellStyle name="Note 4 2 5 3 3 6 2" xfId="14455"/>
    <cellStyle name="Note 4 2 5 3 3 7" xfId="14456"/>
    <cellStyle name="Note 4 2 5 3 4" xfId="14457"/>
    <cellStyle name="Note 4 2 5 3 4 2" xfId="14458"/>
    <cellStyle name="Note 4 2 5 3 5" xfId="14459"/>
    <cellStyle name="Note 4 2 5 3 5 2" xfId="14460"/>
    <cellStyle name="Note 4 2 5 4" xfId="14461"/>
    <cellStyle name="Note 4 2 5 4 2" xfId="14462"/>
    <cellStyle name="Note 4 2 5 4 2 2" xfId="14463"/>
    <cellStyle name="Note 4 2 5 4 2 2 2" xfId="14464"/>
    <cellStyle name="Note 4 2 5 4 2 3" xfId="14465"/>
    <cellStyle name="Note 4 2 5 4 3" xfId="14466"/>
    <cellStyle name="Note 4 2 5 4 3 2" xfId="14467"/>
    <cellStyle name="Note 4 2 5 4 3 2 2" xfId="14468"/>
    <cellStyle name="Note 4 2 5 4 3 3" xfId="14469"/>
    <cellStyle name="Note 4 2 5 4 4" xfId="14470"/>
    <cellStyle name="Note 4 2 5 4 4 2" xfId="14471"/>
    <cellStyle name="Note 4 2 5 4 5" xfId="14472"/>
    <cellStyle name="Note 4 2 5 4 5 2" xfId="14473"/>
    <cellStyle name="Note 4 2 5 4 6" xfId="14474"/>
    <cellStyle name="Note 4 2 5 4 6 2" xfId="14475"/>
    <cellStyle name="Note 4 2 5 4 7" xfId="14476"/>
    <cellStyle name="Note 4 2 5 5" xfId="14477"/>
    <cellStyle name="Note 4 2 5 5 2" xfId="14478"/>
    <cellStyle name="Note 4 2 5 5 2 2" xfId="14479"/>
    <cellStyle name="Note 4 2 5 5 2 2 2" xfId="14480"/>
    <cellStyle name="Note 4 2 5 5 2 3" xfId="14481"/>
    <cellStyle name="Note 4 2 5 5 3" xfId="14482"/>
    <cellStyle name="Note 4 2 5 5 3 2" xfId="14483"/>
    <cellStyle name="Note 4 2 5 5 3 2 2" xfId="14484"/>
    <cellStyle name="Note 4 2 5 5 3 3" xfId="14485"/>
    <cellStyle name="Note 4 2 5 5 4" xfId="14486"/>
    <cellStyle name="Note 4 2 5 5 4 2" xfId="14487"/>
    <cellStyle name="Note 4 2 5 5 5" xfId="14488"/>
    <cellStyle name="Note 4 2 5 5 5 2" xfId="14489"/>
    <cellStyle name="Note 4 2 5 5 6" xfId="14490"/>
    <cellStyle name="Note 4 2 5 5 6 2" xfId="14491"/>
    <cellStyle name="Note 4 2 5 5 7" xfId="14492"/>
    <cellStyle name="Note 4 2 5 6" xfId="14493"/>
    <cellStyle name="Note 4 2 5 6 2" xfId="14494"/>
    <cellStyle name="Note 4 2 5 6 2 2" xfId="14495"/>
    <cellStyle name="Note 4 2 5 6 2 2 2" xfId="14496"/>
    <cellStyle name="Note 4 2 5 6 2 3" xfId="14497"/>
    <cellStyle name="Note 4 2 5 6 3" xfId="14498"/>
    <cellStyle name="Note 4 2 5 6 3 2" xfId="14499"/>
    <cellStyle name="Note 4 2 5 6 3 2 2" xfId="14500"/>
    <cellStyle name="Note 4 2 5 6 3 3" xfId="14501"/>
    <cellStyle name="Note 4 2 5 6 4" xfId="14502"/>
    <cellStyle name="Note 4 2 5 6 4 2" xfId="14503"/>
    <cellStyle name="Note 4 2 5 6 5" xfId="14504"/>
    <cellStyle name="Note 4 2 5 6 5 2" xfId="14505"/>
    <cellStyle name="Note 4 2 5 6 6" xfId="14506"/>
    <cellStyle name="Note 4 2 5 6 6 2" xfId="14507"/>
    <cellStyle name="Note 4 2 5 6 7" xfId="14508"/>
    <cellStyle name="Note 4 2 5 7" xfId="14509"/>
    <cellStyle name="Note 4 2 5 7 2" xfId="14510"/>
    <cellStyle name="Note 4 2 5 8" xfId="14511"/>
    <cellStyle name="Note 4 2 5 8 2" xfId="14512"/>
    <cellStyle name="Note 4 2 6" xfId="14513"/>
    <cellStyle name="Note 4 2 6 2" xfId="14514"/>
    <cellStyle name="Note 4 2 6 2 2" xfId="14515"/>
    <cellStyle name="Note 4 2 6 2 2 2" xfId="14516"/>
    <cellStyle name="Note 4 2 6 2 2 2 2" xfId="14517"/>
    <cellStyle name="Note 4 2 6 2 2 2 2 2" xfId="14518"/>
    <cellStyle name="Note 4 2 6 2 2 2 3" xfId="14519"/>
    <cellStyle name="Note 4 2 6 2 2 3" xfId="14520"/>
    <cellStyle name="Note 4 2 6 2 2 3 2" xfId="14521"/>
    <cellStyle name="Note 4 2 6 2 2 3 2 2" xfId="14522"/>
    <cellStyle name="Note 4 2 6 2 2 3 3" xfId="14523"/>
    <cellStyle name="Note 4 2 6 2 2 4" xfId="14524"/>
    <cellStyle name="Note 4 2 6 2 2 4 2" xfId="14525"/>
    <cellStyle name="Note 4 2 6 2 2 5" xfId="14526"/>
    <cellStyle name="Note 4 2 6 2 2 5 2" xfId="14527"/>
    <cellStyle name="Note 4 2 6 2 2 6" xfId="14528"/>
    <cellStyle name="Note 4 2 6 2 2 6 2" xfId="14529"/>
    <cellStyle name="Note 4 2 6 2 2 7" xfId="14530"/>
    <cellStyle name="Note 4 2 6 2 3" xfId="14531"/>
    <cellStyle name="Note 4 2 6 2 3 2" xfId="14532"/>
    <cellStyle name="Note 4 2 6 2 3 2 2" xfId="14533"/>
    <cellStyle name="Note 4 2 6 2 3 2 2 2" xfId="14534"/>
    <cellStyle name="Note 4 2 6 2 3 2 3" xfId="14535"/>
    <cellStyle name="Note 4 2 6 2 3 3" xfId="14536"/>
    <cellStyle name="Note 4 2 6 2 3 3 2" xfId="14537"/>
    <cellStyle name="Note 4 2 6 2 3 3 2 2" xfId="14538"/>
    <cellStyle name="Note 4 2 6 2 3 3 3" xfId="14539"/>
    <cellStyle name="Note 4 2 6 2 3 4" xfId="14540"/>
    <cellStyle name="Note 4 2 6 2 3 4 2" xfId="14541"/>
    <cellStyle name="Note 4 2 6 2 3 5" xfId="14542"/>
    <cellStyle name="Note 4 2 6 2 3 5 2" xfId="14543"/>
    <cellStyle name="Note 4 2 6 2 3 6" xfId="14544"/>
    <cellStyle name="Note 4 2 6 2 3 6 2" xfId="14545"/>
    <cellStyle name="Note 4 2 6 2 3 7" xfId="14546"/>
    <cellStyle name="Note 4 2 6 2 4" xfId="14547"/>
    <cellStyle name="Note 4 2 6 2 4 2" xfId="14548"/>
    <cellStyle name="Note 4 2 6 2 5" xfId="14549"/>
    <cellStyle name="Note 4 2 6 2 5 2" xfId="14550"/>
    <cellStyle name="Note 4 2 6 3" xfId="14551"/>
    <cellStyle name="Note 4 2 6 3 2" xfId="14552"/>
    <cellStyle name="Note 4 2 6 3 2 2" xfId="14553"/>
    <cellStyle name="Note 4 2 6 3 2 2 2" xfId="14554"/>
    <cellStyle name="Note 4 2 6 3 2 2 2 2" xfId="14555"/>
    <cellStyle name="Note 4 2 6 3 2 2 3" xfId="14556"/>
    <cellStyle name="Note 4 2 6 3 2 3" xfId="14557"/>
    <cellStyle name="Note 4 2 6 3 2 3 2" xfId="14558"/>
    <cellStyle name="Note 4 2 6 3 2 3 2 2" xfId="14559"/>
    <cellStyle name="Note 4 2 6 3 2 3 3" xfId="14560"/>
    <cellStyle name="Note 4 2 6 3 2 4" xfId="14561"/>
    <cellStyle name="Note 4 2 6 3 2 4 2" xfId="14562"/>
    <cellStyle name="Note 4 2 6 3 2 5" xfId="14563"/>
    <cellStyle name="Note 4 2 6 3 2 5 2" xfId="14564"/>
    <cellStyle name="Note 4 2 6 3 2 6" xfId="14565"/>
    <cellStyle name="Note 4 2 6 3 2 6 2" xfId="14566"/>
    <cellStyle name="Note 4 2 6 3 2 7" xfId="14567"/>
    <cellStyle name="Note 4 2 6 3 3" xfId="14568"/>
    <cellStyle name="Note 4 2 6 3 3 2" xfId="14569"/>
    <cellStyle name="Note 4 2 6 3 3 2 2" xfId="14570"/>
    <cellStyle name="Note 4 2 6 3 3 2 2 2" xfId="14571"/>
    <cellStyle name="Note 4 2 6 3 3 2 3" xfId="14572"/>
    <cellStyle name="Note 4 2 6 3 3 3" xfId="14573"/>
    <cellStyle name="Note 4 2 6 3 3 3 2" xfId="14574"/>
    <cellStyle name="Note 4 2 6 3 3 3 2 2" xfId="14575"/>
    <cellStyle name="Note 4 2 6 3 3 3 3" xfId="14576"/>
    <cellStyle name="Note 4 2 6 3 3 4" xfId="14577"/>
    <cellStyle name="Note 4 2 6 3 3 4 2" xfId="14578"/>
    <cellStyle name="Note 4 2 6 3 3 5" xfId="14579"/>
    <cellStyle name="Note 4 2 6 3 3 5 2" xfId="14580"/>
    <cellStyle name="Note 4 2 6 3 3 6" xfId="14581"/>
    <cellStyle name="Note 4 2 6 3 3 6 2" xfId="14582"/>
    <cellStyle name="Note 4 2 6 3 3 7" xfId="14583"/>
    <cellStyle name="Note 4 2 6 3 4" xfId="14584"/>
    <cellStyle name="Note 4 2 6 3 4 2" xfId="14585"/>
    <cellStyle name="Note 4 2 6 3 5" xfId="14586"/>
    <cellStyle name="Note 4 2 6 3 5 2" xfId="14587"/>
    <cellStyle name="Note 4 2 6 4" xfId="14588"/>
    <cellStyle name="Note 4 2 6 4 2" xfId="14589"/>
    <cellStyle name="Note 4 2 6 4 2 2" xfId="14590"/>
    <cellStyle name="Note 4 2 6 4 2 2 2" xfId="14591"/>
    <cellStyle name="Note 4 2 6 4 2 3" xfId="14592"/>
    <cellStyle name="Note 4 2 6 4 3" xfId="14593"/>
    <cellStyle name="Note 4 2 6 4 3 2" xfId="14594"/>
    <cellStyle name="Note 4 2 6 4 3 2 2" xfId="14595"/>
    <cellStyle name="Note 4 2 6 4 3 3" xfId="14596"/>
    <cellStyle name="Note 4 2 6 4 4" xfId="14597"/>
    <cellStyle name="Note 4 2 6 4 4 2" xfId="14598"/>
    <cellStyle name="Note 4 2 6 4 5" xfId="14599"/>
    <cellStyle name="Note 4 2 6 4 5 2" xfId="14600"/>
    <cellStyle name="Note 4 2 6 4 6" xfId="14601"/>
    <cellStyle name="Note 4 2 6 4 6 2" xfId="14602"/>
    <cellStyle name="Note 4 2 6 4 7" xfId="14603"/>
    <cellStyle name="Note 4 2 6 5" xfId="14604"/>
    <cellStyle name="Note 4 2 6 5 2" xfId="14605"/>
    <cellStyle name="Note 4 2 6 5 2 2" xfId="14606"/>
    <cellStyle name="Note 4 2 6 5 2 2 2" xfId="14607"/>
    <cellStyle name="Note 4 2 6 5 2 3" xfId="14608"/>
    <cellStyle name="Note 4 2 6 5 3" xfId="14609"/>
    <cellStyle name="Note 4 2 6 5 3 2" xfId="14610"/>
    <cellStyle name="Note 4 2 6 5 3 2 2" xfId="14611"/>
    <cellStyle name="Note 4 2 6 5 3 3" xfId="14612"/>
    <cellStyle name="Note 4 2 6 5 4" xfId="14613"/>
    <cellStyle name="Note 4 2 6 5 4 2" xfId="14614"/>
    <cellStyle name="Note 4 2 6 5 5" xfId="14615"/>
    <cellStyle name="Note 4 2 6 5 5 2" xfId="14616"/>
    <cellStyle name="Note 4 2 6 5 6" xfId="14617"/>
    <cellStyle name="Note 4 2 6 5 6 2" xfId="14618"/>
    <cellStyle name="Note 4 2 6 5 7" xfId="14619"/>
    <cellStyle name="Note 4 2 6 6" xfId="14620"/>
    <cellStyle name="Note 4 2 6 6 2" xfId="14621"/>
    <cellStyle name="Note 4 2 6 6 2 2" xfId="14622"/>
    <cellStyle name="Note 4 2 6 6 2 2 2" xfId="14623"/>
    <cellStyle name="Note 4 2 6 6 2 3" xfId="14624"/>
    <cellStyle name="Note 4 2 6 6 3" xfId="14625"/>
    <cellStyle name="Note 4 2 6 6 3 2" xfId="14626"/>
    <cellStyle name="Note 4 2 6 6 3 2 2" xfId="14627"/>
    <cellStyle name="Note 4 2 6 6 3 3" xfId="14628"/>
    <cellStyle name="Note 4 2 6 6 4" xfId="14629"/>
    <cellStyle name="Note 4 2 6 6 4 2" xfId="14630"/>
    <cellStyle name="Note 4 2 6 6 5" xfId="14631"/>
    <cellStyle name="Note 4 2 6 6 5 2" xfId="14632"/>
    <cellStyle name="Note 4 2 6 6 6" xfId="14633"/>
    <cellStyle name="Note 4 2 6 6 6 2" xfId="14634"/>
    <cellStyle name="Note 4 2 6 6 7" xfId="14635"/>
    <cellStyle name="Note 4 2 6 7" xfId="14636"/>
    <cellStyle name="Note 4 2 6 7 2" xfId="14637"/>
    <cellStyle name="Note 4 2 6 8" xfId="14638"/>
    <cellStyle name="Note 4 2 6 8 2" xfId="14639"/>
    <cellStyle name="Note 4 2 7" xfId="14640"/>
    <cellStyle name="Note 4 2 7 2" xfId="14641"/>
    <cellStyle name="Note 4 2 7 2 2" xfId="14642"/>
    <cellStyle name="Note 4 2 7 2 2 2" xfId="14643"/>
    <cellStyle name="Note 4 2 7 2 2 2 2" xfId="14644"/>
    <cellStyle name="Note 4 2 7 2 2 2 2 2" xfId="14645"/>
    <cellStyle name="Note 4 2 7 2 2 2 3" xfId="14646"/>
    <cellStyle name="Note 4 2 7 2 2 3" xfId="14647"/>
    <cellStyle name="Note 4 2 7 2 2 3 2" xfId="14648"/>
    <cellStyle name="Note 4 2 7 2 2 3 2 2" xfId="14649"/>
    <cellStyle name="Note 4 2 7 2 2 3 3" xfId="14650"/>
    <cellStyle name="Note 4 2 7 2 2 4" xfId="14651"/>
    <cellStyle name="Note 4 2 7 2 2 4 2" xfId="14652"/>
    <cellStyle name="Note 4 2 7 2 2 5" xfId="14653"/>
    <cellStyle name="Note 4 2 7 2 2 5 2" xfId="14654"/>
    <cellStyle name="Note 4 2 7 2 2 6" xfId="14655"/>
    <cellStyle name="Note 4 2 7 2 2 6 2" xfId="14656"/>
    <cellStyle name="Note 4 2 7 2 2 7" xfId="14657"/>
    <cellStyle name="Note 4 2 7 2 3" xfId="14658"/>
    <cellStyle name="Note 4 2 7 2 3 2" xfId="14659"/>
    <cellStyle name="Note 4 2 7 2 3 2 2" xfId="14660"/>
    <cellStyle name="Note 4 2 7 2 3 2 2 2" xfId="14661"/>
    <cellStyle name="Note 4 2 7 2 3 2 3" xfId="14662"/>
    <cellStyle name="Note 4 2 7 2 3 3" xfId="14663"/>
    <cellStyle name="Note 4 2 7 2 3 3 2" xfId="14664"/>
    <cellStyle name="Note 4 2 7 2 3 3 2 2" xfId="14665"/>
    <cellStyle name="Note 4 2 7 2 3 3 3" xfId="14666"/>
    <cellStyle name="Note 4 2 7 2 3 4" xfId="14667"/>
    <cellStyle name="Note 4 2 7 2 3 4 2" xfId="14668"/>
    <cellStyle name="Note 4 2 7 2 3 5" xfId="14669"/>
    <cellStyle name="Note 4 2 7 2 3 5 2" xfId="14670"/>
    <cellStyle name="Note 4 2 7 2 3 6" xfId="14671"/>
    <cellStyle name="Note 4 2 7 2 3 6 2" xfId="14672"/>
    <cellStyle name="Note 4 2 7 2 3 7" xfId="14673"/>
    <cellStyle name="Note 4 2 7 2 4" xfId="14674"/>
    <cellStyle name="Note 4 2 7 2 4 2" xfId="14675"/>
    <cellStyle name="Note 4 2 7 2 5" xfId="14676"/>
    <cellStyle name="Note 4 2 7 2 5 2" xfId="14677"/>
    <cellStyle name="Note 4 2 7 3" xfId="14678"/>
    <cellStyle name="Note 4 2 7 3 2" xfId="14679"/>
    <cellStyle name="Note 4 2 7 3 2 2" xfId="14680"/>
    <cellStyle name="Note 4 2 7 3 2 2 2" xfId="14681"/>
    <cellStyle name="Note 4 2 7 3 2 2 2 2" xfId="14682"/>
    <cellStyle name="Note 4 2 7 3 2 2 3" xfId="14683"/>
    <cellStyle name="Note 4 2 7 3 2 3" xfId="14684"/>
    <cellStyle name="Note 4 2 7 3 2 3 2" xfId="14685"/>
    <cellStyle name="Note 4 2 7 3 2 3 2 2" xfId="14686"/>
    <cellStyle name="Note 4 2 7 3 2 3 3" xfId="14687"/>
    <cellStyle name="Note 4 2 7 3 2 4" xfId="14688"/>
    <cellStyle name="Note 4 2 7 3 2 4 2" xfId="14689"/>
    <cellStyle name="Note 4 2 7 3 2 5" xfId="14690"/>
    <cellStyle name="Note 4 2 7 3 2 5 2" xfId="14691"/>
    <cellStyle name="Note 4 2 7 3 2 6" xfId="14692"/>
    <cellStyle name="Note 4 2 7 3 2 6 2" xfId="14693"/>
    <cellStyle name="Note 4 2 7 3 2 7" xfId="14694"/>
    <cellStyle name="Note 4 2 7 3 3" xfId="14695"/>
    <cellStyle name="Note 4 2 7 3 3 2" xfId="14696"/>
    <cellStyle name="Note 4 2 7 3 3 2 2" xfId="14697"/>
    <cellStyle name="Note 4 2 7 3 3 2 2 2" xfId="14698"/>
    <cellStyle name="Note 4 2 7 3 3 2 3" xfId="14699"/>
    <cellStyle name="Note 4 2 7 3 3 3" xfId="14700"/>
    <cellStyle name="Note 4 2 7 3 3 3 2" xfId="14701"/>
    <cellStyle name="Note 4 2 7 3 3 3 2 2" xfId="14702"/>
    <cellStyle name="Note 4 2 7 3 3 3 3" xfId="14703"/>
    <cellStyle name="Note 4 2 7 3 3 4" xfId="14704"/>
    <cellStyle name="Note 4 2 7 3 3 4 2" xfId="14705"/>
    <cellStyle name="Note 4 2 7 3 3 5" xfId="14706"/>
    <cellStyle name="Note 4 2 7 3 3 5 2" xfId="14707"/>
    <cellStyle name="Note 4 2 7 3 3 6" xfId="14708"/>
    <cellStyle name="Note 4 2 7 3 3 6 2" xfId="14709"/>
    <cellStyle name="Note 4 2 7 3 3 7" xfId="14710"/>
    <cellStyle name="Note 4 2 7 3 4" xfId="14711"/>
    <cellStyle name="Note 4 2 7 3 4 2" xfId="14712"/>
    <cellStyle name="Note 4 2 7 3 5" xfId="14713"/>
    <cellStyle name="Note 4 2 7 3 5 2" xfId="14714"/>
    <cellStyle name="Note 4 2 7 4" xfId="14715"/>
    <cellStyle name="Note 4 2 7 4 2" xfId="14716"/>
    <cellStyle name="Note 4 2 7 4 2 2" xfId="14717"/>
    <cellStyle name="Note 4 2 7 4 2 2 2" xfId="14718"/>
    <cellStyle name="Note 4 2 7 4 2 3" xfId="14719"/>
    <cellStyle name="Note 4 2 7 4 3" xfId="14720"/>
    <cellStyle name="Note 4 2 7 4 3 2" xfId="14721"/>
    <cellStyle name="Note 4 2 7 4 3 2 2" xfId="14722"/>
    <cellStyle name="Note 4 2 7 4 3 3" xfId="14723"/>
    <cellStyle name="Note 4 2 7 4 4" xfId="14724"/>
    <cellStyle name="Note 4 2 7 4 4 2" xfId="14725"/>
    <cellStyle name="Note 4 2 7 4 5" xfId="14726"/>
    <cellStyle name="Note 4 2 7 4 5 2" xfId="14727"/>
    <cellStyle name="Note 4 2 7 4 6" xfId="14728"/>
    <cellStyle name="Note 4 2 7 4 6 2" xfId="14729"/>
    <cellStyle name="Note 4 2 7 4 7" xfId="14730"/>
    <cellStyle name="Note 4 2 7 5" xfId="14731"/>
    <cellStyle name="Note 4 2 7 5 2" xfId="14732"/>
    <cellStyle name="Note 4 2 7 5 2 2" xfId="14733"/>
    <cellStyle name="Note 4 2 7 5 2 2 2" xfId="14734"/>
    <cellStyle name="Note 4 2 7 5 2 3" xfId="14735"/>
    <cellStyle name="Note 4 2 7 5 3" xfId="14736"/>
    <cellStyle name="Note 4 2 7 5 3 2" xfId="14737"/>
    <cellStyle name="Note 4 2 7 5 3 2 2" xfId="14738"/>
    <cellStyle name="Note 4 2 7 5 3 3" xfId="14739"/>
    <cellStyle name="Note 4 2 7 5 4" xfId="14740"/>
    <cellStyle name="Note 4 2 7 5 4 2" xfId="14741"/>
    <cellStyle name="Note 4 2 7 5 5" xfId="14742"/>
    <cellStyle name="Note 4 2 7 5 5 2" xfId="14743"/>
    <cellStyle name="Note 4 2 7 5 6" xfId="14744"/>
    <cellStyle name="Note 4 2 7 5 6 2" xfId="14745"/>
    <cellStyle name="Note 4 2 7 5 7" xfId="14746"/>
    <cellStyle name="Note 4 2 7 6" xfId="14747"/>
    <cellStyle name="Note 4 2 7 6 2" xfId="14748"/>
    <cellStyle name="Note 4 2 7 7" xfId="14749"/>
    <cellStyle name="Note 4 2 7 7 2" xfId="14750"/>
    <cellStyle name="Note 4 2 8" xfId="14751"/>
    <cellStyle name="Note 4 2 8 2" xfId="14752"/>
    <cellStyle name="Note 4 2 8 2 2" xfId="14753"/>
    <cellStyle name="Note 4 2 8 2 2 2" xfId="14754"/>
    <cellStyle name="Note 4 2 8 2 2 2 2" xfId="14755"/>
    <cellStyle name="Note 4 2 8 2 2 3" xfId="14756"/>
    <cellStyle name="Note 4 2 8 2 3" xfId="14757"/>
    <cellStyle name="Note 4 2 8 2 3 2" xfId="14758"/>
    <cellStyle name="Note 4 2 8 2 3 2 2" xfId="14759"/>
    <cellStyle name="Note 4 2 8 2 3 3" xfId="14760"/>
    <cellStyle name="Note 4 2 8 2 4" xfId="14761"/>
    <cellStyle name="Note 4 2 8 2 4 2" xfId="14762"/>
    <cellStyle name="Note 4 2 8 2 5" xfId="14763"/>
    <cellStyle name="Note 4 2 8 2 5 2" xfId="14764"/>
    <cellStyle name="Note 4 2 8 2 6" xfId="14765"/>
    <cellStyle name="Note 4 2 8 2 6 2" xfId="14766"/>
    <cellStyle name="Note 4 2 8 2 7" xfId="14767"/>
    <cellStyle name="Note 4 2 8 3" xfId="14768"/>
    <cellStyle name="Note 4 2 8 3 2" xfId="14769"/>
    <cellStyle name="Note 4 2 8 3 2 2" xfId="14770"/>
    <cellStyle name="Note 4 2 8 3 2 2 2" xfId="14771"/>
    <cellStyle name="Note 4 2 8 3 2 3" xfId="14772"/>
    <cellStyle name="Note 4 2 8 3 3" xfId="14773"/>
    <cellStyle name="Note 4 2 8 3 3 2" xfId="14774"/>
    <cellStyle name="Note 4 2 8 3 3 2 2" xfId="14775"/>
    <cellStyle name="Note 4 2 8 3 3 3" xfId="14776"/>
    <cellStyle name="Note 4 2 8 3 4" xfId="14777"/>
    <cellStyle name="Note 4 2 8 3 4 2" xfId="14778"/>
    <cellStyle name="Note 4 2 8 3 5" xfId="14779"/>
    <cellStyle name="Note 4 2 8 3 5 2" xfId="14780"/>
    <cellStyle name="Note 4 2 8 3 6" xfId="14781"/>
    <cellStyle name="Note 4 2 8 3 6 2" xfId="14782"/>
    <cellStyle name="Note 4 2 8 3 7" xfId="14783"/>
    <cellStyle name="Note 4 2 8 4" xfId="14784"/>
    <cellStyle name="Note 4 2 8 4 2" xfId="14785"/>
    <cellStyle name="Note 4 2 8 5" xfId="14786"/>
    <cellStyle name="Note 4 2 8 5 2" xfId="14787"/>
    <cellStyle name="Note 4 2 9" xfId="14788"/>
    <cellStyle name="Note 4 2 9 2" xfId="14789"/>
    <cellStyle name="Note 4 2 9 2 2" xfId="14790"/>
    <cellStyle name="Note 4 2 9 2 2 2" xfId="14791"/>
    <cellStyle name="Note 4 2 9 2 2 2 2" xfId="14792"/>
    <cellStyle name="Note 4 2 9 2 2 3" xfId="14793"/>
    <cellStyle name="Note 4 2 9 2 3" xfId="14794"/>
    <cellStyle name="Note 4 2 9 2 3 2" xfId="14795"/>
    <cellStyle name="Note 4 2 9 2 3 2 2" xfId="14796"/>
    <cellStyle name="Note 4 2 9 2 3 3" xfId="14797"/>
    <cellStyle name="Note 4 2 9 2 4" xfId="14798"/>
    <cellStyle name="Note 4 2 9 2 4 2" xfId="14799"/>
    <cellStyle name="Note 4 2 9 2 5" xfId="14800"/>
    <cellStyle name="Note 4 2 9 2 5 2" xfId="14801"/>
    <cellStyle name="Note 4 2 9 2 6" xfId="14802"/>
    <cellStyle name="Note 4 2 9 2 6 2" xfId="14803"/>
    <cellStyle name="Note 4 2 9 2 7" xfId="14804"/>
    <cellStyle name="Note 4 2 9 3" xfId="14805"/>
    <cellStyle name="Note 4 2 9 3 2" xfId="14806"/>
    <cellStyle name="Note 4 2 9 3 2 2" xfId="14807"/>
    <cellStyle name="Note 4 2 9 3 2 2 2" xfId="14808"/>
    <cellStyle name="Note 4 2 9 3 2 3" xfId="14809"/>
    <cellStyle name="Note 4 2 9 3 3" xfId="14810"/>
    <cellStyle name="Note 4 2 9 3 3 2" xfId="14811"/>
    <cellStyle name="Note 4 2 9 3 3 2 2" xfId="14812"/>
    <cellStyle name="Note 4 2 9 3 3 3" xfId="14813"/>
    <cellStyle name="Note 4 2 9 3 4" xfId="14814"/>
    <cellStyle name="Note 4 2 9 3 4 2" xfId="14815"/>
    <cellStyle name="Note 4 2 9 3 5" xfId="14816"/>
    <cellStyle name="Note 4 2 9 3 5 2" xfId="14817"/>
    <cellStyle name="Note 4 2 9 3 6" xfId="14818"/>
    <cellStyle name="Note 4 2 9 3 6 2" xfId="14819"/>
    <cellStyle name="Note 4 2 9 3 7" xfId="14820"/>
    <cellStyle name="Note 4 2 9 4" xfId="14821"/>
    <cellStyle name="Note 4 2 9 4 2" xfId="14822"/>
    <cellStyle name="Note 4 2 9 5" xfId="14823"/>
    <cellStyle name="Note 4 2 9 5 2" xfId="14824"/>
    <cellStyle name="Note 4 3" xfId="14825"/>
    <cellStyle name="Note 4 3 2" xfId="14826"/>
    <cellStyle name="Note 4 3 2 2" xfId="14827"/>
    <cellStyle name="Note 4 3 2 2 2" xfId="14828"/>
    <cellStyle name="Note 4 3 2 2 2 2" xfId="14829"/>
    <cellStyle name="Note 4 3 2 2 3" xfId="14830"/>
    <cellStyle name="Note 4 3 2 3" xfId="14831"/>
    <cellStyle name="Note 4 3 2 3 2" xfId="14832"/>
    <cellStyle name="Note 4 3 2 3 2 2" xfId="14833"/>
    <cellStyle name="Note 4 3 2 3 3" xfId="14834"/>
    <cellStyle name="Note 4 3 2 4" xfId="14835"/>
    <cellStyle name="Note 4 3 2 4 2" xfId="14836"/>
    <cellStyle name="Note 4 3 2 5" xfId="14837"/>
    <cellStyle name="Note 4 3 2 5 2" xfId="14838"/>
    <cellStyle name="Note 4 3 2 6" xfId="14839"/>
    <cellStyle name="Note 4 3 2 6 2" xfId="14840"/>
    <cellStyle name="Note 4 3 2 7" xfId="14841"/>
    <cellStyle name="Note 4 3 3" xfId="14842"/>
    <cellStyle name="Note 4 3 3 2" xfId="14843"/>
    <cellStyle name="Note 4 3 3 2 2" xfId="14844"/>
    <cellStyle name="Note 4 3 3 2 2 2" xfId="14845"/>
    <cellStyle name="Note 4 3 3 2 3" xfId="14846"/>
    <cellStyle name="Note 4 3 3 3" xfId="14847"/>
    <cellStyle name="Note 4 3 3 3 2" xfId="14848"/>
    <cellStyle name="Note 4 3 3 3 2 2" xfId="14849"/>
    <cellStyle name="Note 4 3 3 3 3" xfId="14850"/>
    <cellStyle name="Note 4 3 3 4" xfId="14851"/>
    <cellStyle name="Note 4 3 3 4 2" xfId="14852"/>
    <cellStyle name="Note 4 3 3 5" xfId="14853"/>
    <cellStyle name="Note 4 3 3 5 2" xfId="14854"/>
    <cellStyle name="Note 4 3 3 6" xfId="14855"/>
    <cellStyle name="Note 4 3 3 6 2" xfId="14856"/>
    <cellStyle name="Note 4 3 3 7" xfId="14857"/>
    <cellStyle name="Note 4 3 4" xfId="14858"/>
    <cellStyle name="Note 4 3 4 2" xfId="14859"/>
    <cellStyle name="Note 4 3 5" xfId="14860"/>
    <cellStyle name="Note 4 3 5 2" xfId="14861"/>
    <cellStyle name="Note 4 4" xfId="14862"/>
    <cellStyle name="Note 4 4 2" xfId="14863"/>
    <cellStyle name="Note 4 4 2 2" xfId="14864"/>
    <cellStyle name="Note 4 4 2 2 2" xfId="14865"/>
    <cellStyle name="Note 4 4 2 2 2 2" xfId="14866"/>
    <cellStyle name="Note 4 4 2 2 3" xfId="14867"/>
    <cellStyle name="Note 4 4 2 3" xfId="14868"/>
    <cellStyle name="Note 4 4 2 3 2" xfId="14869"/>
    <cellStyle name="Note 4 4 2 3 2 2" xfId="14870"/>
    <cellStyle name="Note 4 4 2 3 3" xfId="14871"/>
    <cellStyle name="Note 4 4 2 4" xfId="14872"/>
    <cellStyle name="Note 4 4 2 4 2" xfId="14873"/>
    <cellStyle name="Note 4 4 2 5" xfId="14874"/>
    <cellStyle name="Note 4 4 2 5 2" xfId="14875"/>
    <cellStyle name="Note 4 4 2 6" xfId="14876"/>
    <cellStyle name="Note 4 4 2 6 2" xfId="14877"/>
    <cellStyle name="Note 4 4 2 7" xfId="14878"/>
    <cellStyle name="Note 4 4 3" xfId="14879"/>
    <cellStyle name="Note 4 4 3 2" xfId="14880"/>
    <cellStyle name="Note 4 4 3 2 2" xfId="14881"/>
    <cellStyle name="Note 4 4 3 2 2 2" xfId="14882"/>
    <cellStyle name="Note 4 4 3 2 3" xfId="14883"/>
    <cellStyle name="Note 4 4 3 3" xfId="14884"/>
    <cellStyle name="Note 4 4 3 3 2" xfId="14885"/>
    <cellStyle name="Note 4 4 3 3 2 2" xfId="14886"/>
    <cellStyle name="Note 4 4 3 3 3" xfId="14887"/>
    <cellStyle name="Note 4 4 3 4" xfId="14888"/>
    <cellStyle name="Note 4 4 3 4 2" xfId="14889"/>
    <cellStyle name="Note 4 4 3 5" xfId="14890"/>
    <cellStyle name="Note 4 4 3 5 2" xfId="14891"/>
    <cellStyle name="Note 4 4 3 6" xfId="14892"/>
    <cellStyle name="Note 4 4 3 6 2" xfId="14893"/>
    <cellStyle name="Note 4 4 3 7" xfId="14894"/>
    <cellStyle name="Note 4 4 4" xfId="14895"/>
    <cellStyle name="Note 4 4 4 2" xfId="14896"/>
    <cellStyle name="Note 4 4 5" xfId="14897"/>
    <cellStyle name="Note 4 4 5 2" xfId="14898"/>
    <cellStyle name="Note 4 5" xfId="14899"/>
    <cellStyle name="Note 4 5 2" xfId="14900"/>
    <cellStyle name="Note 4 5 2 2" xfId="14901"/>
    <cellStyle name="Note 4 5 2 2 2" xfId="14902"/>
    <cellStyle name="Note 4 5 2 3" xfId="14903"/>
    <cellStyle name="Note 4 5 3" xfId="14904"/>
    <cellStyle name="Note 4 5 3 2" xfId="14905"/>
    <cellStyle name="Note 4 5 3 2 2" xfId="14906"/>
    <cellStyle name="Note 4 5 3 3" xfId="14907"/>
    <cellStyle name="Note 4 5 4" xfId="14908"/>
    <cellStyle name="Note 4 5 4 2" xfId="14909"/>
    <cellStyle name="Note 4 5 5" xfId="14910"/>
    <cellStyle name="Note 4 5 5 2" xfId="14911"/>
    <cellStyle name="Note 4 5 6" xfId="14912"/>
    <cellStyle name="Note 4 5 6 2" xfId="14913"/>
    <cellStyle name="Note 4 5 7" xfId="14914"/>
    <cellStyle name="Note 4 6" xfId="14915"/>
    <cellStyle name="Note 4 6 2" xfId="14916"/>
    <cellStyle name="Note 4 6 2 2" xfId="14917"/>
    <cellStyle name="Note 4 6 2 2 2" xfId="14918"/>
    <cellStyle name="Note 4 6 2 3" xfId="14919"/>
    <cellStyle name="Note 4 6 3" xfId="14920"/>
    <cellStyle name="Note 4 6 3 2" xfId="14921"/>
    <cellStyle name="Note 4 6 3 2 2" xfId="14922"/>
    <cellStyle name="Note 4 6 3 3" xfId="14923"/>
    <cellStyle name="Note 4 6 4" xfId="14924"/>
    <cellStyle name="Note 4 6 4 2" xfId="14925"/>
    <cellStyle name="Note 4 6 5" xfId="14926"/>
    <cellStyle name="Note 4 6 5 2" xfId="14927"/>
    <cellStyle name="Note 4 6 6" xfId="14928"/>
    <cellStyle name="Note 4 6 6 2" xfId="14929"/>
    <cellStyle name="Note 4 6 7" xfId="14930"/>
    <cellStyle name="Note 4 7" xfId="14931"/>
    <cellStyle name="Note 4 7 2" xfId="14932"/>
    <cellStyle name="Note 4 8" xfId="14933"/>
    <cellStyle name="Note 4 8 2" xfId="14934"/>
    <cellStyle name="Note 4 9" xfId="14935"/>
    <cellStyle name="Note 4 9 2" xfId="14936"/>
    <cellStyle name="Note 5" xfId="303"/>
    <cellStyle name="Note 5 2" xfId="14937"/>
    <cellStyle name="Note 5 2 10" xfId="14938"/>
    <cellStyle name="Note 5 2 10 2" xfId="14939"/>
    <cellStyle name="Note 5 2 10 2 2" xfId="14940"/>
    <cellStyle name="Note 5 2 10 2 2 2" xfId="14941"/>
    <cellStyle name="Note 5 2 10 2 3" xfId="14942"/>
    <cellStyle name="Note 5 2 10 3" xfId="14943"/>
    <cellStyle name="Note 5 2 10 3 2" xfId="14944"/>
    <cellStyle name="Note 5 2 10 3 2 2" xfId="14945"/>
    <cellStyle name="Note 5 2 10 3 3" xfId="14946"/>
    <cellStyle name="Note 5 2 10 4" xfId="14947"/>
    <cellStyle name="Note 5 2 10 4 2" xfId="14948"/>
    <cellStyle name="Note 5 2 10 5" xfId="14949"/>
    <cellStyle name="Note 5 2 10 5 2" xfId="14950"/>
    <cellStyle name="Note 5 2 10 6" xfId="14951"/>
    <cellStyle name="Note 5 2 10 6 2" xfId="14952"/>
    <cellStyle name="Note 5 2 10 7" xfId="14953"/>
    <cellStyle name="Note 5 2 11" xfId="14954"/>
    <cellStyle name="Note 5 2 11 2" xfId="14955"/>
    <cellStyle name="Note 5 2 11 2 2" xfId="14956"/>
    <cellStyle name="Note 5 2 11 2 2 2" xfId="14957"/>
    <cellStyle name="Note 5 2 11 2 3" xfId="14958"/>
    <cellStyle name="Note 5 2 11 3" xfId="14959"/>
    <cellStyle name="Note 5 2 11 3 2" xfId="14960"/>
    <cellStyle name="Note 5 2 11 3 2 2" xfId="14961"/>
    <cellStyle name="Note 5 2 11 3 3" xfId="14962"/>
    <cellStyle name="Note 5 2 11 4" xfId="14963"/>
    <cellStyle name="Note 5 2 11 4 2" xfId="14964"/>
    <cellStyle name="Note 5 2 11 5" xfId="14965"/>
    <cellStyle name="Note 5 2 11 5 2" xfId="14966"/>
    <cellStyle name="Note 5 2 11 6" xfId="14967"/>
    <cellStyle name="Note 5 2 11 6 2" xfId="14968"/>
    <cellStyle name="Note 5 2 11 7" xfId="14969"/>
    <cellStyle name="Note 5 2 12" xfId="14970"/>
    <cellStyle name="Note 5 2 12 2" xfId="14971"/>
    <cellStyle name="Note 5 2 13" xfId="14972"/>
    <cellStyle name="Note 5 2 13 2" xfId="14973"/>
    <cellStyle name="Note 5 2 2" xfId="14974"/>
    <cellStyle name="Note 5 2 2 2" xfId="14975"/>
    <cellStyle name="Note 5 2 2 2 2" xfId="14976"/>
    <cellStyle name="Note 5 2 2 2 2 2" xfId="14977"/>
    <cellStyle name="Note 5 2 2 2 2 2 2" xfId="14978"/>
    <cellStyle name="Note 5 2 2 2 2 2 2 2" xfId="14979"/>
    <cellStyle name="Note 5 2 2 2 2 2 3" xfId="14980"/>
    <cellStyle name="Note 5 2 2 2 2 3" xfId="14981"/>
    <cellStyle name="Note 5 2 2 2 2 3 2" xfId="14982"/>
    <cellStyle name="Note 5 2 2 2 2 3 2 2" xfId="14983"/>
    <cellStyle name="Note 5 2 2 2 2 3 3" xfId="14984"/>
    <cellStyle name="Note 5 2 2 2 2 4" xfId="14985"/>
    <cellStyle name="Note 5 2 2 2 2 4 2" xfId="14986"/>
    <cellStyle name="Note 5 2 2 2 2 5" xfId="14987"/>
    <cellStyle name="Note 5 2 2 2 2 5 2" xfId="14988"/>
    <cellStyle name="Note 5 2 2 2 2 6" xfId="14989"/>
    <cellStyle name="Note 5 2 2 2 2 6 2" xfId="14990"/>
    <cellStyle name="Note 5 2 2 2 2 7" xfId="14991"/>
    <cellStyle name="Note 5 2 2 2 3" xfId="14992"/>
    <cellStyle name="Note 5 2 2 2 3 2" xfId="14993"/>
    <cellStyle name="Note 5 2 2 2 3 2 2" xfId="14994"/>
    <cellStyle name="Note 5 2 2 2 3 2 2 2" xfId="14995"/>
    <cellStyle name="Note 5 2 2 2 3 2 3" xfId="14996"/>
    <cellStyle name="Note 5 2 2 2 3 3" xfId="14997"/>
    <cellStyle name="Note 5 2 2 2 3 3 2" xfId="14998"/>
    <cellStyle name="Note 5 2 2 2 3 3 2 2" xfId="14999"/>
    <cellStyle name="Note 5 2 2 2 3 3 3" xfId="15000"/>
    <cellStyle name="Note 5 2 2 2 3 4" xfId="15001"/>
    <cellStyle name="Note 5 2 2 2 3 4 2" xfId="15002"/>
    <cellStyle name="Note 5 2 2 2 3 5" xfId="15003"/>
    <cellStyle name="Note 5 2 2 2 3 5 2" xfId="15004"/>
    <cellStyle name="Note 5 2 2 2 3 6" xfId="15005"/>
    <cellStyle name="Note 5 2 2 2 3 6 2" xfId="15006"/>
    <cellStyle name="Note 5 2 2 2 3 7" xfId="15007"/>
    <cellStyle name="Note 5 2 2 2 4" xfId="15008"/>
    <cellStyle name="Note 5 2 2 2 4 2" xfId="15009"/>
    <cellStyle name="Note 5 2 2 2 5" xfId="15010"/>
    <cellStyle name="Note 5 2 2 2 5 2" xfId="15011"/>
    <cellStyle name="Note 5 2 2 3" xfId="15012"/>
    <cellStyle name="Note 5 2 2 3 2" xfId="15013"/>
    <cellStyle name="Note 5 2 2 3 2 2" xfId="15014"/>
    <cellStyle name="Note 5 2 2 3 2 2 2" xfId="15015"/>
    <cellStyle name="Note 5 2 2 3 2 2 2 2" xfId="15016"/>
    <cellStyle name="Note 5 2 2 3 2 2 3" xfId="15017"/>
    <cellStyle name="Note 5 2 2 3 2 3" xfId="15018"/>
    <cellStyle name="Note 5 2 2 3 2 3 2" xfId="15019"/>
    <cellStyle name="Note 5 2 2 3 2 3 2 2" xfId="15020"/>
    <cellStyle name="Note 5 2 2 3 2 3 3" xfId="15021"/>
    <cellStyle name="Note 5 2 2 3 2 4" xfId="15022"/>
    <cellStyle name="Note 5 2 2 3 2 4 2" xfId="15023"/>
    <cellStyle name="Note 5 2 2 3 2 5" xfId="15024"/>
    <cellStyle name="Note 5 2 2 3 2 5 2" xfId="15025"/>
    <cellStyle name="Note 5 2 2 3 2 6" xfId="15026"/>
    <cellStyle name="Note 5 2 2 3 2 6 2" xfId="15027"/>
    <cellStyle name="Note 5 2 2 3 2 7" xfId="15028"/>
    <cellStyle name="Note 5 2 2 3 3" xfId="15029"/>
    <cellStyle name="Note 5 2 2 3 3 2" xfId="15030"/>
    <cellStyle name="Note 5 2 2 3 3 2 2" xfId="15031"/>
    <cellStyle name="Note 5 2 2 3 3 2 2 2" xfId="15032"/>
    <cellStyle name="Note 5 2 2 3 3 2 3" xfId="15033"/>
    <cellStyle name="Note 5 2 2 3 3 3" xfId="15034"/>
    <cellStyle name="Note 5 2 2 3 3 3 2" xfId="15035"/>
    <cellStyle name="Note 5 2 2 3 3 3 2 2" xfId="15036"/>
    <cellStyle name="Note 5 2 2 3 3 3 3" xfId="15037"/>
    <cellStyle name="Note 5 2 2 3 3 4" xfId="15038"/>
    <cellStyle name="Note 5 2 2 3 3 4 2" xfId="15039"/>
    <cellStyle name="Note 5 2 2 3 3 5" xfId="15040"/>
    <cellStyle name="Note 5 2 2 3 3 5 2" xfId="15041"/>
    <cellStyle name="Note 5 2 2 3 3 6" xfId="15042"/>
    <cellStyle name="Note 5 2 2 3 3 6 2" xfId="15043"/>
    <cellStyle name="Note 5 2 2 3 3 7" xfId="15044"/>
    <cellStyle name="Note 5 2 2 3 4" xfId="15045"/>
    <cellStyle name="Note 5 2 2 3 4 2" xfId="15046"/>
    <cellStyle name="Note 5 2 2 3 5" xfId="15047"/>
    <cellStyle name="Note 5 2 2 3 5 2" xfId="15048"/>
    <cellStyle name="Note 5 2 2 4" xfId="15049"/>
    <cellStyle name="Note 5 2 2 4 2" xfId="15050"/>
    <cellStyle name="Note 5 2 2 4 2 2" xfId="15051"/>
    <cellStyle name="Note 5 2 2 4 2 2 2" xfId="15052"/>
    <cellStyle name="Note 5 2 2 4 2 3" xfId="15053"/>
    <cellStyle name="Note 5 2 2 4 3" xfId="15054"/>
    <cellStyle name="Note 5 2 2 4 3 2" xfId="15055"/>
    <cellStyle name="Note 5 2 2 4 3 2 2" xfId="15056"/>
    <cellStyle name="Note 5 2 2 4 3 3" xfId="15057"/>
    <cellStyle name="Note 5 2 2 4 4" xfId="15058"/>
    <cellStyle name="Note 5 2 2 4 4 2" xfId="15059"/>
    <cellStyle name="Note 5 2 2 4 5" xfId="15060"/>
    <cellStyle name="Note 5 2 2 4 5 2" xfId="15061"/>
    <cellStyle name="Note 5 2 2 4 6" xfId="15062"/>
    <cellStyle name="Note 5 2 2 4 6 2" xfId="15063"/>
    <cellStyle name="Note 5 2 2 4 7" xfId="15064"/>
    <cellStyle name="Note 5 2 2 5" xfId="15065"/>
    <cellStyle name="Note 5 2 2 5 2" xfId="15066"/>
    <cellStyle name="Note 5 2 2 5 2 2" xfId="15067"/>
    <cellStyle name="Note 5 2 2 5 2 2 2" xfId="15068"/>
    <cellStyle name="Note 5 2 2 5 2 3" xfId="15069"/>
    <cellStyle name="Note 5 2 2 5 3" xfId="15070"/>
    <cellStyle name="Note 5 2 2 5 3 2" xfId="15071"/>
    <cellStyle name="Note 5 2 2 5 3 2 2" xfId="15072"/>
    <cellStyle name="Note 5 2 2 5 3 3" xfId="15073"/>
    <cellStyle name="Note 5 2 2 5 4" xfId="15074"/>
    <cellStyle name="Note 5 2 2 5 4 2" xfId="15075"/>
    <cellStyle name="Note 5 2 2 5 5" xfId="15076"/>
    <cellStyle name="Note 5 2 2 5 5 2" xfId="15077"/>
    <cellStyle name="Note 5 2 2 5 6" xfId="15078"/>
    <cellStyle name="Note 5 2 2 5 6 2" xfId="15079"/>
    <cellStyle name="Note 5 2 2 5 7" xfId="15080"/>
    <cellStyle name="Note 5 2 2 6" xfId="15081"/>
    <cellStyle name="Note 5 2 2 6 2" xfId="15082"/>
    <cellStyle name="Note 5 2 2 6 2 2" xfId="15083"/>
    <cellStyle name="Note 5 2 2 6 2 2 2" xfId="15084"/>
    <cellStyle name="Note 5 2 2 6 2 3" xfId="15085"/>
    <cellStyle name="Note 5 2 2 6 3" xfId="15086"/>
    <cellStyle name="Note 5 2 2 6 3 2" xfId="15087"/>
    <cellStyle name="Note 5 2 2 6 3 2 2" xfId="15088"/>
    <cellStyle name="Note 5 2 2 6 3 3" xfId="15089"/>
    <cellStyle name="Note 5 2 2 6 4" xfId="15090"/>
    <cellStyle name="Note 5 2 2 6 4 2" xfId="15091"/>
    <cellStyle name="Note 5 2 2 6 5" xfId="15092"/>
    <cellStyle name="Note 5 2 2 6 5 2" xfId="15093"/>
    <cellStyle name="Note 5 2 2 6 6" xfId="15094"/>
    <cellStyle name="Note 5 2 2 6 6 2" xfId="15095"/>
    <cellStyle name="Note 5 2 2 6 7" xfId="15096"/>
    <cellStyle name="Note 5 2 2 7" xfId="15097"/>
    <cellStyle name="Note 5 2 2 7 2" xfId="15098"/>
    <cellStyle name="Note 5 2 2 8" xfId="15099"/>
    <cellStyle name="Note 5 2 2 8 2" xfId="15100"/>
    <cellStyle name="Note 5 2 3" xfId="15101"/>
    <cellStyle name="Note 5 2 3 2" xfId="15102"/>
    <cellStyle name="Note 5 2 3 2 2" xfId="15103"/>
    <cellStyle name="Note 5 2 3 2 2 2" xfId="15104"/>
    <cellStyle name="Note 5 2 3 2 2 2 2" xfId="15105"/>
    <cellStyle name="Note 5 2 3 2 2 2 2 2" xfId="15106"/>
    <cellStyle name="Note 5 2 3 2 2 2 3" xfId="15107"/>
    <cellStyle name="Note 5 2 3 2 2 3" xfId="15108"/>
    <cellStyle name="Note 5 2 3 2 2 3 2" xfId="15109"/>
    <cellStyle name="Note 5 2 3 2 2 3 2 2" xfId="15110"/>
    <cellStyle name="Note 5 2 3 2 2 3 3" xfId="15111"/>
    <cellStyle name="Note 5 2 3 2 2 4" xfId="15112"/>
    <cellStyle name="Note 5 2 3 2 2 4 2" xfId="15113"/>
    <cellStyle name="Note 5 2 3 2 2 5" xfId="15114"/>
    <cellStyle name="Note 5 2 3 2 2 5 2" xfId="15115"/>
    <cellStyle name="Note 5 2 3 2 2 6" xfId="15116"/>
    <cellStyle name="Note 5 2 3 2 2 6 2" xfId="15117"/>
    <cellStyle name="Note 5 2 3 2 2 7" xfId="15118"/>
    <cellStyle name="Note 5 2 3 2 3" xfId="15119"/>
    <cellStyle name="Note 5 2 3 2 3 2" xfId="15120"/>
    <cellStyle name="Note 5 2 3 2 3 2 2" xfId="15121"/>
    <cellStyle name="Note 5 2 3 2 3 2 2 2" xfId="15122"/>
    <cellStyle name="Note 5 2 3 2 3 2 3" xfId="15123"/>
    <cellStyle name="Note 5 2 3 2 3 3" xfId="15124"/>
    <cellStyle name="Note 5 2 3 2 3 3 2" xfId="15125"/>
    <cellStyle name="Note 5 2 3 2 3 3 2 2" xfId="15126"/>
    <cellStyle name="Note 5 2 3 2 3 3 3" xfId="15127"/>
    <cellStyle name="Note 5 2 3 2 3 4" xfId="15128"/>
    <cellStyle name="Note 5 2 3 2 3 4 2" xfId="15129"/>
    <cellStyle name="Note 5 2 3 2 3 5" xfId="15130"/>
    <cellStyle name="Note 5 2 3 2 3 5 2" xfId="15131"/>
    <cellStyle name="Note 5 2 3 2 3 6" xfId="15132"/>
    <cellStyle name="Note 5 2 3 2 3 6 2" xfId="15133"/>
    <cellStyle name="Note 5 2 3 2 3 7" xfId="15134"/>
    <cellStyle name="Note 5 2 3 2 4" xfId="15135"/>
    <cellStyle name="Note 5 2 3 2 4 2" xfId="15136"/>
    <cellStyle name="Note 5 2 3 2 5" xfId="15137"/>
    <cellStyle name="Note 5 2 3 2 5 2" xfId="15138"/>
    <cellStyle name="Note 5 2 3 3" xfId="15139"/>
    <cellStyle name="Note 5 2 3 3 2" xfId="15140"/>
    <cellStyle name="Note 5 2 3 3 2 2" xfId="15141"/>
    <cellStyle name="Note 5 2 3 3 2 2 2" xfId="15142"/>
    <cellStyle name="Note 5 2 3 3 2 2 2 2" xfId="15143"/>
    <cellStyle name="Note 5 2 3 3 2 2 3" xfId="15144"/>
    <cellStyle name="Note 5 2 3 3 2 3" xfId="15145"/>
    <cellStyle name="Note 5 2 3 3 2 3 2" xfId="15146"/>
    <cellStyle name="Note 5 2 3 3 2 3 2 2" xfId="15147"/>
    <cellStyle name="Note 5 2 3 3 2 3 3" xfId="15148"/>
    <cellStyle name="Note 5 2 3 3 2 4" xfId="15149"/>
    <cellStyle name="Note 5 2 3 3 2 4 2" xfId="15150"/>
    <cellStyle name="Note 5 2 3 3 2 5" xfId="15151"/>
    <cellStyle name="Note 5 2 3 3 2 5 2" xfId="15152"/>
    <cellStyle name="Note 5 2 3 3 2 6" xfId="15153"/>
    <cellStyle name="Note 5 2 3 3 2 6 2" xfId="15154"/>
    <cellStyle name="Note 5 2 3 3 2 7" xfId="15155"/>
    <cellStyle name="Note 5 2 3 3 3" xfId="15156"/>
    <cellStyle name="Note 5 2 3 3 3 2" xfId="15157"/>
    <cellStyle name="Note 5 2 3 3 3 2 2" xfId="15158"/>
    <cellStyle name="Note 5 2 3 3 3 2 2 2" xfId="15159"/>
    <cellStyle name="Note 5 2 3 3 3 2 3" xfId="15160"/>
    <cellStyle name="Note 5 2 3 3 3 3" xfId="15161"/>
    <cellStyle name="Note 5 2 3 3 3 3 2" xfId="15162"/>
    <cellStyle name="Note 5 2 3 3 3 3 2 2" xfId="15163"/>
    <cellStyle name="Note 5 2 3 3 3 3 3" xfId="15164"/>
    <cellStyle name="Note 5 2 3 3 3 4" xfId="15165"/>
    <cellStyle name="Note 5 2 3 3 3 4 2" xfId="15166"/>
    <cellStyle name="Note 5 2 3 3 3 5" xfId="15167"/>
    <cellStyle name="Note 5 2 3 3 3 5 2" xfId="15168"/>
    <cellStyle name="Note 5 2 3 3 3 6" xfId="15169"/>
    <cellStyle name="Note 5 2 3 3 3 6 2" xfId="15170"/>
    <cellStyle name="Note 5 2 3 3 3 7" xfId="15171"/>
    <cellStyle name="Note 5 2 3 3 4" xfId="15172"/>
    <cellStyle name="Note 5 2 3 3 4 2" xfId="15173"/>
    <cellStyle name="Note 5 2 3 3 5" xfId="15174"/>
    <cellStyle name="Note 5 2 3 3 5 2" xfId="15175"/>
    <cellStyle name="Note 5 2 3 4" xfId="15176"/>
    <cellStyle name="Note 5 2 3 4 2" xfId="15177"/>
    <cellStyle name="Note 5 2 3 4 2 2" xfId="15178"/>
    <cellStyle name="Note 5 2 3 4 2 2 2" xfId="15179"/>
    <cellStyle name="Note 5 2 3 4 2 3" xfId="15180"/>
    <cellStyle name="Note 5 2 3 4 3" xfId="15181"/>
    <cellStyle name="Note 5 2 3 4 3 2" xfId="15182"/>
    <cellStyle name="Note 5 2 3 4 3 2 2" xfId="15183"/>
    <cellStyle name="Note 5 2 3 4 3 3" xfId="15184"/>
    <cellStyle name="Note 5 2 3 4 4" xfId="15185"/>
    <cellStyle name="Note 5 2 3 4 4 2" xfId="15186"/>
    <cellStyle name="Note 5 2 3 4 5" xfId="15187"/>
    <cellStyle name="Note 5 2 3 4 5 2" xfId="15188"/>
    <cellStyle name="Note 5 2 3 4 6" xfId="15189"/>
    <cellStyle name="Note 5 2 3 4 6 2" xfId="15190"/>
    <cellStyle name="Note 5 2 3 4 7" xfId="15191"/>
    <cellStyle name="Note 5 2 3 5" xfId="15192"/>
    <cellStyle name="Note 5 2 3 5 2" xfId="15193"/>
    <cellStyle name="Note 5 2 3 5 2 2" xfId="15194"/>
    <cellStyle name="Note 5 2 3 5 2 2 2" xfId="15195"/>
    <cellStyle name="Note 5 2 3 5 2 3" xfId="15196"/>
    <cellStyle name="Note 5 2 3 5 3" xfId="15197"/>
    <cellStyle name="Note 5 2 3 5 3 2" xfId="15198"/>
    <cellStyle name="Note 5 2 3 5 3 2 2" xfId="15199"/>
    <cellStyle name="Note 5 2 3 5 3 3" xfId="15200"/>
    <cellStyle name="Note 5 2 3 5 4" xfId="15201"/>
    <cellStyle name="Note 5 2 3 5 4 2" xfId="15202"/>
    <cellStyle name="Note 5 2 3 5 5" xfId="15203"/>
    <cellStyle name="Note 5 2 3 5 5 2" xfId="15204"/>
    <cellStyle name="Note 5 2 3 5 6" xfId="15205"/>
    <cellStyle name="Note 5 2 3 5 6 2" xfId="15206"/>
    <cellStyle name="Note 5 2 3 5 7" xfId="15207"/>
    <cellStyle name="Note 5 2 3 6" xfId="15208"/>
    <cellStyle name="Note 5 2 3 6 2" xfId="15209"/>
    <cellStyle name="Note 5 2 3 6 2 2" xfId="15210"/>
    <cellStyle name="Note 5 2 3 6 2 2 2" xfId="15211"/>
    <cellStyle name="Note 5 2 3 6 2 3" xfId="15212"/>
    <cellStyle name="Note 5 2 3 6 3" xfId="15213"/>
    <cellStyle name="Note 5 2 3 6 3 2" xfId="15214"/>
    <cellStyle name="Note 5 2 3 6 3 2 2" xfId="15215"/>
    <cellStyle name="Note 5 2 3 6 3 3" xfId="15216"/>
    <cellStyle name="Note 5 2 3 6 4" xfId="15217"/>
    <cellStyle name="Note 5 2 3 6 4 2" xfId="15218"/>
    <cellStyle name="Note 5 2 3 6 5" xfId="15219"/>
    <cellStyle name="Note 5 2 3 6 5 2" xfId="15220"/>
    <cellStyle name="Note 5 2 3 6 6" xfId="15221"/>
    <cellStyle name="Note 5 2 3 6 6 2" xfId="15222"/>
    <cellStyle name="Note 5 2 3 6 7" xfId="15223"/>
    <cellStyle name="Note 5 2 3 7" xfId="15224"/>
    <cellStyle name="Note 5 2 3 7 2" xfId="15225"/>
    <cellStyle name="Note 5 2 3 8" xfId="15226"/>
    <cellStyle name="Note 5 2 3 8 2" xfId="15227"/>
    <cellStyle name="Note 5 2 4" xfId="15228"/>
    <cellStyle name="Note 5 2 4 2" xfId="15229"/>
    <cellStyle name="Note 5 2 4 2 2" xfId="15230"/>
    <cellStyle name="Note 5 2 4 2 2 2" xfId="15231"/>
    <cellStyle name="Note 5 2 4 2 2 2 2" xfId="15232"/>
    <cellStyle name="Note 5 2 4 2 2 2 2 2" xfId="15233"/>
    <cellStyle name="Note 5 2 4 2 2 2 3" xfId="15234"/>
    <cellStyle name="Note 5 2 4 2 2 3" xfId="15235"/>
    <cellStyle name="Note 5 2 4 2 2 3 2" xfId="15236"/>
    <cellStyle name="Note 5 2 4 2 2 3 2 2" xfId="15237"/>
    <cellStyle name="Note 5 2 4 2 2 3 3" xfId="15238"/>
    <cellStyle name="Note 5 2 4 2 2 4" xfId="15239"/>
    <cellStyle name="Note 5 2 4 2 2 4 2" xfId="15240"/>
    <cellStyle name="Note 5 2 4 2 2 5" xfId="15241"/>
    <cellStyle name="Note 5 2 4 2 2 5 2" xfId="15242"/>
    <cellStyle name="Note 5 2 4 2 2 6" xfId="15243"/>
    <cellStyle name="Note 5 2 4 2 2 6 2" xfId="15244"/>
    <cellStyle name="Note 5 2 4 2 2 7" xfId="15245"/>
    <cellStyle name="Note 5 2 4 2 3" xfId="15246"/>
    <cellStyle name="Note 5 2 4 2 3 2" xfId="15247"/>
    <cellStyle name="Note 5 2 4 2 3 2 2" xfId="15248"/>
    <cellStyle name="Note 5 2 4 2 3 2 2 2" xfId="15249"/>
    <cellStyle name="Note 5 2 4 2 3 2 3" xfId="15250"/>
    <cellStyle name="Note 5 2 4 2 3 3" xfId="15251"/>
    <cellStyle name="Note 5 2 4 2 3 3 2" xfId="15252"/>
    <cellStyle name="Note 5 2 4 2 3 3 2 2" xfId="15253"/>
    <cellStyle name="Note 5 2 4 2 3 3 3" xfId="15254"/>
    <cellStyle name="Note 5 2 4 2 3 4" xfId="15255"/>
    <cellStyle name="Note 5 2 4 2 3 4 2" xfId="15256"/>
    <cellStyle name="Note 5 2 4 2 3 5" xfId="15257"/>
    <cellStyle name="Note 5 2 4 2 3 5 2" xfId="15258"/>
    <cellStyle name="Note 5 2 4 2 3 6" xfId="15259"/>
    <cellStyle name="Note 5 2 4 2 3 6 2" xfId="15260"/>
    <cellStyle name="Note 5 2 4 2 3 7" xfId="15261"/>
    <cellStyle name="Note 5 2 4 2 4" xfId="15262"/>
    <cellStyle name="Note 5 2 4 2 4 2" xfId="15263"/>
    <cellStyle name="Note 5 2 4 2 5" xfId="15264"/>
    <cellStyle name="Note 5 2 4 2 5 2" xfId="15265"/>
    <cellStyle name="Note 5 2 4 3" xfId="15266"/>
    <cellStyle name="Note 5 2 4 3 2" xfId="15267"/>
    <cellStyle name="Note 5 2 4 3 2 2" xfId="15268"/>
    <cellStyle name="Note 5 2 4 3 2 2 2" xfId="15269"/>
    <cellStyle name="Note 5 2 4 3 2 2 2 2" xfId="15270"/>
    <cellStyle name="Note 5 2 4 3 2 2 3" xfId="15271"/>
    <cellStyle name="Note 5 2 4 3 2 3" xfId="15272"/>
    <cellStyle name="Note 5 2 4 3 2 3 2" xfId="15273"/>
    <cellStyle name="Note 5 2 4 3 2 3 2 2" xfId="15274"/>
    <cellStyle name="Note 5 2 4 3 2 3 3" xfId="15275"/>
    <cellStyle name="Note 5 2 4 3 2 4" xfId="15276"/>
    <cellStyle name="Note 5 2 4 3 2 4 2" xfId="15277"/>
    <cellStyle name="Note 5 2 4 3 2 5" xfId="15278"/>
    <cellStyle name="Note 5 2 4 3 2 5 2" xfId="15279"/>
    <cellStyle name="Note 5 2 4 3 2 6" xfId="15280"/>
    <cellStyle name="Note 5 2 4 3 2 6 2" xfId="15281"/>
    <cellStyle name="Note 5 2 4 3 2 7" xfId="15282"/>
    <cellStyle name="Note 5 2 4 3 3" xfId="15283"/>
    <cellStyle name="Note 5 2 4 3 3 2" xfId="15284"/>
    <cellStyle name="Note 5 2 4 3 3 2 2" xfId="15285"/>
    <cellStyle name="Note 5 2 4 3 3 2 2 2" xfId="15286"/>
    <cellStyle name="Note 5 2 4 3 3 2 3" xfId="15287"/>
    <cellStyle name="Note 5 2 4 3 3 3" xfId="15288"/>
    <cellStyle name="Note 5 2 4 3 3 3 2" xfId="15289"/>
    <cellStyle name="Note 5 2 4 3 3 3 2 2" xfId="15290"/>
    <cellStyle name="Note 5 2 4 3 3 3 3" xfId="15291"/>
    <cellStyle name="Note 5 2 4 3 3 4" xfId="15292"/>
    <cellStyle name="Note 5 2 4 3 3 4 2" xfId="15293"/>
    <cellStyle name="Note 5 2 4 3 3 5" xfId="15294"/>
    <cellStyle name="Note 5 2 4 3 3 5 2" xfId="15295"/>
    <cellStyle name="Note 5 2 4 3 3 6" xfId="15296"/>
    <cellStyle name="Note 5 2 4 3 3 6 2" xfId="15297"/>
    <cellStyle name="Note 5 2 4 3 3 7" xfId="15298"/>
    <cellStyle name="Note 5 2 4 3 4" xfId="15299"/>
    <cellStyle name="Note 5 2 4 3 4 2" xfId="15300"/>
    <cellStyle name="Note 5 2 4 3 5" xfId="15301"/>
    <cellStyle name="Note 5 2 4 3 5 2" xfId="15302"/>
    <cellStyle name="Note 5 2 4 4" xfId="15303"/>
    <cellStyle name="Note 5 2 4 4 2" xfId="15304"/>
    <cellStyle name="Note 5 2 4 4 2 2" xfId="15305"/>
    <cellStyle name="Note 5 2 4 4 2 2 2" xfId="15306"/>
    <cellStyle name="Note 5 2 4 4 2 3" xfId="15307"/>
    <cellStyle name="Note 5 2 4 4 3" xfId="15308"/>
    <cellStyle name="Note 5 2 4 4 3 2" xfId="15309"/>
    <cellStyle name="Note 5 2 4 4 3 2 2" xfId="15310"/>
    <cellStyle name="Note 5 2 4 4 3 3" xfId="15311"/>
    <cellStyle name="Note 5 2 4 4 4" xfId="15312"/>
    <cellStyle name="Note 5 2 4 4 4 2" xfId="15313"/>
    <cellStyle name="Note 5 2 4 4 5" xfId="15314"/>
    <cellStyle name="Note 5 2 4 4 5 2" xfId="15315"/>
    <cellStyle name="Note 5 2 4 4 6" xfId="15316"/>
    <cellStyle name="Note 5 2 4 4 6 2" xfId="15317"/>
    <cellStyle name="Note 5 2 4 4 7" xfId="15318"/>
    <cellStyle name="Note 5 2 4 5" xfId="15319"/>
    <cellStyle name="Note 5 2 4 5 2" xfId="15320"/>
    <cellStyle name="Note 5 2 4 5 2 2" xfId="15321"/>
    <cellStyle name="Note 5 2 4 5 2 2 2" xfId="15322"/>
    <cellStyle name="Note 5 2 4 5 2 3" xfId="15323"/>
    <cellStyle name="Note 5 2 4 5 3" xfId="15324"/>
    <cellStyle name="Note 5 2 4 5 3 2" xfId="15325"/>
    <cellStyle name="Note 5 2 4 5 3 2 2" xfId="15326"/>
    <cellStyle name="Note 5 2 4 5 3 3" xfId="15327"/>
    <cellStyle name="Note 5 2 4 5 4" xfId="15328"/>
    <cellStyle name="Note 5 2 4 5 4 2" xfId="15329"/>
    <cellStyle name="Note 5 2 4 5 5" xfId="15330"/>
    <cellStyle name="Note 5 2 4 5 5 2" xfId="15331"/>
    <cellStyle name="Note 5 2 4 5 6" xfId="15332"/>
    <cellStyle name="Note 5 2 4 5 6 2" xfId="15333"/>
    <cellStyle name="Note 5 2 4 5 7" xfId="15334"/>
    <cellStyle name="Note 5 2 4 6" xfId="15335"/>
    <cellStyle name="Note 5 2 4 6 2" xfId="15336"/>
    <cellStyle name="Note 5 2 4 6 2 2" xfId="15337"/>
    <cellStyle name="Note 5 2 4 6 2 2 2" xfId="15338"/>
    <cellStyle name="Note 5 2 4 6 2 3" xfId="15339"/>
    <cellStyle name="Note 5 2 4 6 3" xfId="15340"/>
    <cellStyle name="Note 5 2 4 6 3 2" xfId="15341"/>
    <cellStyle name="Note 5 2 4 6 3 2 2" xfId="15342"/>
    <cellStyle name="Note 5 2 4 6 3 3" xfId="15343"/>
    <cellStyle name="Note 5 2 4 6 4" xfId="15344"/>
    <cellStyle name="Note 5 2 4 6 4 2" xfId="15345"/>
    <cellStyle name="Note 5 2 4 6 5" xfId="15346"/>
    <cellStyle name="Note 5 2 4 6 5 2" xfId="15347"/>
    <cellStyle name="Note 5 2 4 6 6" xfId="15348"/>
    <cellStyle name="Note 5 2 4 6 6 2" xfId="15349"/>
    <cellStyle name="Note 5 2 4 6 7" xfId="15350"/>
    <cellStyle name="Note 5 2 4 7" xfId="15351"/>
    <cellStyle name="Note 5 2 4 7 2" xfId="15352"/>
    <cellStyle name="Note 5 2 4 8" xfId="15353"/>
    <cellStyle name="Note 5 2 4 8 2" xfId="15354"/>
    <cellStyle name="Note 5 2 5" xfId="15355"/>
    <cellStyle name="Note 5 2 5 2" xfId="15356"/>
    <cellStyle name="Note 5 2 5 2 2" xfId="15357"/>
    <cellStyle name="Note 5 2 5 2 2 2" xfId="15358"/>
    <cellStyle name="Note 5 2 5 2 2 2 2" xfId="15359"/>
    <cellStyle name="Note 5 2 5 2 2 2 2 2" xfId="15360"/>
    <cellStyle name="Note 5 2 5 2 2 2 3" xfId="15361"/>
    <cellStyle name="Note 5 2 5 2 2 3" xfId="15362"/>
    <cellStyle name="Note 5 2 5 2 2 3 2" xfId="15363"/>
    <cellStyle name="Note 5 2 5 2 2 3 2 2" xfId="15364"/>
    <cellStyle name="Note 5 2 5 2 2 3 3" xfId="15365"/>
    <cellStyle name="Note 5 2 5 2 2 4" xfId="15366"/>
    <cellStyle name="Note 5 2 5 2 2 4 2" xfId="15367"/>
    <cellStyle name="Note 5 2 5 2 2 5" xfId="15368"/>
    <cellStyle name="Note 5 2 5 2 2 5 2" xfId="15369"/>
    <cellStyle name="Note 5 2 5 2 2 6" xfId="15370"/>
    <cellStyle name="Note 5 2 5 2 2 6 2" xfId="15371"/>
    <cellStyle name="Note 5 2 5 2 2 7" xfId="15372"/>
    <cellStyle name="Note 5 2 5 2 3" xfId="15373"/>
    <cellStyle name="Note 5 2 5 2 3 2" xfId="15374"/>
    <cellStyle name="Note 5 2 5 2 3 2 2" xfId="15375"/>
    <cellStyle name="Note 5 2 5 2 3 2 2 2" xfId="15376"/>
    <cellStyle name="Note 5 2 5 2 3 2 3" xfId="15377"/>
    <cellStyle name="Note 5 2 5 2 3 3" xfId="15378"/>
    <cellStyle name="Note 5 2 5 2 3 3 2" xfId="15379"/>
    <cellStyle name="Note 5 2 5 2 3 3 2 2" xfId="15380"/>
    <cellStyle name="Note 5 2 5 2 3 3 3" xfId="15381"/>
    <cellStyle name="Note 5 2 5 2 3 4" xfId="15382"/>
    <cellStyle name="Note 5 2 5 2 3 4 2" xfId="15383"/>
    <cellStyle name="Note 5 2 5 2 3 5" xfId="15384"/>
    <cellStyle name="Note 5 2 5 2 3 5 2" xfId="15385"/>
    <cellStyle name="Note 5 2 5 2 3 6" xfId="15386"/>
    <cellStyle name="Note 5 2 5 2 3 6 2" xfId="15387"/>
    <cellStyle name="Note 5 2 5 2 3 7" xfId="15388"/>
    <cellStyle name="Note 5 2 5 2 4" xfId="15389"/>
    <cellStyle name="Note 5 2 5 2 4 2" xfId="15390"/>
    <cellStyle name="Note 5 2 5 2 5" xfId="15391"/>
    <cellStyle name="Note 5 2 5 2 5 2" xfId="15392"/>
    <cellStyle name="Note 5 2 5 3" xfId="15393"/>
    <cellStyle name="Note 5 2 5 3 2" xfId="15394"/>
    <cellStyle name="Note 5 2 5 3 2 2" xfId="15395"/>
    <cellStyle name="Note 5 2 5 3 2 2 2" xfId="15396"/>
    <cellStyle name="Note 5 2 5 3 2 2 2 2" xfId="15397"/>
    <cellStyle name="Note 5 2 5 3 2 2 3" xfId="15398"/>
    <cellStyle name="Note 5 2 5 3 2 3" xfId="15399"/>
    <cellStyle name="Note 5 2 5 3 2 3 2" xfId="15400"/>
    <cellStyle name="Note 5 2 5 3 2 3 2 2" xfId="15401"/>
    <cellStyle name="Note 5 2 5 3 2 3 3" xfId="15402"/>
    <cellStyle name="Note 5 2 5 3 2 4" xfId="15403"/>
    <cellStyle name="Note 5 2 5 3 2 4 2" xfId="15404"/>
    <cellStyle name="Note 5 2 5 3 2 5" xfId="15405"/>
    <cellStyle name="Note 5 2 5 3 2 5 2" xfId="15406"/>
    <cellStyle name="Note 5 2 5 3 2 6" xfId="15407"/>
    <cellStyle name="Note 5 2 5 3 2 6 2" xfId="15408"/>
    <cellStyle name="Note 5 2 5 3 2 7" xfId="15409"/>
    <cellStyle name="Note 5 2 5 3 3" xfId="15410"/>
    <cellStyle name="Note 5 2 5 3 3 2" xfId="15411"/>
    <cellStyle name="Note 5 2 5 3 3 2 2" xfId="15412"/>
    <cellStyle name="Note 5 2 5 3 3 2 2 2" xfId="15413"/>
    <cellStyle name="Note 5 2 5 3 3 2 3" xfId="15414"/>
    <cellStyle name="Note 5 2 5 3 3 3" xfId="15415"/>
    <cellStyle name="Note 5 2 5 3 3 3 2" xfId="15416"/>
    <cellStyle name="Note 5 2 5 3 3 3 2 2" xfId="15417"/>
    <cellStyle name="Note 5 2 5 3 3 3 3" xfId="15418"/>
    <cellStyle name="Note 5 2 5 3 3 4" xfId="15419"/>
    <cellStyle name="Note 5 2 5 3 3 4 2" xfId="15420"/>
    <cellStyle name="Note 5 2 5 3 3 5" xfId="15421"/>
    <cellStyle name="Note 5 2 5 3 3 5 2" xfId="15422"/>
    <cellStyle name="Note 5 2 5 3 3 6" xfId="15423"/>
    <cellStyle name="Note 5 2 5 3 3 6 2" xfId="15424"/>
    <cellStyle name="Note 5 2 5 3 3 7" xfId="15425"/>
    <cellStyle name="Note 5 2 5 3 4" xfId="15426"/>
    <cellStyle name="Note 5 2 5 3 4 2" xfId="15427"/>
    <cellStyle name="Note 5 2 5 3 5" xfId="15428"/>
    <cellStyle name="Note 5 2 5 3 5 2" xfId="15429"/>
    <cellStyle name="Note 5 2 5 4" xfId="15430"/>
    <cellStyle name="Note 5 2 5 4 2" xfId="15431"/>
    <cellStyle name="Note 5 2 5 4 2 2" xfId="15432"/>
    <cellStyle name="Note 5 2 5 4 2 2 2" xfId="15433"/>
    <cellStyle name="Note 5 2 5 4 2 3" xfId="15434"/>
    <cellStyle name="Note 5 2 5 4 3" xfId="15435"/>
    <cellStyle name="Note 5 2 5 4 3 2" xfId="15436"/>
    <cellStyle name="Note 5 2 5 4 3 2 2" xfId="15437"/>
    <cellStyle name="Note 5 2 5 4 3 3" xfId="15438"/>
    <cellStyle name="Note 5 2 5 4 4" xfId="15439"/>
    <cellStyle name="Note 5 2 5 4 4 2" xfId="15440"/>
    <cellStyle name="Note 5 2 5 4 5" xfId="15441"/>
    <cellStyle name="Note 5 2 5 4 5 2" xfId="15442"/>
    <cellStyle name="Note 5 2 5 4 6" xfId="15443"/>
    <cellStyle name="Note 5 2 5 4 6 2" xfId="15444"/>
    <cellStyle name="Note 5 2 5 4 7" xfId="15445"/>
    <cellStyle name="Note 5 2 5 5" xfId="15446"/>
    <cellStyle name="Note 5 2 5 5 2" xfId="15447"/>
    <cellStyle name="Note 5 2 5 5 2 2" xfId="15448"/>
    <cellStyle name="Note 5 2 5 5 2 2 2" xfId="15449"/>
    <cellStyle name="Note 5 2 5 5 2 3" xfId="15450"/>
    <cellStyle name="Note 5 2 5 5 3" xfId="15451"/>
    <cellStyle name="Note 5 2 5 5 3 2" xfId="15452"/>
    <cellStyle name="Note 5 2 5 5 3 2 2" xfId="15453"/>
    <cellStyle name="Note 5 2 5 5 3 3" xfId="15454"/>
    <cellStyle name="Note 5 2 5 5 4" xfId="15455"/>
    <cellStyle name="Note 5 2 5 5 4 2" xfId="15456"/>
    <cellStyle name="Note 5 2 5 5 5" xfId="15457"/>
    <cellStyle name="Note 5 2 5 5 5 2" xfId="15458"/>
    <cellStyle name="Note 5 2 5 5 6" xfId="15459"/>
    <cellStyle name="Note 5 2 5 5 6 2" xfId="15460"/>
    <cellStyle name="Note 5 2 5 5 7" xfId="15461"/>
    <cellStyle name="Note 5 2 5 6" xfId="15462"/>
    <cellStyle name="Note 5 2 5 6 2" xfId="15463"/>
    <cellStyle name="Note 5 2 5 6 2 2" xfId="15464"/>
    <cellStyle name="Note 5 2 5 6 2 2 2" xfId="15465"/>
    <cellStyle name="Note 5 2 5 6 2 3" xfId="15466"/>
    <cellStyle name="Note 5 2 5 6 3" xfId="15467"/>
    <cellStyle name="Note 5 2 5 6 3 2" xfId="15468"/>
    <cellStyle name="Note 5 2 5 6 3 2 2" xfId="15469"/>
    <cellStyle name="Note 5 2 5 6 3 3" xfId="15470"/>
    <cellStyle name="Note 5 2 5 6 4" xfId="15471"/>
    <cellStyle name="Note 5 2 5 6 4 2" xfId="15472"/>
    <cellStyle name="Note 5 2 5 6 5" xfId="15473"/>
    <cellStyle name="Note 5 2 5 6 5 2" xfId="15474"/>
    <cellStyle name="Note 5 2 5 6 6" xfId="15475"/>
    <cellStyle name="Note 5 2 5 6 6 2" xfId="15476"/>
    <cellStyle name="Note 5 2 5 6 7" xfId="15477"/>
    <cellStyle name="Note 5 2 5 7" xfId="15478"/>
    <cellStyle name="Note 5 2 5 7 2" xfId="15479"/>
    <cellStyle name="Note 5 2 5 8" xfId="15480"/>
    <cellStyle name="Note 5 2 5 8 2" xfId="15481"/>
    <cellStyle name="Note 5 2 6" xfId="15482"/>
    <cellStyle name="Note 5 2 6 2" xfId="15483"/>
    <cellStyle name="Note 5 2 6 2 2" xfId="15484"/>
    <cellStyle name="Note 5 2 6 2 2 2" xfId="15485"/>
    <cellStyle name="Note 5 2 6 2 2 2 2" xfId="15486"/>
    <cellStyle name="Note 5 2 6 2 2 2 2 2" xfId="15487"/>
    <cellStyle name="Note 5 2 6 2 2 2 3" xfId="15488"/>
    <cellStyle name="Note 5 2 6 2 2 3" xfId="15489"/>
    <cellStyle name="Note 5 2 6 2 2 3 2" xfId="15490"/>
    <cellStyle name="Note 5 2 6 2 2 3 2 2" xfId="15491"/>
    <cellStyle name="Note 5 2 6 2 2 3 3" xfId="15492"/>
    <cellStyle name="Note 5 2 6 2 2 4" xfId="15493"/>
    <cellStyle name="Note 5 2 6 2 2 4 2" xfId="15494"/>
    <cellStyle name="Note 5 2 6 2 2 5" xfId="15495"/>
    <cellStyle name="Note 5 2 6 2 2 5 2" xfId="15496"/>
    <cellStyle name="Note 5 2 6 2 2 6" xfId="15497"/>
    <cellStyle name="Note 5 2 6 2 2 6 2" xfId="15498"/>
    <cellStyle name="Note 5 2 6 2 2 7" xfId="15499"/>
    <cellStyle name="Note 5 2 6 2 3" xfId="15500"/>
    <cellStyle name="Note 5 2 6 2 3 2" xfId="15501"/>
    <cellStyle name="Note 5 2 6 2 3 2 2" xfId="15502"/>
    <cellStyle name="Note 5 2 6 2 3 2 2 2" xfId="15503"/>
    <cellStyle name="Note 5 2 6 2 3 2 3" xfId="15504"/>
    <cellStyle name="Note 5 2 6 2 3 3" xfId="15505"/>
    <cellStyle name="Note 5 2 6 2 3 3 2" xfId="15506"/>
    <cellStyle name="Note 5 2 6 2 3 3 2 2" xfId="15507"/>
    <cellStyle name="Note 5 2 6 2 3 3 3" xfId="15508"/>
    <cellStyle name="Note 5 2 6 2 3 4" xfId="15509"/>
    <cellStyle name="Note 5 2 6 2 3 4 2" xfId="15510"/>
    <cellStyle name="Note 5 2 6 2 3 5" xfId="15511"/>
    <cellStyle name="Note 5 2 6 2 3 5 2" xfId="15512"/>
    <cellStyle name="Note 5 2 6 2 3 6" xfId="15513"/>
    <cellStyle name="Note 5 2 6 2 3 6 2" xfId="15514"/>
    <cellStyle name="Note 5 2 6 2 3 7" xfId="15515"/>
    <cellStyle name="Note 5 2 6 2 4" xfId="15516"/>
    <cellStyle name="Note 5 2 6 2 4 2" xfId="15517"/>
    <cellStyle name="Note 5 2 6 2 5" xfId="15518"/>
    <cellStyle name="Note 5 2 6 2 5 2" xfId="15519"/>
    <cellStyle name="Note 5 2 6 3" xfId="15520"/>
    <cellStyle name="Note 5 2 6 3 2" xfId="15521"/>
    <cellStyle name="Note 5 2 6 3 2 2" xfId="15522"/>
    <cellStyle name="Note 5 2 6 3 2 2 2" xfId="15523"/>
    <cellStyle name="Note 5 2 6 3 2 2 2 2" xfId="15524"/>
    <cellStyle name="Note 5 2 6 3 2 2 3" xfId="15525"/>
    <cellStyle name="Note 5 2 6 3 2 3" xfId="15526"/>
    <cellStyle name="Note 5 2 6 3 2 3 2" xfId="15527"/>
    <cellStyle name="Note 5 2 6 3 2 3 2 2" xfId="15528"/>
    <cellStyle name="Note 5 2 6 3 2 3 3" xfId="15529"/>
    <cellStyle name="Note 5 2 6 3 2 4" xfId="15530"/>
    <cellStyle name="Note 5 2 6 3 2 4 2" xfId="15531"/>
    <cellStyle name="Note 5 2 6 3 2 5" xfId="15532"/>
    <cellStyle name="Note 5 2 6 3 2 5 2" xfId="15533"/>
    <cellStyle name="Note 5 2 6 3 2 6" xfId="15534"/>
    <cellStyle name="Note 5 2 6 3 2 6 2" xfId="15535"/>
    <cellStyle name="Note 5 2 6 3 2 7" xfId="15536"/>
    <cellStyle name="Note 5 2 6 3 3" xfId="15537"/>
    <cellStyle name="Note 5 2 6 3 3 2" xfId="15538"/>
    <cellStyle name="Note 5 2 6 3 3 2 2" xfId="15539"/>
    <cellStyle name="Note 5 2 6 3 3 2 2 2" xfId="15540"/>
    <cellStyle name="Note 5 2 6 3 3 2 3" xfId="15541"/>
    <cellStyle name="Note 5 2 6 3 3 3" xfId="15542"/>
    <cellStyle name="Note 5 2 6 3 3 3 2" xfId="15543"/>
    <cellStyle name="Note 5 2 6 3 3 3 2 2" xfId="15544"/>
    <cellStyle name="Note 5 2 6 3 3 3 3" xfId="15545"/>
    <cellStyle name="Note 5 2 6 3 3 4" xfId="15546"/>
    <cellStyle name="Note 5 2 6 3 3 4 2" xfId="15547"/>
    <cellStyle name="Note 5 2 6 3 3 5" xfId="15548"/>
    <cellStyle name="Note 5 2 6 3 3 5 2" xfId="15549"/>
    <cellStyle name="Note 5 2 6 3 3 6" xfId="15550"/>
    <cellStyle name="Note 5 2 6 3 3 6 2" xfId="15551"/>
    <cellStyle name="Note 5 2 6 3 3 7" xfId="15552"/>
    <cellStyle name="Note 5 2 6 3 4" xfId="15553"/>
    <cellStyle name="Note 5 2 6 3 4 2" xfId="15554"/>
    <cellStyle name="Note 5 2 6 3 5" xfId="15555"/>
    <cellStyle name="Note 5 2 6 3 5 2" xfId="15556"/>
    <cellStyle name="Note 5 2 6 4" xfId="15557"/>
    <cellStyle name="Note 5 2 6 4 2" xfId="15558"/>
    <cellStyle name="Note 5 2 6 4 2 2" xfId="15559"/>
    <cellStyle name="Note 5 2 6 4 2 2 2" xfId="15560"/>
    <cellStyle name="Note 5 2 6 4 2 3" xfId="15561"/>
    <cellStyle name="Note 5 2 6 4 3" xfId="15562"/>
    <cellStyle name="Note 5 2 6 4 3 2" xfId="15563"/>
    <cellStyle name="Note 5 2 6 4 3 2 2" xfId="15564"/>
    <cellStyle name="Note 5 2 6 4 3 3" xfId="15565"/>
    <cellStyle name="Note 5 2 6 4 4" xfId="15566"/>
    <cellStyle name="Note 5 2 6 4 4 2" xfId="15567"/>
    <cellStyle name="Note 5 2 6 4 5" xfId="15568"/>
    <cellStyle name="Note 5 2 6 4 5 2" xfId="15569"/>
    <cellStyle name="Note 5 2 6 4 6" xfId="15570"/>
    <cellStyle name="Note 5 2 6 4 6 2" xfId="15571"/>
    <cellStyle name="Note 5 2 6 4 7" xfId="15572"/>
    <cellStyle name="Note 5 2 6 5" xfId="15573"/>
    <cellStyle name="Note 5 2 6 5 2" xfId="15574"/>
    <cellStyle name="Note 5 2 6 5 2 2" xfId="15575"/>
    <cellStyle name="Note 5 2 6 5 2 2 2" xfId="15576"/>
    <cellStyle name="Note 5 2 6 5 2 3" xfId="15577"/>
    <cellStyle name="Note 5 2 6 5 3" xfId="15578"/>
    <cellStyle name="Note 5 2 6 5 3 2" xfId="15579"/>
    <cellStyle name="Note 5 2 6 5 3 2 2" xfId="15580"/>
    <cellStyle name="Note 5 2 6 5 3 3" xfId="15581"/>
    <cellStyle name="Note 5 2 6 5 4" xfId="15582"/>
    <cellStyle name="Note 5 2 6 5 4 2" xfId="15583"/>
    <cellStyle name="Note 5 2 6 5 5" xfId="15584"/>
    <cellStyle name="Note 5 2 6 5 5 2" xfId="15585"/>
    <cellStyle name="Note 5 2 6 5 6" xfId="15586"/>
    <cellStyle name="Note 5 2 6 5 6 2" xfId="15587"/>
    <cellStyle name="Note 5 2 6 5 7" xfId="15588"/>
    <cellStyle name="Note 5 2 6 6" xfId="15589"/>
    <cellStyle name="Note 5 2 6 6 2" xfId="15590"/>
    <cellStyle name="Note 5 2 6 6 2 2" xfId="15591"/>
    <cellStyle name="Note 5 2 6 6 2 2 2" xfId="15592"/>
    <cellStyle name="Note 5 2 6 6 2 3" xfId="15593"/>
    <cellStyle name="Note 5 2 6 6 3" xfId="15594"/>
    <cellStyle name="Note 5 2 6 6 3 2" xfId="15595"/>
    <cellStyle name="Note 5 2 6 6 3 2 2" xfId="15596"/>
    <cellStyle name="Note 5 2 6 6 3 3" xfId="15597"/>
    <cellStyle name="Note 5 2 6 6 4" xfId="15598"/>
    <cellStyle name="Note 5 2 6 6 4 2" xfId="15599"/>
    <cellStyle name="Note 5 2 6 6 5" xfId="15600"/>
    <cellStyle name="Note 5 2 6 6 5 2" xfId="15601"/>
    <cellStyle name="Note 5 2 6 6 6" xfId="15602"/>
    <cellStyle name="Note 5 2 6 6 6 2" xfId="15603"/>
    <cellStyle name="Note 5 2 6 6 7" xfId="15604"/>
    <cellStyle name="Note 5 2 6 7" xfId="15605"/>
    <cellStyle name="Note 5 2 6 7 2" xfId="15606"/>
    <cellStyle name="Note 5 2 6 8" xfId="15607"/>
    <cellStyle name="Note 5 2 6 8 2" xfId="15608"/>
    <cellStyle name="Note 5 2 7" xfId="15609"/>
    <cellStyle name="Note 5 2 7 2" xfId="15610"/>
    <cellStyle name="Note 5 2 7 2 2" xfId="15611"/>
    <cellStyle name="Note 5 2 7 2 2 2" xfId="15612"/>
    <cellStyle name="Note 5 2 7 2 2 2 2" xfId="15613"/>
    <cellStyle name="Note 5 2 7 2 2 2 2 2" xfId="15614"/>
    <cellStyle name="Note 5 2 7 2 2 2 3" xfId="15615"/>
    <cellStyle name="Note 5 2 7 2 2 3" xfId="15616"/>
    <cellStyle name="Note 5 2 7 2 2 3 2" xfId="15617"/>
    <cellStyle name="Note 5 2 7 2 2 3 2 2" xfId="15618"/>
    <cellStyle name="Note 5 2 7 2 2 3 3" xfId="15619"/>
    <cellStyle name="Note 5 2 7 2 2 4" xfId="15620"/>
    <cellStyle name="Note 5 2 7 2 2 4 2" xfId="15621"/>
    <cellStyle name="Note 5 2 7 2 2 5" xfId="15622"/>
    <cellStyle name="Note 5 2 7 2 2 5 2" xfId="15623"/>
    <cellStyle name="Note 5 2 7 2 2 6" xfId="15624"/>
    <cellStyle name="Note 5 2 7 2 2 6 2" xfId="15625"/>
    <cellStyle name="Note 5 2 7 2 2 7" xfId="15626"/>
    <cellStyle name="Note 5 2 7 2 3" xfId="15627"/>
    <cellStyle name="Note 5 2 7 2 3 2" xfId="15628"/>
    <cellStyle name="Note 5 2 7 2 3 2 2" xfId="15629"/>
    <cellStyle name="Note 5 2 7 2 3 2 2 2" xfId="15630"/>
    <cellStyle name="Note 5 2 7 2 3 2 3" xfId="15631"/>
    <cellStyle name="Note 5 2 7 2 3 3" xfId="15632"/>
    <cellStyle name="Note 5 2 7 2 3 3 2" xfId="15633"/>
    <cellStyle name="Note 5 2 7 2 3 3 2 2" xfId="15634"/>
    <cellStyle name="Note 5 2 7 2 3 3 3" xfId="15635"/>
    <cellStyle name="Note 5 2 7 2 3 4" xfId="15636"/>
    <cellStyle name="Note 5 2 7 2 3 4 2" xfId="15637"/>
    <cellStyle name="Note 5 2 7 2 3 5" xfId="15638"/>
    <cellStyle name="Note 5 2 7 2 3 5 2" xfId="15639"/>
    <cellStyle name="Note 5 2 7 2 3 6" xfId="15640"/>
    <cellStyle name="Note 5 2 7 2 3 6 2" xfId="15641"/>
    <cellStyle name="Note 5 2 7 2 3 7" xfId="15642"/>
    <cellStyle name="Note 5 2 7 2 4" xfId="15643"/>
    <cellStyle name="Note 5 2 7 2 4 2" xfId="15644"/>
    <cellStyle name="Note 5 2 7 2 5" xfId="15645"/>
    <cellStyle name="Note 5 2 7 2 5 2" xfId="15646"/>
    <cellStyle name="Note 5 2 7 3" xfId="15647"/>
    <cellStyle name="Note 5 2 7 3 2" xfId="15648"/>
    <cellStyle name="Note 5 2 7 3 2 2" xfId="15649"/>
    <cellStyle name="Note 5 2 7 3 2 2 2" xfId="15650"/>
    <cellStyle name="Note 5 2 7 3 2 2 2 2" xfId="15651"/>
    <cellStyle name="Note 5 2 7 3 2 2 3" xfId="15652"/>
    <cellStyle name="Note 5 2 7 3 2 3" xfId="15653"/>
    <cellStyle name="Note 5 2 7 3 2 3 2" xfId="15654"/>
    <cellStyle name="Note 5 2 7 3 2 3 2 2" xfId="15655"/>
    <cellStyle name="Note 5 2 7 3 2 3 3" xfId="15656"/>
    <cellStyle name="Note 5 2 7 3 2 4" xfId="15657"/>
    <cellStyle name="Note 5 2 7 3 2 4 2" xfId="15658"/>
    <cellStyle name="Note 5 2 7 3 2 5" xfId="15659"/>
    <cellStyle name="Note 5 2 7 3 2 5 2" xfId="15660"/>
    <cellStyle name="Note 5 2 7 3 2 6" xfId="15661"/>
    <cellStyle name="Note 5 2 7 3 2 6 2" xfId="15662"/>
    <cellStyle name="Note 5 2 7 3 2 7" xfId="15663"/>
    <cellStyle name="Note 5 2 7 3 3" xfId="15664"/>
    <cellStyle name="Note 5 2 7 3 3 2" xfId="15665"/>
    <cellStyle name="Note 5 2 7 3 3 2 2" xfId="15666"/>
    <cellStyle name="Note 5 2 7 3 3 2 2 2" xfId="15667"/>
    <cellStyle name="Note 5 2 7 3 3 2 3" xfId="15668"/>
    <cellStyle name="Note 5 2 7 3 3 3" xfId="15669"/>
    <cellStyle name="Note 5 2 7 3 3 3 2" xfId="15670"/>
    <cellStyle name="Note 5 2 7 3 3 3 2 2" xfId="15671"/>
    <cellStyle name="Note 5 2 7 3 3 3 3" xfId="15672"/>
    <cellStyle name="Note 5 2 7 3 3 4" xfId="15673"/>
    <cellStyle name="Note 5 2 7 3 3 4 2" xfId="15674"/>
    <cellStyle name="Note 5 2 7 3 3 5" xfId="15675"/>
    <cellStyle name="Note 5 2 7 3 3 5 2" xfId="15676"/>
    <cellStyle name="Note 5 2 7 3 3 6" xfId="15677"/>
    <cellStyle name="Note 5 2 7 3 3 6 2" xfId="15678"/>
    <cellStyle name="Note 5 2 7 3 3 7" xfId="15679"/>
    <cellStyle name="Note 5 2 7 3 4" xfId="15680"/>
    <cellStyle name="Note 5 2 7 3 4 2" xfId="15681"/>
    <cellStyle name="Note 5 2 7 3 5" xfId="15682"/>
    <cellStyle name="Note 5 2 7 3 5 2" xfId="15683"/>
    <cellStyle name="Note 5 2 7 4" xfId="15684"/>
    <cellStyle name="Note 5 2 7 4 2" xfId="15685"/>
    <cellStyle name="Note 5 2 7 4 2 2" xfId="15686"/>
    <cellStyle name="Note 5 2 7 4 2 2 2" xfId="15687"/>
    <cellStyle name="Note 5 2 7 4 2 3" xfId="15688"/>
    <cellStyle name="Note 5 2 7 4 3" xfId="15689"/>
    <cellStyle name="Note 5 2 7 4 3 2" xfId="15690"/>
    <cellStyle name="Note 5 2 7 4 3 2 2" xfId="15691"/>
    <cellStyle name="Note 5 2 7 4 3 3" xfId="15692"/>
    <cellStyle name="Note 5 2 7 4 4" xfId="15693"/>
    <cellStyle name="Note 5 2 7 4 4 2" xfId="15694"/>
    <cellStyle name="Note 5 2 7 4 5" xfId="15695"/>
    <cellStyle name="Note 5 2 7 4 5 2" xfId="15696"/>
    <cellStyle name="Note 5 2 7 4 6" xfId="15697"/>
    <cellStyle name="Note 5 2 7 4 6 2" xfId="15698"/>
    <cellStyle name="Note 5 2 7 4 7" xfId="15699"/>
    <cellStyle name="Note 5 2 7 5" xfId="15700"/>
    <cellStyle name="Note 5 2 7 5 2" xfId="15701"/>
    <cellStyle name="Note 5 2 7 5 2 2" xfId="15702"/>
    <cellStyle name="Note 5 2 7 5 2 2 2" xfId="15703"/>
    <cellStyle name="Note 5 2 7 5 2 3" xfId="15704"/>
    <cellStyle name="Note 5 2 7 5 3" xfId="15705"/>
    <cellStyle name="Note 5 2 7 5 3 2" xfId="15706"/>
    <cellStyle name="Note 5 2 7 5 3 2 2" xfId="15707"/>
    <cellStyle name="Note 5 2 7 5 3 3" xfId="15708"/>
    <cellStyle name="Note 5 2 7 5 4" xfId="15709"/>
    <cellStyle name="Note 5 2 7 5 4 2" xfId="15710"/>
    <cellStyle name="Note 5 2 7 5 5" xfId="15711"/>
    <cellStyle name="Note 5 2 7 5 5 2" xfId="15712"/>
    <cellStyle name="Note 5 2 7 5 6" xfId="15713"/>
    <cellStyle name="Note 5 2 7 5 6 2" xfId="15714"/>
    <cellStyle name="Note 5 2 7 5 7" xfId="15715"/>
    <cellStyle name="Note 5 2 7 6" xfId="15716"/>
    <cellStyle name="Note 5 2 7 6 2" xfId="15717"/>
    <cellStyle name="Note 5 2 7 7" xfId="15718"/>
    <cellStyle name="Note 5 2 7 7 2" xfId="15719"/>
    <cellStyle name="Note 5 2 8" xfId="15720"/>
    <cellStyle name="Note 5 2 8 2" xfId="15721"/>
    <cellStyle name="Note 5 2 8 2 2" xfId="15722"/>
    <cellStyle name="Note 5 2 8 2 2 2" xfId="15723"/>
    <cellStyle name="Note 5 2 8 2 2 2 2" xfId="15724"/>
    <cellStyle name="Note 5 2 8 2 2 3" xfId="15725"/>
    <cellStyle name="Note 5 2 8 2 3" xfId="15726"/>
    <cellStyle name="Note 5 2 8 2 3 2" xfId="15727"/>
    <cellStyle name="Note 5 2 8 2 3 2 2" xfId="15728"/>
    <cellStyle name="Note 5 2 8 2 3 3" xfId="15729"/>
    <cellStyle name="Note 5 2 8 2 4" xfId="15730"/>
    <cellStyle name="Note 5 2 8 2 4 2" xfId="15731"/>
    <cellStyle name="Note 5 2 8 2 5" xfId="15732"/>
    <cellStyle name="Note 5 2 8 2 5 2" xfId="15733"/>
    <cellStyle name="Note 5 2 8 2 6" xfId="15734"/>
    <cellStyle name="Note 5 2 8 2 6 2" xfId="15735"/>
    <cellStyle name="Note 5 2 8 2 7" xfId="15736"/>
    <cellStyle name="Note 5 2 8 3" xfId="15737"/>
    <cellStyle name="Note 5 2 8 3 2" xfId="15738"/>
    <cellStyle name="Note 5 2 8 3 2 2" xfId="15739"/>
    <cellStyle name="Note 5 2 8 3 2 2 2" xfId="15740"/>
    <cellStyle name="Note 5 2 8 3 2 3" xfId="15741"/>
    <cellStyle name="Note 5 2 8 3 3" xfId="15742"/>
    <cellStyle name="Note 5 2 8 3 3 2" xfId="15743"/>
    <cellStyle name="Note 5 2 8 3 3 2 2" xfId="15744"/>
    <cellStyle name="Note 5 2 8 3 3 3" xfId="15745"/>
    <cellStyle name="Note 5 2 8 3 4" xfId="15746"/>
    <cellStyle name="Note 5 2 8 3 4 2" xfId="15747"/>
    <cellStyle name="Note 5 2 8 3 5" xfId="15748"/>
    <cellStyle name="Note 5 2 8 3 5 2" xfId="15749"/>
    <cellStyle name="Note 5 2 8 3 6" xfId="15750"/>
    <cellStyle name="Note 5 2 8 3 6 2" xfId="15751"/>
    <cellStyle name="Note 5 2 8 3 7" xfId="15752"/>
    <cellStyle name="Note 5 2 8 4" xfId="15753"/>
    <cellStyle name="Note 5 2 8 4 2" xfId="15754"/>
    <cellStyle name="Note 5 2 8 5" xfId="15755"/>
    <cellStyle name="Note 5 2 8 5 2" xfId="15756"/>
    <cellStyle name="Note 5 2 9" xfId="15757"/>
    <cellStyle name="Note 5 2 9 2" xfId="15758"/>
    <cellStyle name="Note 5 2 9 2 2" xfId="15759"/>
    <cellStyle name="Note 5 2 9 2 2 2" xfId="15760"/>
    <cellStyle name="Note 5 2 9 2 2 2 2" xfId="15761"/>
    <cellStyle name="Note 5 2 9 2 2 3" xfId="15762"/>
    <cellStyle name="Note 5 2 9 2 3" xfId="15763"/>
    <cellStyle name="Note 5 2 9 2 3 2" xfId="15764"/>
    <cellStyle name="Note 5 2 9 2 3 2 2" xfId="15765"/>
    <cellStyle name="Note 5 2 9 2 3 3" xfId="15766"/>
    <cellStyle name="Note 5 2 9 2 4" xfId="15767"/>
    <cellStyle name="Note 5 2 9 2 4 2" xfId="15768"/>
    <cellStyle name="Note 5 2 9 2 5" xfId="15769"/>
    <cellStyle name="Note 5 2 9 2 5 2" xfId="15770"/>
    <cellStyle name="Note 5 2 9 2 6" xfId="15771"/>
    <cellStyle name="Note 5 2 9 2 6 2" xfId="15772"/>
    <cellStyle name="Note 5 2 9 2 7" xfId="15773"/>
    <cellStyle name="Note 5 2 9 3" xfId="15774"/>
    <cellStyle name="Note 5 2 9 3 2" xfId="15775"/>
    <cellStyle name="Note 5 2 9 3 2 2" xfId="15776"/>
    <cellStyle name="Note 5 2 9 3 2 2 2" xfId="15777"/>
    <cellStyle name="Note 5 2 9 3 2 3" xfId="15778"/>
    <cellStyle name="Note 5 2 9 3 3" xfId="15779"/>
    <cellStyle name="Note 5 2 9 3 3 2" xfId="15780"/>
    <cellStyle name="Note 5 2 9 3 3 2 2" xfId="15781"/>
    <cellStyle name="Note 5 2 9 3 3 3" xfId="15782"/>
    <cellStyle name="Note 5 2 9 3 4" xfId="15783"/>
    <cellStyle name="Note 5 2 9 3 4 2" xfId="15784"/>
    <cellStyle name="Note 5 2 9 3 5" xfId="15785"/>
    <cellStyle name="Note 5 2 9 3 5 2" xfId="15786"/>
    <cellStyle name="Note 5 2 9 3 6" xfId="15787"/>
    <cellStyle name="Note 5 2 9 3 6 2" xfId="15788"/>
    <cellStyle name="Note 5 2 9 3 7" xfId="15789"/>
    <cellStyle name="Note 5 2 9 4" xfId="15790"/>
    <cellStyle name="Note 5 2 9 4 2" xfId="15791"/>
    <cellStyle name="Note 5 2 9 5" xfId="15792"/>
    <cellStyle name="Note 5 2 9 5 2" xfId="15793"/>
    <cellStyle name="Note 5 3" xfId="15794"/>
    <cellStyle name="Note 5 3 2" xfId="15795"/>
    <cellStyle name="Note 5 3 2 2" xfId="15796"/>
    <cellStyle name="Note 5 3 2 2 2" xfId="15797"/>
    <cellStyle name="Note 5 3 2 2 2 2" xfId="15798"/>
    <cellStyle name="Note 5 3 2 2 3" xfId="15799"/>
    <cellStyle name="Note 5 3 2 3" xfId="15800"/>
    <cellStyle name="Note 5 3 2 3 2" xfId="15801"/>
    <cellStyle name="Note 5 3 2 3 2 2" xfId="15802"/>
    <cellStyle name="Note 5 3 2 3 3" xfId="15803"/>
    <cellStyle name="Note 5 3 2 4" xfId="15804"/>
    <cellStyle name="Note 5 3 2 4 2" xfId="15805"/>
    <cellStyle name="Note 5 3 2 5" xfId="15806"/>
    <cellStyle name="Note 5 3 2 5 2" xfId="15807"/>
    <cellStyle name="Note 5 3 2 6" xfId="15808"/>
    <cellStyle name="Note 5 3 2 6 2" xfId="15809"/>
    <cellStyle name="Note 5 3 2 7" xfId="15810"/>
    <cellStyle name="Note 5 3 3" xfId="15811"/>
    <cellStyle name="Note 5 3 3 2" xfId="15812"/>
    <cellStyle name="Note 5 3 3 2 2" xfId="15813"/>
    <cellStyle name="Note 5 3 3 2 2 2" xfId="15814"/>
    <cellStyle name="Note 5 3 3 2 3" xfId="15815"/>
    <cellStyle name="Note 5 3 3 3" xfId="15816"/>
    <cellStyle name="Note 5 3 3 3 2" xfId="15817"/>
    <cellStyle name="Note 5 3 3 3 2 2" xfId="15818"/>
    <cellStyle name="Note 5 3 3 3 3" xfId="15819"/>
    <cellStyle name="Note 5 3 3 4" xfId="15820"/>
    <cellStyle name="Note 5 3 3 4 2" xfId="15821"/>
    <cellStyle name="Note 5 3 3 5" xfId="15822"/>
    <cellStyle name="Note 5 3 3 5 2" xfId="15823"/>
    <cellStyle name="Note 5 3 3 6" xfId="15824"/>
    <cellStyle name="Note 5 3 3 6 2" xfId="15825"/>
    <cellStyle name="Note 5 3 3 7" xfId="15826"/>
    <cellStyle name="Note 5 3 4" xfId="15827"/>
    <cellStyle name="Note 5 3 4 2" xfId="15828"/>
    <cellStyle name="Note 5 3 5" xfId="15829"/>
    <cellStyle name="Note 5 3 5 2" xfId="15830"/>
    <cellStyle name="Note 5 4" xfId="15831"/>
    <cellStyle name="Note 5 4 2" xfId="15832"/>
    <cellStyle name="Note 5 4 2 2" xfId="15833"/>
    <cellStyle name="Note 5 4 2 2 2" xfId="15834"/>
    <cellStyle name="Note 5 4 2 2 2 2" xfId="15835"/>
    <cellStyle name="Note 5 4 2 2 3" xfId="15836"/>
    <cellStyle name="Note 5 4 2 3" xfId="15837"/>
    <cellStyle name="Note 5 4 2 3 2" xfId="15838"/>
    <cellStyle name="Note 5 4 2 3 2 2" xfId="15839"/>
    <cellStyle name="Note 5 4 2 3 3" xfId="15840"/>
    <cellStyle name="Note 5 4 2 4" xfId="15841"/>
    <cellStyle name="Note 5 4 2 4 2" xfId="15842"/>
    <cellStyle name="Note 5 4 2 5" xfId="15843"/>
    <cellStyle name="Note 5 4 2 5 2" xfId="15844"/>
    <cellStyle name="Note 5 4 2 6" xfId="15845"/>
    <cellStyle name="Note 5 4 2 6 2" xfId="15846"/>
    <cellStyle name="Note 5 4 2 7" xfId="15847"/>
    <cellStyle name="Note 5 4 3" xfId="15848"/>
    <cellStyle name="Note 5 4 3 2" xfId="15849"/>
    <cellStyle name="Note 5 4 3 2 2" xfId="15850"/>
    <cellStyle name="Note 5 4 3 2 2 2" xfId="15851"/>
    <cellStyle name="Note 5 4 3 2 3" xfId="15852"/>
    <cellStyle name="Note 5 4 3 3" xfId="15853"/>
    <cellStyle name="Note 5 4 3 3 2" xfId="15854"/>
    <cellStyle name="Note 5 4 3 3 2 2" xfId="15855"/>
    <cellStyle name="Note 5 4 3 3 3" xfId="15856"/>
    <cellStyle name="Note 5 4 3 4" xfId="15857"/>
    <cellStyle name="Note 5 4 3 4 2" xfId="15858"/>
    <cellStyle name="Note 5 4 3 5" xfId="15859"/>
    <cellStyle name="Note 5 4 3 5 2" xfId="15860"/>
    <cellStyle name="Note 5 4 3 6" xfId="15861"/>
    <cellStyle name="Note 5 4 3 6 2" xfId="15862"/>
    <cellStyle name="Note 5 4 3 7" xfId="15863"/>
    <cellStyle name="Note 5 4 4" xfId="15864"/>
    <cellStyle name="Note 5 4 4 2" xfId="15865"/>
    <cellStyle name="Note 5 4 5" xfId="15866"/>
    <cellStyle name="Note 5 4 5 2" xfId="15867"/>
    <cellStyle name="Note 5 5" xfId="15868"/>
    <cellStyle name="Note 5 5 2" xfId="15869"/>
    <cellStyle name="Note 5 5 2 2" xfId="15870"/>
    <cellStyle name="Note 5 5 2 2 2" xfId="15871"/>
    <cellStyle name="Note 5 5 2 3" xfId="15872"/>
    <cellStyle name="Note 5 5 3" xfId="15873"/>
    <cellStyle name="Note 5 5 3 2" xfId="15874"/>
    <cellStyle name="Note 5 5 3 2 2" xfId="15875"/>
    <cellStyle name="Note 5 5 3 3" xfId="15876"/>
    <cellStyle name="Note 5 5 4" xfId="15877"/>
    <cellStyle name="Note 5 5 4 2" xfId="15878"/>
    <cellStyle name="Note 5 5 5" xfId="15879"/>
    <cellStyle name="Note 5 5 5 2" xfId="15880"/>
    <cellStyle name="Note 5 5 6" xfId="15881"/>
    <cellStyle name="Note 5 5 6 2" xfId="15882"/>
    <cellStyle name="Note 5 5 7" xfId="15883"/>
    <cellStyle name="Note 5 6" xfId="15884"/>
    <cellStyle name="Note 5 6 2" xfId="15885"/>
    <cellStyle name="Note 5 6 2 2" xfId="15886"/>
    <cellStyle name="Note 5 6 2 2 2" xfId="15887"/>
    <cellStyle name="Note 5 6 2 3" xfId="15888"/>
    <cellStyle name="Note 5 6 3" xfId="15889"/>
    <cellStyle name="Note 5 6 3 2" xfId="15890"/>
    <cellStyle name="Note 5 6 3 2 2" xfId="15891"/>
    <cellStyle name="Note 5 6 3 3" xfId="15892"/>
    <cellStyle name="Note 5 6 4" xfId="15893"/>
    <cellStyle name="Note 5 6 4 2" xfId="15894"/>
    <cellStyle name="Note 5 6 5" xfId="15895"/>
    <cellStyle name="Note 5 6 5 2" xfId="15896"/>
    <cellStyle name="Note 5 6 6" xfId="15897"/>
    <cellStyle name="Note 5 6 6 2" xfId="15898"/>
    <cellStyle name="Note 5 6 7" xfId="15899"/>
    <cellStyle name="Note 5 7" xfId="15900"/>
    <cellStyle name="Note 5 7 2" xfId="15901"/>
    <cellStyle name="Note 5 8" xfId="15902"/>
    <cellStyle name="Note 5 8 2" xfId="15903"/>
    <cellStyle name="Note 5 9" xfId="15904"/>
    <cellStyle name="Note 5 9 2" xfId="15905"/>
    <cellStyle name="Note 6" xfId="304"/>
    <cellStyle name="Note 6 2" xfId="15906"/>
    <cellStyle name="Note 6 2 10" xfId="15907"/>
    <cellStyle name="Note 6 2 10 2" xfId="15908"/>
    <cellStyle name="Note 6 2 10 2 2" xfId="15909"/>
    <cellStyle name="Note 6 2 10 2 2 2" xfId="15910"/>
    <cellStyle name="Note 6 2 10 2 3" xfId="15911"/>
    <cellStyle name="Note 6 2 10 3" xfId="15912"/>
    <cellStyle name="Note 6 2 10 3 2" xfId="15913"/>
    <cellStyle name="Note 6 2 10 3 2 2" xfId="15914"/>
    <cellStyle name="Note 6 2 10 3 3" xfId="15915"/>
    <cellStyle name="Note 6 2 10 4" xfId="15916"/>
    <cellStyle name="Note 6 2 10 4 2" xfId="15917"/>
    <cellStyle name="Note 6 2 10 5" xfId="15918"/>
    <cellStyle name="Note 6 2 10 5 2" xfId="15919"/>
    <cellStyle name="Note 6 2 10 6" xfId="15920"/>
    <cellStyle name="Note 6 2 10 6 2" xfId="15921"/>
    <cellStyle name="Note 6 2 10 7" xfId="15922"/>
    <cellStyle name="Note 6 2 11" xfId="15923"/>
    <cellStyle name="Note 6 2 11 2" xfId="15924"/>
    <cellStyle name="Note 6 2 11 2 2" xfId="15925"/>
    <cellStyle name="Note 6 2 11 2 2 2" xfId="15926"/>
    <cellStyle name="Note 6 2 11 2 3" xfId="15927"/>
    <cellStyle name="Note 6 2 11 3" xfId="15928"/>
    <cellStyle name="Note 6 2 11 3 2" xfId="15929"/>
    <cellStyle name="Note 6 2 11 3 2 2" xfId="15930"/>
    <cellStyle name="Note 6 2 11 3 3" xfId="15931"/>
    <cellStyle name="Note 6 2 11 4" xfId="15932"/>
    <cellStyle name="Note 6 2 11 4 2" xfId="15933"/>
    <cellStyle name="Note 6 2 11 5" xfId="15934"/>
    <cellStyle name="Note 6 2 11 5 2" xfId="15935"/>
    <cellStyle name="Note 6 2 11 6" xfId="15936"/>
    <cellStyle name="Note 6 2 11 6 2" xfId="15937"/>
    <cellStyle name="Note 6 2 11 7" xfId="15938"/>
    <cellStyle name="Note 6 2 12" xfId="15939"/>
    <cellStyle name="Note 6 2 12 2" xfId="15940"/>
    <cellStyle name="Note 6 2 13" xfId="15941"/>
    <cellStyle name="Note 6 2 13 2" xfId="15942"/>
    <cellStyle name="Note 6 2 2" xfId="15943"/>
    <cellStyle name="Note 6 2 2 2" xfId="15944"/>
    <cellStyle name="Note 6 2 2 2 2" xfId="15945"/>
    <cellStyle name="Note 6 2 2 2 2 2" xfId="15946"/>
    <cellStyle name="Note 6 2 2 2 2 2 2" xfId="15947"/>
    <cellStyle name="Note 6 2 2 2 2 2 2 2" xfId="15948"/>
    <cellStyle name="Note 6 2 2 2 2 2 3" xfId="15949"/>
    <cellStyle name="Note 6 2 2 2 2 3" xfId="15950"/>
    <cellStyle name="Note 6 2 2 2 2 3 2" xfId="15951"/>
    <cellStyle name="Note 6 2 2 2 2 3 2 2" xfId="15952"/>
    <cellStyle name="Note 6 2 2 2 2 3 3" xfId="15953"/>
    <cellStyle name="Note 6 2 2 2 2 4" xfId="15954"/>
    <cellStyle name="Note 6 2 2 2 2 4 2" xfId="15955"/>
    <cellStyle name="Note 6 2 2 2 2 5" xfId="15956"/>
    <cellStyle name="Note 6 2 2 2 2 5 2" xfId="15957"/>
    <cellStyle name="Note 6 2 2 2 2 6" xfId="15958"/>
    <cellStyle name="Note 6 2 2 2 2 6 2" xfId="15959"/>
    <cellStyle name="Note 6 2 2 2 2 7" xfId="15960"/>
    <cellStyle name="Note 6 2 2 2 3" xfId="15961"/>
    <cellStyle name="Note 6 2 2 2 3 2" xfId="15962"/>
    <cellStyle name="Note 6 2 2 2 3 2 2" xfId="15963"/>
    <cellStyle name="Note 6 2 2 2 3 2 2 2" xfId="15964"/>
    <cellStyle name="Note 6 2 2 2 3 2 3" xfId="15965"/>
    <cellStyle name="Note 6 2 2 2 3 3" xfId="15966"/>
    <cellStyle name="Note 6 2 2 2 3 3 2" xfId="15967"/>
    <cellStyle name="Note 6 2 2 2 3 3 2 2" xfId="15968"/>
    <cellStyle name="Note 6 2 2 2 3 3 3" xfId="15969"/>
    <cellStyle name="Note 6 2 2 2 3 4" xfId="15970"/>
    <cellStyle name="Note 6 2 2 2 3 4 2" xfId="15971"/>
    <cellStyle name="Note 6 2 2 2 3 5" xfId="15972"/>
    <cellStyle name="Note 6 2 2 2 3 5 2" xfId="15973"/>
    <cellStyle name="Note 6 2 2 2 3 6" xfId="15974"/>
    <cellStyle name="Note 6 2 2 2 3 6 2" xfId="15975"/>
    <cellStyle name="Note 6 2 2 2 3 7" xfId="15976"/>
    <cellStyle name="Note 6 2 2 2 4" xfId="15977"/>
    <cellStyle name="Note 6 2 2 2 4 2" xfId="15978"/>
    <cellStyle name="Note 6 2 2 2 5" xfId="15979"/>
    <cellStyle name="Note 6 2 2 2 5 2" xfId="15980"/>
    <cellStyle name="Note 6 2 2 3" xfId="15981"/>
    <cellStyle name="Note 6 2 2 3 2" xfId="15982"/>
    <cellStyle name="Note 6 2 2 3 2 2" xfId="15983"/>
    <cellStyle name="Note 6 2 2 3 2 2 2" xfId="15984"/>
    <cellStyle name="Note 6 2 2 3 2 2 2 2" xfId="15985"/>
    <cellStyle name="Note 6 2 2 3 2 2 3" xfId="15986"/>
    <cellStyle name="Note 6 2 2 3 2 3" xfId="15987"/>
    <cellStyle name="Note 6 2 2 3 2 3 2" xfId="15988"/>
    <cellStyle name="Note 6 2 2 3 2 3 2 2" xfId="15989"/>
    <cellStyle name="Note 6 2 2 3 2 3 3" xfId="15990"/>
    <cellStyle name="Note 6 2 2 3 2 4" xfId="15991"/>
    <cellStyle name="Note 6 2 2 3 2 4 2" xfId="15992"/>
    <cellStyle name="Note 6 2 2 3 2 5" xfId="15993"/>
    <cellStyle name="Note 6 2 2 3 2 5 2" xfId="15994"/>
    <cellStyle name="Note 6 2 2 3 2 6" xfId="15995"/>
    <cellStyle name="Note 6 2 2 3 2 6 2" xfId="15996"/>
    <cellStyle name="Note 6 2 2 3 2 7" xfId="15997"/>
    <cellStyle name="Note 6 2 2 3 3" xfId="15998"/>
    <cellStyle name="Note 6 2 2 3 3 2" xfId="15999"/>
    <cellStyle name="Note 6 2 2 3 3 2 2" xfId="16000"/>
    <cellStyle name="Note 6 2 2 3 3 2 2 2" xfId="16001"/>
    <cellStyle name="Note 6 2 2 3 3 2 3" xfId="16002"/>
    <cellStyle name="Note 6 2 2 3 3 3" xfId="16003"/>
    <cellStyle name="Note 6 2 2 3 3 3 2" xfId="16004"/>
    <cellStyle name="Note 6 2 2 3 3 3 2 2" xfId="16005"/>
    <cellStyle name="Note 6 2 2 3 3 3 3" xfId="16006"/>
    <cellStyle name="Note 6 2 2 3 3 4" xfId="16007"/>
    <cellStyle name="Note 6 2 2 3 3 4 2" xfId="16008"/>
    <cellStyle name="Note 6 2 2 3 3 5" xfId="16009"/>
    <cellStyle name="Note 6 2 2 3 3 5 2" xfId="16010"/>
    <cellStyle name="Note 6 2 2 3 3 6" xfId="16011"/>
    <cellStyle name="Note 6 2 2 3 3 6 2" xfId="16012"/>
    <cellStyle name="Note 6 2 2 3 3 7" xfId="16013"/>
    <cellStyle name="Note 6 2 2 3 4" xfId="16014"/>
    <cellStyle name="Note 6 2 2 3 4 2" xfId="16015"/>
    <cellStyle name="Note 6 2 2 3 5" xfId="16016"/>
    <cellStyle name="Note 6 2 2 3 5 2" xfId="16017"/>
    <cellStyle name="Note 6 2 2 4" xfId="16018"/>
    <cellStyle name="Note 6 2 2 4 2" xfId="16019"/>
    <cellStyle name="Note 6 2 2 4 2 2" xfId="16020"/>
    <cellStyle name="Note 6 2 2 4 2 2 2" xfId="16021"/>
    <cellStyle name="Note 6 2 2 4 2 3" xfId="16022"/>
    <cellStyle name="Note 6 2 2 4 3" xfId="16023"/>
    <cellStyle name="Note 6 2 2 4 3 2" xfId="16024"/>
    <cellStyle name="Note 6 2 2 4 3 2 2" xfId="16025"/>
    <cellStyle name="Note 6 2 2 4 3 3" xfId="16026"/>
    <cellStyle name="Note 6 2 2 4 4" xfId="16027"/>
    <cellStyle name="Note 6 2 2 4 4 2" xfId="16028"/>
    <cellStyle name="Note 6 2 2 4 5" xfId="16029"/>
    <cellStyle name="Note 6 2 2 4 5 2" xfId="16030"/>
    <cellStyle name="Note 6 2 2 4 6" xfId="16031"/>
    <cellStyle name="Note 6 2 2 4 6 2" xfId="16032"/>
    <cellStyle name="Note 6 2 2 4 7" xfId="16033"/>
    <cellStyle name="Note 6 2 2 5" xfId="16034"/>
    <cellStyle name="Note 6 2 2 5 2" xfId="16035"/>
    <cellStyle name="Note 6 2 2 5 2 2" xfId="16036"/>
    <cellStyle name="Note 6 2 2 5 2 2 2" xfId="16037"/>
    <cellStyle name="Note 6 2 2 5 2 3" xfId="16038"/>
    <cellStyle name="Note 6 2 2 5 3" xfId="16039"/>
    <cellStyle name="Note 6 2 2 5 3 2" xfId="16040"/>
    <cellStyle name="Note 6 2 2 5 3 2 2" xfId="16041"/>
    <cellStyle name="Note 6 2 2 5 3 3" xfId="16042"/>
    <cellStyle name="Note 6 2 2 5 4" xfId="16043"/>
    <cellStyle name="Note 6 2 2 5 4 2" xfId="16044"/>
    <cellStyle name="Note 6 2 2 5 5" xfId="16045"/>
    <cellStyle name="Note 6 2 2 5 5 2" xfId="16046"/>
    <cellStyle name="Note 6 2 2 5 6" xfId="16047"/>
    <cellStyle name="Note 6 2 2 5 6 2" xfId="16048"/>
    <cellStyle name="Note 6 2 2 5 7" xfId="16049"/>
    <cellStyle name="Note 6 2 2 6" xfId="16050"/>
    <cellStyle name="Note 6 2 2 6 2" xfId="16051"/>
    <cellStyle name="Note 6 2 2 6 2 2" xfId="16052"/>
    <cellStyle name="Note 6 2 2 6 2 2 2" xfId="16053"/>
    <cellStyle name="Note 6 2 2 6 2 3" xfId="16054"/>
    <cellStyle name="Note 6 2 2 6 3" xfId="16055"/>
    <cellStyle name="Note 6 2 2 6 3 2" xfId="16056"/>
    <cellStyle name="Note 6 2 2 6 3 2 2" xfId="16057"/>
    <cellStyle name="Note 6 2 2 6 3 3" xfId="16058"/>
    <cellStyle name="Note 6 2 2 6 4" xfId="16059"/>
    <cellStyle name="Note 6 2 2 6 4 2" xfId="16060"/>
    <cellStyle name="Note 6 2 2 6 5" xfId="16061"/>
    <cellStyle name="Note 6 2 2 6 5 2" xfId="16062"/>
    <cellStyle name="Note 6 2 2 6 6" xfId="16063"/>
    <cellStyle name="Note 6 2 2 6 6 2" xfId="16064"/>
    <cellStyle name="Note 6 2 2 6 7" xfId="16065"/>
    <cellStyle name="Note 6 2 2 7" xfId="16066"/>
    <cellStyle name="Note 6 2 2 7 2" xfId="16067"/>
    <cellStyle name="Note 6 2 2 8" xfId="16068"/>
    <cellStyle name="Note 6 2 2 8 2" xfId="16069"/>
    <cellStyle name="Note 6 2 3" xfId="16070"/>
    <cellStyle name="Note 6 2 3 2" xfId="16071"/>
    <cellStyle name="Note 6 2 3 2 2" xfId="16072"/>
    <cellStyle name="Note 6 2 3 2 2 2" xfId="16073"/>
    <cellStyle name="Note 6 2 3 2 2 2 2" xfId="16074"/>
    <cellStyle name="Note 6 2 3 2 2 2 2 2" xfId="16075"/>
    <cellStyle name="Note 6 2 3 2 2 2 3" xfId="16076"/>
    <cellStyle name="Note 6 2 3 2 2 3" xfId="16077"/>
    <cellStyle name="Note 6 2 3 2 2 3 2" xfId="16078"/>
    <cellStyle name="Note 6 2 3 2 2 3 2 2" xfId="16079"/>
    <cellStyle name="Note 6 2 3 2 2 3 3" xfId="16080"/>
    <cellStyle name="Note 6 2 3 2 2 4" xfId="16081"/>
    <cellStyle name="Note 6 2 3 2 2 4 2" xfId="16082"/>
    <cellStyle name="Note 6 2 3 2 2 5" xfId="16083"/>
    <cellStyle name="Note 6 2 3 2 2 5 2" xfId="16084"/>
    <cellStyle name="Note 6 2 3 2 2 6" xfId="16085"/>
    <cellStyle name="Note 6 2 3 2 2 6 2" xfId="16086"/>
    <cellStyle name="Note 6 2 3 2 2 7" xfId="16087"/>
    <cellStyle name="Note 6 2 3 2 3" xfId="16088"/>
    <cellStyle name="Note 6 2 3 2 3 2" xfId="16089"/>
    <cellStyle name="Note 6 2 3 2 3 2 2" xfId="16090"/>
    <cellStyle name="Note 6 2 3 2 3 2 2 2" xfId="16091"/>
    <cellStyle name="Note 6 2 3 2 3 2 3" xfId="16092"/>
    <cellStyle name="Note 6 2 3 2 3 3" xfId="16093"/>
    <cellStyle name="Note 6 2 3 2 3 3 2" xfId="16094"/>
    <cellStyle name="Note 6 2 3 2 3 3 2 2" xfId="16095"/>
    <cellStyle name="Note 6 2 3 2 3 3 3" xfId="16096"/>
    <cellStyle name="Note 6 2 3 2 3 4" xfId="16097"/>
    <cellStyle name="Note 6 2 3 2 3 4 2" xfId="16098"/>
    <cellStyle name="Note 6 2 3 2 3 5" xfId="16099"/>
    <cellStyle name="Note 6 2 3 2 3 5 2" xfId="16100"/>
    <cellStyle name="Note 6 2 3 2 3 6" xfId="16101"/>
    <cellStyle name="Note 6 2 3 2 3 6 2" xfId="16102"/>
    <cellStyle name="Note 6 2 3 2 3 7" xfId="16103"/>
    <cellStyle name="Note 6 2 3 2 4" xfId="16104"/>
    <cellStyle name="Note 6 2 3 2 4 2" xfId="16105"/>
    <cellStyle name="Note 6 2 3 2 5" xfId="16106"/>
    <cellStyle name="Note 6 2 3 2 5 2" xfId="16107"/>
    <cellStyle name="Note 6 2 3 3" xfId="16108"/>
    <cellStyle name="Note 6 2 3 3 2" xfId="16109"/>
    <cellStyle name="Note 6 2 3 3 2 2" xfId="16110"/>
    <cellStyle name="Note 6 2 3 3 2 2 2" xfId="16111"/>
    <cellStyle name="Note 6 2 3 3 2 2 2 2" xfId="16112"/>
    <cellStyle name="Note 6 2 3 3 2 2 3" xfId="16113"/>
    <cellStyle name="Note 6 2 3 3 2 3" xfId="16114"/>
    <cellStyle name="Note 6 2 3 3 2 3 2" xfId="16115"/>
    <cellStyle name="Note 6 2 3 3 2 3 2 2" xfId="16116"/>
    <cellStyle name="Note 6 2 3 3 2 3 3" xfId="16117"/>
    <cellStyle name="Note 6 2 3 3 2 4" xfId="16118"/>
    <cellStyle name="Note 6 2 3 3 2 4 2" xfId="16119"/>
    <cellStyle name="Note 6 2 3 3 2 5" xfId="16120"/>
    <cellStyle name="Note 6 2 3 3 2 5 2" xfId="16121"/>
    <cellStyle name="Note 6 2 3 3 2 6" xfId="16122"/>
    <cellStyle name="Note 6 2 3 3 2 6 2" xfId="16123"/>
    <cellStyle name="Note 6 2 3 3 2 7" xfId="16124"/>
    <cellStyle name="Note 6 2 3 3 3" xfId="16125"/>
    <cellStyle name="Note 6 2 3 3 3 2" xfId="16126"/>
    <cellStyle name="Note 6 2 3 3 3 2 2" xfId="16127"/>
    <cellStyle name="Note 6 2 3 3 3 2 2 2" xfId="16128"/>
    <cellStyle name="Note 6 2 3 3 3 2 3" xfId="16129"/>
    <cellStyle name="Note 6 2 3 3 3 3" xfId="16130"/>
    <cellStyle name="Note 6 2 3 3 3 3 2" xfId="16131"/>
    <cellStyle name="Note 6 2 3 3 3 3 2 2" xfId="16132"/>
    <cellStyle name="Note 6 2 3 3 3 3 3" xfId="16133"/>
    <cellStyle name="Note 6 2 3 3 3 4" xfId="16134"/>
    <cellStyle name="Note 6 2 3 3 3 4 2" xfId="16135"/>
    <cellStyle name="Note 6 2 3 3 3 5" xfId="16136"/>
    <cellStyle name="Note 6 2 3 3 3 5 2" xfId="16137"/>
    <cellStyle name="Note 6 2 3 3 3 6" xfId="16138"/>
    <cellStyle name="Note 6 2 3 3 3 6 2" xfId="16139"/>
    <cellStyle name="Note 6 2 3 3 3 7" xfId="16140"/>
    <cellStyle name="Note 6 2 3 3 4" xfId="16141"/>
    <cellStyle name="Note 6 2 3 3 4 2" xfId="16142"/>
    <cellStyle name="Note 6 2 3 3 5" xfId="16143"/>
    <cellStyle name="Note 6 2 3 3 5 2" xfId="16144"/>
    <cellStyle name="Note 6 2 3 4" xfId="16145"/>
    <cellStyle name="Note 6 2 3 4 2" xfId="16146"/>
    <cellStyle name="Note 6 2 3 4 2 2" xfId="16147"/>
    <cellStyle name="Note 6 2 3 4 2 2 2" xfId="16148"/>
    <cellStyle name="Note 6 2 3 4 2 3" xfId="16149"/>
    <cellStyle name="Note 6 2 3 4 3" xfId="16150"/>
    <cellStyle name="Note 6 2 3 4 3 2" xfId="16151"/>
    <cellStyle name="Note 6 2 3 4 3 2 2" xfId="16152"/>
    <cellStyle name="Note 6 2 3 4 3 3" xfId="16153"/>
    <cellStyle name="Note 6 2 3 4 4" xfId="16154"/>
    <cellStyle name="Note 6 2 3 4 4 2" xfId="16155"/>
    <cellStyle name="Note 6 2 3 4 5" xfId="16156"/>
    <cellStyle name="Note 6 2 3 4 5 2" xfId="16157"/>
    <cellStyle name="Note 6 2 3 4 6" xfId="16158"/>
    <cellStyle name="Note 6 2 3 4 6 2" xfId="16159"/>
    <cellStyle name="Note 6 2 3 4 7" xfId="16160"/>
    <cellStyle name="Note 6 2 3 5" xfId="16161"/>
    <cellStyle name="Note 6 2 3 5 2" xfId="16162"/>
    <cellStyle name="Note 6 2 3 5 2 2" xfId="16163"/>
    <cellStyle name="Note 6 2 3 5 2 2 2" xfId="16164"/>
    <cellStyle name="Note 6 2 3 5 2 3" xfId="16165"/>
    <cellStyle name="Note 6 2 3 5 3" xfId="16166"/>
    <cellStyle name="Note 6 2 3 5 3 2" xfId="16167"/>
    <cellStyle name="Note 6 2 3 5 3 2 2" xfId="16168"/>
    <cellStyle name="Note 6 2 3 5 3 3" xfId="16169"/>
    <cellStyle name="Note 6 2 3 5 4" xfId="16170"/>
    <cellStyle name="Note 6 2 3 5 4 2" xfId="16171"/>
    <cellStyle name="Note 6 2 3 5 5" xfId="16172"/>
    <cellStyle name="Note 6 2 3 5 5 2" xfId="16173"/>
    <cellStyle name="Note 6 2 3 5 6" xfId="16174"/>
    <cellStyle name="Note 6 2 3 5 6 2" xfId="16175"/>
    <cellStyle name="Note 6 2 3 5 7" xfId="16176"/>
    <cellStyle name="Note 6 2 3 6" xfId="16177"/>
    <cellStyle name="Note 6 2 3 6 2" xfId="16178"/>
    <cellStyle name="Note 6 2 3 6 2 2" xfId="16179"/>
    <cellStyle name="Note 6 2 3 6 2 2 2" xfId="16180"/>
    <cellStyle name="Note 6 2 3 6 2 3" xfId="16181"/>
    <cellStyle name="Note 6 2 3 6 3" xfId="16182"/>
    <cellStyle name="Note 6 2 3 6 3 2" xfId="16183"/>
    <cellStyle name="Note 6 2 3 6 3 2 2" xfId="16184"/>
    <cellStyle name="Note 6 2 3 6 3 3" xfId="16185"/>
    <cellStyle name="Note 6 2 3 6 4" xfId="16186"/>
    <cellStyle name="Note 6 2 3 6 4 2" xfId="16187"/>
    <cellStyle name="Note 6 2 3 6 5" xfId="16188"/>
    <cellStyle name="Note 6 2 3 6 5 2" xfId="16189"/>
    <cellStyle name="Note 6 2 3 6 6" xfId="16190"/>
    <cellStyle name="Note 6 2 3 6 6 2" xfId="16191"/>
    <cellStyle name="Note 6 2 3 6 7" xfId="16192"/>
    <cellStyle name="Note 6 2 3 7" xfId="16193"/>
    <cellStyle name="Note 6 2 3 7 2" xfId="16194"/>
    <cellStyle name="Note 6 2 3 8" xfId="16195"/>
    <cellStyle name="Note 6 2 3 8 2" xfId="16196"/>
    <cellStyle name="Note 6 2 4" xfId="16197"/>
    <cellStyle name="Note 6 2 4 2" xfId="16198"/>
    <cellStyle name="Note 6 2 4 2 2" xfId="16199"/>
    <cellStyle name="Note 6 2 4 2 2 2" xfId="16200"/>
    <cellStyle name="Note 6 2 4 2 2 2 2" xfId="16201"/>
    <cellStyle name="Note 6 2 4 2 2 2 2 2" xfId="16202"/>
    <cellStyle name="Note 6 2 4 2 2 2 3" xfId="16203"/>
    <cellStyle name="Note 6 2 4 2 2 3" xfId="16204"/>
    <cellStyle name="Note 6 2 4 2 2 3 2" xfId="16205"/>
    <cellStyle name="Note 6 2 4 2 2 3 2 2" xfId="16206"/>
    <cellStyle name="Note 6 2 4 2 2 3 3" xfId="16207"/>
    <cellStyle name="Note 6 2 4 2 2 4" xfId="16208"/>
    <cellStyle name="Note 6 2 4 2 2 4 2" xfId="16209"/>
    <cellStyle name="Note 6 2 4 2 2 5" xfId="16210"/>
    <cellStyle name="Note 6 2 4 2 2 5 2" xfId="16211"/>
    <cellStyle name="Note 6 2 4 2 2 6" xfId="16212"/>
    <cellStyle name="Note 6 2 4 2 2 6 2" xfId="16213"/>
    <cellStyle name="Note 6 2 4 2 2 7" xfId="16214"/>
    <cellStyle name="Note 6 2 4 2 3" xfId="16215"/>
    <cellStyle name="Note 6 2 4 2 3 2" xfId="16216"/>
    <cellStyle name="Note 6 2 4 2 3 2 2" xfId="16217"/>
    <cellStyle name="Note 6 2 4 2 3 2 2 2" xfId="16218"/>
    <cellStyle name="Note 6 2 4 2 3 2 3" xfId="16219"/>
    <cellStyle name="Note 6 2 4 2 3 3" xfId="16220"/>
    <cellStyle name="Note 6 2 4 2 3 3 2" xfId="16221"/>
    <cellStyle name="Note 6 2 4 2 3 3 2 2" xfId="16222"/>
    <cellStyle name="Note 6 2 4 2 3 3 3" xfId="16223"/>
    <cellStyle name="Note 6 2 4 2 3 4" xfId="16224"/>
    <cellStyle name="Note 6 2 4 2 3 4 2" xfId="16225"/>
    <cellStyle name="Note 6 2 4 2 3 5" xfId="16226"/>
    <cellStyle name="Note 6 2 4 2 3 5 2" xfId="16227"/>
    <cellStyle name="Note 6 2 4 2 3 6" xfId="16228"/>
    <cellStyle name="Note 6 2 4 2 3 6 2" xfId="16229"/>
    <cellStyle name="Note 6 2 4 2 3 7" xfId="16230"/>
    <cellStyle name="Note 6 2 4 2 4" xfId="16231"/>
    <cellStyle name="Note 6 2 4 2 4 2" xfId="16232"/>
    <cellStyle name="Note 6 2 4 2 5" xfId="16233"/>
    <cellStyle name="Note 6 2 4 2 5 2" xfId="16234"/>
    <cellStyle name="Note 6 2 4 3" xfId="16235"/>
    <cellStyle name="Note 6 2 4 3 2" xfId="16236"/>
    <cellStyle name="Note 6 2 4 3 2 2" xfId="16237"/>
    <cellStyle name="Note 6 2 4 3 2 2 2" xfId="16238"/>
    <cellStyle name="Note 6 2 4 3 2 2 2 2" xfId="16239"/>
    <cellStyle name="Note 6 2 4 3 2 2 3" xfId="16240"/>
    <cellStyle name="Note 6 2 4 3 2 3" xfId="16241"/>
    <cellStyle name="Note 6 2 4 3 2 3 2" xfId="16242"/>
    <cellStyle name="Note 6 2 4 3 2 3 2 2" xfId="16243"/>
    <cellStyle name="Note 6 2 4 3 2 3 3" xfId="16244"/>
    <cellStyle name="Note 6 2 4 3 2 4" xfId="16245"/>
    <cellStyle name="Note 6 2 4 3 2 4 2" xfId="16246"/>
    <cellStyle name="Note 6 2 4 3 2 5" xfId="16247"/>
    <cellStyle name="Note 6 2 4 3 2 5 2" xfId="16248"/>
    <cellStyle name="Note 6 2 4 3 2 6" xfId="16249"/>
    <cellStyle name="Note 6 2 4 3 2 6 2" xfId="16250"/>
    <cellStyle name="Note 6 2 4 3 2 7" xfId="16251"/>
    <cellStyle name="Note 6 2 4 3 3" xfId="16252"/>
    <cellStyle name="Note 6 2 4 3 3 2" xfId="16253"/>
    <cellStyle name="Note 6 2 4 3 3 2 2" xfId="16254"/>
    <cellStyle name="Note 6 2 4 3 3 2 2 2" xfId="16255"/>
    <cellStyle name="Note 6 2 4 3 3 2 3" xfId="16256"/>
    <cellStyle name="Note 6 2 4 3 3 3" xfId="16257"/>
    <cellStyle name="Note 6 2 4 3 3 3 2" xfId="16258"/>
    <cellStyle name="Note 6 2 4 3 3 3 2 2" xfId="16259"/>
    <cellStyle name="Note 6 2 4 3 3 3 3" xfId="16260"/>
    <cellStyle name="Note 6 2 4 3 3 4" xfId="16261"/>
    <cellStyle name="Note 6 2 4 3 3 4 2" xfId="16262"/>
    <cellStyle name="Note 6 2 4 3 3 5" xfId="16263"/>
    <cellStyle name="Note 6 2 4 3 3 5 2" xfId="16264"/>
    <cellStyle name="Note 6 2 4 3 3 6" xfId="16265"/>
    <cellStyle name="Note 6 2 4 3 3 6 2" xfId="16266"/>
    <cellStyle name="Note 6 2 4 3 3 7" xfId="16267"/>
    <cellStyle name="Note 6 2 4 3 4" xfId="16268"/>
    <cellStyle name="Note 6 2 4 3 4 2" xfId="16269"/>
    <cellStyle name="Note 6 2 4 3 5" xfId="16270"/>
    <cellStyle name="Note 6 2 4 3 5 2" xfId="16271"/>
    <cellStyle name="Note 6 2 4 4" xfId="16272"/>
    <cellStyle name="Note 6 2 4 4 2" xfId="16273"/>
    <cellStyle name="Note 6 2 4 4 2 2" xfId="16274"/>
    <cellStyle name="Note 6 2 4 4 2 2 2" xfId="16275"/>
    <cellStyle name="Note 6 2 4 4 2 3" xfId="16276"/>
    <cellStyle name="Note 6 2 4 4 3" xfId="16277"/>
    <cellStyle name="Note 6 2 4 4 3 2" xfId="16278"/>
    <cellStyle name="Note 6 2 4 4 3 2 2" xfId="16279"/>
    <cellStyle name="Note 6 2 4 4 3 3" xfId="16280"/>
    <cellStyle name="Note 6 2 4 4 4" xfId="16281"/>
    <cellStyle name="Note 6 2 4 4 4 2" xfId="16282"/>
    <cellStyle name="Note 6 2 4 4 5" xfId="16283"/>
    <cellStyle name="Note 6 2 4 4 5 2" xfId="16284"/>
    <cellStyle name="Note 6 2 4 4 6" xfId="16285"/>
    <cellStyle name="Note 6 2 4 4 6 2" xfId="16286"/>
    <cellStyle name="Note 6 2 4 4 7" xfId="16287"/>
    <cellStyle name="Note 6 2 4 5" xfId="16288"/>
    <cellStyle name="Note 6 2 4 5 2" xfId="16289"/>
    <cellStyle name="Note 6 2 4 5 2 2" xfId="16290"/>
    <cellStyle name="Note 6 2 4 5 2 2 2" xfId="16291"/>
    <cellStyle name="Note 6 2 4 5 2 3" xfId="16292"/>
    <cellStyle name="Note 6 2 4 5 3" xfId="16293"/>
    <cellStyle name="Note 6 2 4 5 3 2" xfId="16294"/>
    <cellStyle name="Note 6 2 4 5 3 2 2" xfId="16295"/>
    <cellStyle name="Note 6 2 4 5 3 3" xfId="16296"/>
    <cellStyle name="Note 6 2 4 5 4" xfId="16297"/>
    <cellStyle name="Note 6 2 4 5 4 2" xfId="16298"/>
    <cellStyle name="Note 6 2 4 5 5" xfId="16299"/>
    <cellStyle name="Note 6 2 4 5 5 2" xfId="16300"/>
    <cellStyle name="Note 6 2 4 5 6" xfId="16301"/>
    <cellStyle name="Note 6 2 4 5 6 2" xfId="16302"/>
    <cellStyle name="Note 6 2 4 5 7" xfId="16303"/>
    <cellStyle name="Note 6 2 4 6" xfId="16304"/>
    <cellStyle name="Note 6 2 4 6 2" xfId="16305"/>
    <cellStyle name="Note 6 2 4 6 2 2" xfId="16306"/>
    <cellStyle name="Note 6 2 4 6 2 2 2" xfId="16307"/>
    <cellStyle name="Note 6 2 4 6 2 3" xfId="16308"/>
    <cellStyle name="Note 6 2 4 6 3" xfId="16309"/>
    <cellStyle name="Note 6 2 4 6 3 2" xfId="16310"/>
    <cellStyle name="Note 6 2 4 6 3 2 2" xfId="16311"/>
    <cellStyle name="Note 6 2 4 6 3 3" xfId="16312"/>
    <cellStyle name="Note 6 2 4 6 4" xfId="16313"/>
    <cellStyle name="Note 6 2 4 6 4 2" xfId="16314"/>
    <cellStyle name="Note 6 2 4 6 5" xfId="16315"/>
    <cellStyle name="Note 6 2 4 6 5 2" xfId="16316"/>
    <cellStyle name="Note 6 2 4 6 6" xfId="16317"/>
    <cellStyle name="Note 6 2 4 6 6 2" xfId="16318"/>
    <cellStyle name="Note 6 2 4 6 7" xfId="16319"/>
    <cellStyle name="Note 6 2 4 7" xfId="16320"/>
    <cellStyle name="Note 6 2 4 7 2" xfId="16321"/>
    <cellStyle name="Note 6 2 4 8" xfId="16322"/>
    <cellStyle name="Note 6 2 4 8 2" xfId="16323"/>
    <cellStyle name="Note 6 2 5" xfId="16324"/>
    <cellStyle name="Note 6 2 5 2" xfId="16325"/>
    <cellStyle name="Note 6 2 5 2 2" xfId="16326"/>
    <cellStyle name="Note 6 2 5 2 2 2" xfId="16327"/>
    <cellStyle name="Note 6 2 5 2 2 2 2" xfId="16328"/>
    <cellStyle name="Note 6 2 5 2 2 2 2 2" xfId="16329"/>
    <cellStyle name="Note 6 2 5 2 2 2 3" xfId="16330"/>
    <cellStyle name="Note 6 2 5 2 2 3" xfId="16331"/>
    <cellStyle name="Note 6 2 5 2 2 3 2" xfId="16332"/>
    <cellStyle name="Note 6 2 5 2 2 3 2 2" xfId="16333"/>
    <cellStyle name="Note 6 2 5 2 2 3 3" xfId="16334"/>
    <cellStyle name="Note 6 2 5 2 2 4" xfId="16335"/>
    <cellStyle name="Note 6 2 5 2 2 4 2" xfId="16336"/>
    <cellStyle name="Note 6 2 5 2 2 5" xfId="16337"/>
    <cellStyle name="Note 6 2 5 2 2 5 2" xfId="16338"/>
    <cellStyle name="Note 6 2 5 2 2 6" xfId="16339"/>
    <cellStyle name="Note 6 2 5 2 2 6 2" xfId="16340"/>
    <cellStyle name="Note 6 2 5 2 2 7" xfId="16341"/>
    <cellStyle name="Note 6 2 5 2 3" xfId="16342"/>
    <cellStyle name="Note 6 2 5 2 3 2" xfId="16343"/>
    <cellStyle name="Note 6 2 5 2 3 2 2" xfId="16344"/>
    <cellStyle name="Note 6 2 5 2 3 2 2 2" xfId="16345"/>
    <cellStyle name="Note 6 2 5 2 3 2 3" xfId="16346"/>
    <cellStyle name="Note 6 2 5 2 3 3" xfId="16347"/>
    <cellStyle name="Note 6 2 5 2 3 3 2" xfId="16348"/>
    <cellStyle name="Note 6 2 5 2 3 3 2 2" xfId="16349"/>
    <cellStyle name="Note 6 2 5 2 3 3 3" xfId="16350"/>
    <cellStyle name="Note 6 2 5 2 3 4" xfId="16351"/>
    <cellStyle name="Note 6 2 5 2 3 4 2" xfId="16352"/>
    <cellStyle name="Note 6 2 5 2 3 5" xfId="16353"/>
    <cellStyle name="Note 6 2 5 2 3 5 2" xfId="16354"/>
    <cellStyle name="Note 6 2 5 2 3 6" xfId="16355"/>
    <cellStyle name="Note 6 2 5 2 3 6 2" xfId="16356"/>
    <cellStyle name="Note 6 2 5 2 3 7" xfId="16357"/>
    <cellStyle name="Note 6 2 5 2 4" xfId="16358"/>
    <cellStyle name="Note 6 2 5 2 4 2" xfId="16359"/>
    <cellStyle name="Note 6 2 5 2 5" xfId="16360"/>
    <cellStyle name="Note 6 2 5 2 5 2" xfId="16361"/>
    <cellStyle name="Note 6 2 5 3" xfId="16362"/>
    <cellStyle name="Note 6 2 5 3 2" xfId="16363"/>
    <cellStyle name="Note 6 2 5 3 2 2" xfId="16364"/>
    <cellStyle name="Note 6 2 5 3 2 2 2" xfId="16365"/>
    <cellStyle name="Note 6 2 5 3 2 2 2 2" xfId="16366"/>
    <cellStyle name="Note 6 2 5 3 2 2 3" xfId="16367"/>
    <cellStyle name="Note 6 2 5 3 2 3" xfId="16368"/>
    <cellStyle name="Note 6 2 5 3 2 3 2" xfId="16369"/>
    <cellStyle name="Note 6 2 5 3 2 3 2 2" xfId="16370"/>
    <cellStyle name="Note 6 2 5 3 2 3 3" xfId="16371"/>
    <cellStyle name="Note 6 2 5 3 2 4" xfId="16372"/>
    <cellStyle name="Note 6 2 5 3 2 4 2" xfId="16373"/>
    <cellStyle name="Note 6 2 5 3 2 5" xfId="16374"/>
    <cellStyle name="Note 6 2 5 3 2 5 2" xfId="16375"/>
    <cellStyle name="Note 6 2 5 3 2 6" xfId="16376"/>
    <cellStyle name="Note 6 2 5 3 2 6 2" xfId="16377"/>
    <cellStyle name="Note 6 2 5 3 2 7" xfId="16378"/>
    <cellStyle name="Note 6 2 5 3 3" xfId="16379"/>
    <cellStyle name="Note 6 2 5 3 3 2" xfId="16380"/>
    <cellStyle name="Note 6 2 5 3 3 2 2" xfId="16381"/>
    <cellStyle name="Note 6 2 5 3 3 2 2 2" xfId="16382"/>
    <cellStyle name="Note 6 2 5 3 3 2 3" xfId="16383"/>
    <cellStyle name="Note 6 2 5 3 3 3" xfId="16384"/>
    <cellStyle name="Note 6 2 5 3 3 3 2" xfId="16385"/>
    <cellStyle name="Note 6 2 5 3 3 3 2 2" xfId="16386"/>
    <cellStyle name="Note 6 2 5 3 3 3 3" xfId="16387"/>
    <cellStyle name="Note 6 2 5 3 3 4" xfId="16388"/>
    <cellStyle name="Note 6 2 5 3 3 4 2" xfId="16389"/>
    <cellStyle name="Note 6 2 5 3 3 5" xfId="16390"/>
    <cellStyle name="Note 6 2 5 3 3 5 2" xfId="16391"/>
    <cellStyle name="Note 6 2 5 3 3 6" xfId="16392"/>
    <cellStyle name="Note 6 2 5 3 3 6 2" xfId="16393"/>
    <cellStyle name="Note 6 2 5 3 3 7" xfId="16394"/>
    <cellStyle name="Note 6 2 5 3 4" xfId="16395"/>
    <cellStyle name="Note 6 2 5 3 4 2" xfId="16396"/>
    <cellStyle name="Note 6 2 5 3 5" xfId="16397"/>
    <cellStyle name="Note 6 2 5 3 5 2" xfId="16398"/>
    <cellStyle name="Note 6 2 5 4" xfId="16399"/>
    <cellStyle name="Note 6 2 5 4 2" xfId="16400"/>
    <cellStyle name="Note 6 2 5 4 2 2" xfId="16401"/>
    <cellStyle name="Note 6 2 5 4 2 2 2" xfId="16402"/>
    <cellStyle name="Note 6 2 5 4 2 3" xfId="16403"/>
    <cellStyle name="Note 6 2 5 4 3" xfId="16404"/>
    <cellStyle name="Note 6 2 5 4 3 2" xfId="16405"/>
    <cellStyle name="Note 6 2 5 4 3 2 2" xfId="16406"/>
    <cellStyle name="Note 6 2 5 4 3 3" xfId="16407"/>
    <cellStyle name="Note 6 2 5 4 4" xfId="16408"/>
    <cellStyle name="Note 6 2 5 4 4 2" xfId="16409"/>
    <cellStyle name="Note 6 2 5 4 5" xfId="16410"/>
    <cellStyle name="Note 6 2 5 4 5 2" xfId="16411"/>
    <cellStyle name="Note 6 2 5 4 6" xfId="16412"/>
    <cellStyle name="Note 6 2 5 4 6 2" xfId="16413"/>
    <cellStyle name="Note 6 2 5 4 7" xfId="16414"/>
    <cellStyle name="Note 6 2 5 5" xfId="16415"/>
    <cellStyle name="Note 6 2 5 5 2" xfId="16416"/>
    <cellStyle name="Note 6 2 5 5 2 2" xfId="16417"/>
    <cellStyle name="Note 6 2 5 5 2 2 2" xfId="16418"/>
    <cellStyle name="Note 6 2 5 5 2 3" xfId="16419"/>
    <cellStyle name="Note 6 2 5 5 3" xfId="16420"/>
    <cellStyle name="Note 6 2 5 5 3 2" xfId="16421"/>
    <cellStyle name="Note 6 2 5 5 3 2 2" xfId="16422"/>
    <cellStyle name="Note 6 2 5 5 3 3" xfId="16423"/>
    <cellStyle name="Note 6 2 5 5 4" xfId="16424"/>
    <cellStyle name="Note 6 2 5 5 4 2" xfId="16425"/>
    <cellStyle name="Note 6 2 5 5 5" xfId="16426"/>
    <cellStyle name="Note 6 2 5 5 5 2" xfId="16427"/>
    <cellStyle name="Note 6 2 5 5 6" xfId="16428"/>
    <cellStyle name="Note 6 2 5 5 6 2" xfId="16429"/>
    <cellStyle name="Note 6 2 5 5 7" xfId="16430"/>
    <cellStyle name="Note 6 2 5 6" xfId="16431"/>
    <cellStyle name="Note 6 2 5 6 2" xfId="16432"/>
    <cellStyle name="Note 6 2 5 6 2 2" xfId="16433"/>
    <cellStyle name="Note 6 2 5 6 2 2 2" xfId="16434"/>
    <cellStyle name="Note 6 2 5 6 2 3" xfId="16435"/>
    <cellStyle name="Note 6 2 5 6 3" xfId="16436"/>
    <cellStyle name="Note 6 2 5 6 3 2" xfId="16437"/>
    <cellStyle name="Note 6 2 5 6 3 2 2" xfId="16438"/>
    <cellStyle name="Note 6 2 5 6 3 3" xfId="16439"/>
    <cellStyle name="Note 6 2 5 6 4" xfId="16440"/>
    <cellStyle name="Note 6 2 5 6 4 2" xfId="16441"/>
    <cellStyle name="Note 6 2 5 6 5" xfId="16442"/>
    <cellStyle name="Note 6 2 5 6 5 2" xfId="16443"/>
    <cellStyle name="Note 6 2 5 6 6" xfId="16444"/>
    <cellStyle name="Note 6 2 5 6 6 2" xfId="16445"/>
    <cellStyle name="Note 6 2 5 6 7" xfId="16446"/>
    <cellStyle name="Note 6 2 5 7" xfId="16447"/>
    <cellStyle name="Note 6 2 5 7 2" xfId="16448"/>
    <cellStyle name="Note 6 2 5 8" xfId="16449"/>
    <cellStyle name="Note 6 2 5 8 2" xfId="16450"/>
    <cellStyle name="Note 6 2 6" xfId="16451"/>
    <cellStyle name="Note 6 2 6 2" xfId="16452"/>
    <cellStyle name="Note 6 2 6 2 2" xfId="16453"/>
    <cellStyle name="Note 6 2 6 2 2 2" xfId="16454"/>
    <cellStyle name="Note 6 2 6 2 2 2 2" xfId="16455"/>
    <cellStyle name="Note 6 2 6 2 2 2 2 2" xfId="16456"/>
    <cellStyle name="Note 6 2 6 2 2 2 3" xfId="16457"/>
    <cellStyle name="Note 6 2 6 2 2 3" xfId="16458"/>
    <cellStyle name="Note 6 2 6 2 2 3 2" xfId="16459"/>
    <cellStyle name="Note 6 2 6 2 2 3 2 2" xfId="16460"/>
    <cellStyle name="Note 6 2 6 2 2 3 3" xfId="16461"/>
    <cellStyle name="Note 6 2 6 2 2 4" xfId="16462"/>
    <cellStyle name="Note 6 2 6 2 2 4 2" xfId="16463"/>
    <cellStyle name="Note 6 2 6 2 2 5" xfId="16464"/>
    <cellStyle name="Note 6 2 6 2 2 5 2" xfId="16465"/>
    <cellStyle name="Note 6 2 6 2 2 6" xfId="16466"/>
    <cellStyle name="Note 6 2 6 2 2 6 2" xfId="16467"/>
    <cellStyle name="Note 6 2 6 2 2 7" xfId="16468"/>
    <cellStyle name="Note 6 2 6 2 3" xfId="16469"/>
    <cellStyle name="Note 6 2 6 2 3 2" xfId="16470"/>
    <cellStyle name="Note 6 2 6 2 3 2 2" xfId="16471"/>
    <cellStyle name="Note 6 2 6 2 3 2 2 2" xfId="16472"/>
    <cellStyle name="Note 6 2 6 2 3 2 3" xfId="16473"/>
    <cellStyle name="Note 6 2 6 2 3 3" xfId="16474"/>
    <cellStyle name="Note 6 2 6 2 3 3 2" xfId="16475"/>
    <cellStyle name="Note 6 2 6 2 3 3 2 2" xfId="16476"/>
    <cellStyle name="Note 6 2 6 2 3 3 3" xfId="16477"/>
    <cellStyle name="Note 6 2 6 2 3 4" xfId="16478"/>
    <cellStyle name="Note 6 2 6 2 3 4 2" xfId="16479"/>
    <cellStyle name="Note 6 2 6 2 3 5" xfId="16480"/>
    <cellStyle name="Note 6 2 6 2 3 5 2" xfId="16481"/>
    <cellStyle name="Note 6 2 6 2 3 6" xfId="16482"/>
    <cellStyle name="Note 6 2 6 2 3 6 2" xfId="16483"/>
    <cellStyle name="Note 6 2 6 2 3 7" xfId="16484"/>
    <cellStyle name="Note 6 2 6 2 4" xfId="16485"/>
    <cellStyle name="Note 6 2 6 2 4 2" xfId="16486"/>
    <cellStyle name="Note 6 2 6 2 5" xfId="16487"/>
    <cellStyle name="Note 6 2 6 2 5 2" xfId="16488"/>
    <cellStyle name="Note 6 2 6 3" xfId="16489"/>
    <cellStyle name="Note 6 2 6 3 2" xfId="16490"/>
    <cellStyle name="Note 6 2 6 3 2 2" xfId="16491"/>
    <cellStyle name="Note 6 2 6 3 2 2 2" xfId="16492"/>
    <cellStyle name="Note 6 2 6 3 2 2 2 2" xfId="16493"/>
    <cellStyle name="Note 6 2 6 3 2 2 3" xfId="16494"/>
    <cellStyle name="Note 6 2 6 3 2 3" xfId="16495"/>
    <cellStyle name="Note 6 2 6 3 2 3 2" xfId="16496"/>
    <cellStyle name="Note 6 2 6 3 2 3 2 2" xfId="16497"/>
    <cellStyle name="Note 6 2 6 3 2 3 3" xfId="16498"/>
    <cellStyle name="Note 6 2 6 3 2 4" xfId="16499"/>
    <cellStyle name="Note 6 2 6 3 2 4 2" xfId="16500"/>
    <cellStyle name="Note 6 2 6 3 2 5" xfId="16501"/>
    <cellStyle name="Note 6 2 6 3 2 5 2" xfId="16502"/>
    <cellStyle name="Note 6 2 6 3 2 6" xfId="16503"/>
    <cellStyle name="Note 6 2 6 3 2 6 2" xfId="16504"/>
    <cellStyle name="Note 6 2 6 3 2 7" xfId="16505"/>
    <cellStyle name="Note 6 2 6 3 3" xfId="16506"/>
    <cellStyle name="Note 6 2 6 3 3 2" xfId="16507"/>
    <cellStyle name="Note 6 2 6 3 3 2 2" xfId="16508"/>
    <cellStyle name="Note 6 2 6 3 3 2 2 2" xfId="16509"/>
    <cellStyle name="Note 6 2 6 3 3 2 3" xfId="16510"/>
    <cellStyle name="Note 6 2 6 3 3 3" xfId="16511"/>
    <cellStyle name="Note 6 2 6 3 3 3 2" xfId="16512"/>
    <cellStyle name="Note 6 2 6 3 3 3 2 2" xfId="16513"/>
    <cellStyle name="Note 6 2 6 3 3 3 3" xfId="16514"/>
    <cellStyle name="Note 6 2 6 3 3 4" xfId="16515"/>
    <cellStyle name="Note 6 2 6 3 3 4 2" xfId="16516"/>
    <cellStyle name="Note 6 2 6 3 3 5" xfId="16517"/>
    <cellStyle name="Note 6 2 6 3 3 5 2" xfId="16518"/>
    <cellStyle name="Note 6 2 6 3 3 6" xfId="16519"/>
    <cellStyle name="Note 6 2 6 3 3 6 2" xfId="16520"/>
    <cellStyle name="Note 6 2 6 3 3 7" xfId="16521"/>
    <cellStyle name="Note 6 2 6 3 4" xfId="16522"/>
    <cellStyle name="Note 6 2 6 3 4 2" xfId="16523"/>
    <cellStyle name="Note 6 2 6 3 5" xfId="16524"/>
    <cellStyle name="Note 6 2 6 3 5 2" xfId="16525"/>
    <cellStyle name="Note 6 2 6 4" xfId="16526"/>
    <cellStyle name="Note 6 2 6 4 2" xfId="16527"/>
    <cellStyle name="Note 6 2 6 4 2 2" xfId="16528"/>
    <cellStyle name="Note 6 2 6 4 2 2 2" xfId="16529"/>
    <cellStyle name="Note 6 2 6 4 2 3" xfId="16530"/>
    <cellStyle name="Note 6 2 6 4 3" xfId="16531"/>
    <cellStyle name="Note 6 2 6 4 3 2" xfId="16532"/>
    <cellStyle name="Note 6 2 6 4 3 2 2" xfId="16533"/>
    <cellStyle name="Note 6 2 6 4 3 3" xfId="16534"/>
    <cellStyle name="Note 6 2 6 4 4" xfId="16535"/>
    <cellStyle name="Note 6 2 6 4 4 2" xfId="16536"/>
    <cellStyle name="Note 6 2 6 4 5" xfId="16537"/>
    <cellStyle name="Note 6 2 6 4 5 2" xfId="16538"/>
    <cellStyle name="Note 6 2 6 4 6" xfId="16539"/>
    <cellStyle name="Note 6 2 6 4 6 2" xfId="16540"/>
    <cellStyle name="Note 6 2 6 4 7" xfId="16541"/>
    <cellStyle name="Note 6 2 6 5" xfId="16542"/>
    <cellStyle name="Note 6 2 6 5 2" xfId="16543"/>
    <cellStyle name="Note 6 2 6 5 2 2" xfId="16544"/>
    <cellStyle name="Note 6 2 6 5 2 2 2" xfId="16545"/>
    <cellStyle name="Note 6 2 6 5 2 3" xfId="16546"/>
    <cellStyle name="Note 6 2 6 5 3" xfId="16547"/>
    <cellStyle name="Note 6 2 6 5 3 2" xfId="16548"/>
    <cellStyle name="Note 6 2 6 5 3 2 2" xfId="16549"/>
    <cellStyle name="Note 6 2 6 5 3 3" xfId="16550"/>
    <cellStyle name="Note 6 2 6 5 4" xfId="16551"/>
    <cellStyle name="Note 6 2 6 5 4 2" xfId="16552"/>
    <cellStyle name="Note 6 2 6 5 5" xfId="16553"/>
    <cellStyle name="Note 6 2 6 5 5 2" xfId="16554"/>
    <cellStyle name="Note 6 2 6 5 6" xfId="16555"/>
    <cellStyle name="Note 6 2 6 5 6 2" xfId="16556"/>
    <cellStyle name="Note 6 2 6 5 7" xfId="16557"/>
    <cellStyle name="Note 6 2 6 6" xfId="16558"/>
    <cellStyle name="Note 6 2 6 6 2" xfId="16559"/>
    <cellStyle name="Note 6 2 6 6 2 2" xfId="16560"/>
    <cellStyle name="Note 6 2 6 6 2 2 2" xfId="16561"/>
    <cellStyle name="Note 6 2 6 6 2 3" xfId="16562"/>
    <cellStyle name="Note 6 2 6 6 3" xfId="16563"/>
    <cellStyle name="Note 6 2 6 6 3 2" xfId="16564"/>
    <cellStyle name="Note 6 2 6 6 3 2 2" xfId="16565"/>
    <cellStyle name="Note 6 2 6 6 3 3" xfId="16566"/>
    <cellStyle name="Note 6 2 6 6 4" xfId="16567"/>
    <cellStyle name="Note 6 2 6 6 4 2" xfId="16568"/>
    <cellStyle name="Note 6 2 6 6 5" xfId="16569"/>
    <cellStyle name="Note 6 2 6 6 5 2" xfId="16570"/>
    <cellStyle name="Note 6 2 6 6 6" xfId="16571"/>
    <cellStyle name="Note 6 2 6 6 6 2" xfId="16572"/>
    <cellStyle name="Note 6 2 6 6 7" xfId="16573"/>
    <cellStyle name="Note 6 2 6 7" xfId="16574"/>
    <cellStyle name="Note 6 2 6 7 2" xfId="16575"/>
    <cellStyle name="Note 6 2 6 8" xfId="16576"/>
    <cellStyle name="Note 6 2 6 8 2" xfId="16577"/>
    <cellStyle name="Note 6 2 7" xfId="16578"/>
    <cellStyle name="Note 6 2 7 2" xfId="16579"/>
    <cellStyle name="Note 6 2 7 2 2" xfId="16580"/>
    <cellStyle name="Note 6 2 7 2 2 2" xfId="16581"/>
    <cellStyle name="Note 6 2 7 2 2 2 2" xfId="16582"/>
    <cellStyle name="Note 6 2 7 2 2 2 2 2" xfId="16583"/>
    <cellStyle name="Note 6 2 7 2 2 2 3" xfId="16584"/>
    <cellStyle name="Note 6 2 7 2 2 3" xfId="16585"/>
    <cellStyle name="Note 6 2 7 2 2 3 2" xfId="16586"/>
    <cellStyle name="Note 6 2 7 2 2 3 2 2" xfId="16587"/>
    <cellStyle name="Note 6 2 7 2 2 3 3" xfId="16588"/>
    <cellStyle name="Note 6 2 7 2 2 4" xfId="16589"/>
    <cellStyle name="Note 6 2 7 2 2 4 2" xfId="16590"/>
    <cellStyle name="Note 6 2 7 2 2 5" xfId="16591"/>
    <cellStyle name="Note 6 2 7 2 2 5 2" xfId="16592"/>
    <cellStyle name="Note 6 2 7 2 2 6" xfId="16593"/>
    <cellStyle name="Note 6 2 7 2 2 6 2" xfId="16594"/>
    <cellStyle name="Note 6 2 7 2 2 7" xfId="16595"/>
    <cellStyle name="Note 6 2 7 2 3" xfId="16596"/>
    <cellStyle name="Note 6 2 7 2 3 2" xfId="16597"/>
    <cellStyle name="Note 6 2 7 2 3 2 2" xfId="16598"/>
    <cellStyle name="Note 6 2 7 2 3 2 2 2" xfId="16599"/>
    <cellStyle name="Note 6 2 7 2 3 2 3" xfId="16600"/>
    <cellStyle name="Note 6 2 7 2 3 3" xfId="16601"/>
    <cellStyle name="Note 6 2 7 2 3 3 2" xfId="16602"/>
    <cellStyle name="Note 6 2 7 2 3 3 2 2" xfId="16603"/>
    <cellStyle name="Note 6 2 7 2 3 3 3" xfId="16604"/>
    <cellStyle name="Note 6 2 7 2 3 4" xfId="16605"/>
    <cellStyle name="Note 6 2 7 2 3 4 2" xfId="16606"/>
    <cellStyle name="Note 6 2 7 2 3 5" xfId="16607"/>
    <cellStyle name="Note 6 2 7 2 3 5 2" xfId="16608"/>
    <cellStyle name="Note 6 2 7 2 3 6" xfId="16609"/>
    <cellStyle name="Note 6 2 7 2 3 6 2" xfId="16610"/>
    <cellStyle name="Note 6 2 7 2 3 7" xfId="16611"/>
    <cellStyle name="Note 6 2 7 2 4" xfId="16612"/>
    <cellStyle name="Note 6 2 7 2 4 2" xfId="16613"/>
    <cellStyle name="Note 6 2 7 2 5" xfId="16614"/>
    <cellStyle name="Note 6 2 7 2 5 2" xfId="16615"/>
    <cellStyle name="Note 6 2 7 3" xfId="16616"/>
    <cellStyle name="Note 6 2 7 3 2" xfId="16617"/>
    <cellStyle name="Note 6 2 7 3 2 2" xfId="16618"/>
    <cellStyle name="Note 6 2 7 3 2 2 2" xfId="16619"/>
    <cellStyle name="Note 6 2 7 3 2 2 2 2" xfId="16620"/>
    <cellStyle name="Note 6 2 7 3 2 2 3" xfId="16621"/>
    <cellStyle name="Note 6 2 7 3 2 3" xfId="16622"/>
    <cellStyle name="Note 6 2 7 3 2 3 2" xfId="16623"/>
    <cellStyle name="Note 6 2 7 3 2 3 2 2" xfId="16624"/>
    <cellStyle name="Note 6 2 7 3 2 3 3" xfId="16625"/>
    <cellStyle name="Note 6 2 7 3 2 4" xfId="16626"/>
    <cellStyle name="Note 6 2 7 3 2 4 2" xfId="16627"/>
    <cellStyle name="Note 6 2 7 3 2 5" xfId="16628"/>
    <cellStyle name="Note 6 2 7 3 2 5 2" xfId="16629"/>
    <cellStyle name="Note 6 2 7 3 2 6" xfId="16630"/>
    <cellStyle name="Note 6 2 7 3 2 6 2" xfId="16631"/>
    <cellStyle name="Note 6 2 7 3 2 7" xfId="16632"/>
    <cellStyle name="Note 6 2 7 3 3" xfId="16633"/>
    <cellStyle name="Note 6 2 7 3 3 2" xfId="16634"/>
    <cellStyle name="Note 6 2 7 3 3 2 2" xfId="16635"/>
    <cellStyle name="Note 6 2 7 3 3 2 2 2" xfId="16636"/>
    <cellStyle name="Note 6 2 7 3 3 2 3" xfId="16637"/>
    <cellStyle name="Note 6 2 7 3 3 3" xfId="16638"/>
    <cellStyle name="Note 6 2 7 3 3 3 2" xfId="16639"/>
    <cellStyle name="Note 6 2 7 3 3 3 2 2" xfId="16640"/>
    <cellStyle name="Note 6 2 7 3 3 3 3" xfId="16641"/>
    <cellStyle name="Note 6 2 7 3 3 4" xfId="16642"/>
    <cellStyle name="Note 6 2 7 3 3 4 2" xfId="16643"/>
    <cellStyle name="Note 6 2 7 3 3 5" xfId="16644"/>
    <cellStyle name="Note 6 2 7 3 3 5 2" xfId="16645"/>
    <cellStyle name="Note 6 2 7 3 3 6" xfId="16646"/>
    <cellStyle name="Note 6 2 7 3 3 6 2" xfId="16647"/>
    <cellStyle name="Note 6 2 7 3 3 7" xfId="16648"/>
    <cellStyle name="Note 6 2 7 3 4" xfId="16649"/>
    <cellStyle name="Note 6 2 7 3 4 2" xfId="16650"/>
    <cellStyle name="Note 6 2 7 3 5" xfId="16651"/>
    <cellStyle name="Note 6 2 7 3 5 2" xfId="16652"/>
    <cellStyle name="Note 6 2 7 4" xfId="16653"/>
    <cellStyle name="Note 6 2 7 4 2" xfId="16654"/>
    <cellStyle name="Note 6 2 7 4 2 2" xfId="16655"/>
    <cellStyle name="Note 6 2 7 4 2 2 2" xfId="16656"/>
    <cellStyle name="Note 6 2 7 4 2 3" xfId="16657"/>
    <cellStyle name="Note 6 2 7 4 3" xfId="16658"/>
    <cellStyle name="Note 6 2 7 4 3 2" xfId="16659"/>
    <cellStyle name="Note 6 2 7 4 3 2 2" xfId="16660"/>
    <cellStyle name="Note 6 2 7 4 3 3" xfId="16661"/>
    <cellStyle name="Note 6 2 7 4 4" xfId="16662"/>
    <cellStyle name="Note 6 2 7 4 4 2" xfId="16663"/>
    <cellStyle name="Note 6 2 7 4 5" xfId="16664"/>
    <cellStyle name="Note 6 2 7 4 5 2" xfId="16665"/>
    <cellStyle name="Note 6 2 7 4 6" xfId="16666"/>
    <cellStyle name="Note 6 2 7 4 6 2" xfId="16667"/>
    <cellStyle name="Note 6 2 7 4 7" xfId="16668"/>
    <cellStyle name="Note 6 2 7 5" xfId="16669"/>
    <cellStyle name="Note 6 2 7 5 2" xfId="16670"/>
    <cellStyle name="Note 6 2 7 5 2 2" xfId="16671"/>
    <cellStyle name="Note 6 2 7 5 2 2 2" xfId="16672"/>
    <cellStyle name="Note 6 2 7 5 2 3" xfId="16673"/>
    <cellStyle name="Note 6 2 7 5 3" xfId="16674"/>
    <cellStyle name="Note 6 2 7 5 3 2" xfId="16675"/>
    <cellStyle name="Note 6 2 7 5 3 2 2" xfId="16676"/>
    <cellStyle name="Note 6 2 7 5 3 3" xfId="16677"/>
    <cellStyle name="Note 6 2 7 5 4" xfId="16678"/>
    <cellStyle name="Note 6 2 7 5 4 2" xfId="16679"/>
    <cellStyle name="Note 6 2 7 5 5" xfId="16680"/>
    <cellStyle name="Note 6 2 7 5 5 2" xfId="16681"/>
    <cellStyle name="Note 6 2 7 5 6" xfId="16682"/>
    <cellStyle name="Note 6 2 7 5 6 2" xfId="16683"/>
    <cellStyle name="Note 6 2 7 5 7" xfId="16684"/>
    <cellStyle name="Note 6 2 7 6" xfId="16685"/>
    <cellStyle name="Note 6 2 7 6 2" xfId="16686"/>
    <cellStyle name="Note 6 2 7 7" xfId="16687"/>
    <cellStyle name="Note 6 2 7 7 2" xfId="16688"/>
    <cellStyle name="Note 6 2 8" xfId="16689"/>
    <cellStyle name="Note 6 2 8 2" xfId="16690"/>
    <cellStyle name="Note 6 2 8 2 2" xfId="16691"/>
    <cellStyle name="Note 6 2 8 2 2 2" xfId="16692"/>
    <cellStyle name="Note 6 2 8 2 2 2 2" xfId="16693"/>
    <cellStyle name="Note 6 2 8 2 2 3" xfId="16694"/>
    <cellStyle name="Note 6 2 8 2 3" xfId="16695"/>
    <cellStyle name="Note 6 2 8 2 3 2" xfId="16696"/>
    <cellStyle name="Note 6 2 8 2 3 2 2" xfId="16697"/>
    <cellStyle name="Note 6 2 8 2 3 3" xfId="16698"/>
    <cellStyle name="Note 6 2 8 2 4" xfId="16699"/>
    <cellStyle name="Note 6 2 8 2 4 2" xfId="16700"/>
    <cellStyle name="Note 6 2 8 2 5" xfId="16701"/>
    <cellStyle name="Note 6 2 8 2 5 2" xfId="16702"/>
    <cellStyle name="Note 6 2 8 2 6" xfId="16703"/>
    <cellStyle name="Note 6 2 8 2 6 2" xfId="16704"/>
    <cellStyle name="Note 6 2 8 2 7" xfId="16705"/>
    <cellStyle name="Note 6 2 8 3" xfId="16706"/>
    <cellStyle name="Note 6 2 8 3 2" xfId="16707"/>
    <cellStyle name="Note 6 2 8 3 2 2" xfId="16708"/>
    <cellStyle name="Note 6 2 8 3 2 2 2" xfId="16709"/>
    <cellStyle name="Note 6 2 8 3 2 3" xfId="16710"/>
    <cellStyle name="Note 6 2 8 3 3" xfId="16711"/>
    <cellStyle name="Note 6 2 8 3 3 2" xfId="16712"/>
    <cellStyle name="Note 6 2 8 3 3 2 2" xfId="16713"/>
    <cellStyle name="Note 6 2 8 3 3 3" xfId="16714"/>
    <cellStyle name="Note 6 2 8 3 4" xfId="16715"/>
    <cellStyle name="Note 6 2 8 3 4 2" xfId="16716"/>
    <cellStyle name="Note 6 2 8 3 5" xfId="16717"/>
    <cellStyle name="Note 6 2 8 3 5 2" xfId="16718"/>
    <cellStyle name="Note 6 2 8 3 6" xfId="16719"/>
    <cellStyle name="Note 6 2 8 3 6 2" xfId="16720"/>
    <cellStyle name="Note 6 2 8 3 7" xfId="16721"/>
    <cellStyle name="Note 6 2 8 4" xfId="16722"/>
    <cellStyle name="Note 6 2 8 4 2" xfId="16723"/>
    <cellStyle name="Note 6 2 8 5" xfId="16724"/>
    <cellStyle name="Note 6 2 8 5 2" xfId="16725"/>
    <cellStyle name="Note 6 2 9" xfId="16726"/>
    <cellStyle name="Note 6 2 9 2" xfId="16727"/>
    <cellStyle name="Note 6 2 9 2 2" xfId="16728"/>
    <cellStyle name="Note 6 2 9 2 2 2" xfId="16729"/>
    <cellStyle name="Note 6 2 9 2 2 2 2" xfId="16730"/>
    <cellStyle name="Note 6 2 9 2 2 3" xfId="16731"/>
    <cellStyle name="Note 6 2 9 2 3" xfId="16732"/>
    <cellStyle name="Note 6 2 9 2 3 2" xfId="16733"/>
    <cellStyle name="Note 6 2 9 2 3 2 2" xfId="16734"/>
    <cellStyle name="Note 6 2 9 2 3 3" xfId="16735"/>
    <cellStyle name="Note 6 2 9 2 4" xfId="16736"/>
    <cellStyle name="Note 6 2 9 2 4 2" xfId="16737"/>
    <cellStyle name="Note 6 2 9 2 5" xfId="16738"/>
    <cellStyle name="Note 6 2 9 2 5 2" xfId="16739"/>
    <cellStyle name="Note 6 2 9 2 6" xfId="16740"/>
    <cellStyle name="Note 6 2 9 2 6 2" xfId="16741"/>
    <cellStyle name="Note 6 2 9 2 7" xfId="16742"/>
    <cellStyle name="Note 6 2 9 3" xfId="16743"/>
    <cellStyle name="Note 6 2 9 3 2" xfId="16744"/>
    <cellStyle name="Note 6 2 9 3 2 2" xfId="16745"/>
    <cellStyle name="Note 6 2 9 3 2 2 2" xfId="16746"/>
    <cellStyle name="Note 6 2 9 3 2 3" xfId="16747"/>
    <cellStyle name="Note 6 2 9 3 3" xfId="16748"/>
    <cellStyle name="Note 6 2 9 3 3 2" xfId="16749"/>
    <cellStyle name="Note 6 2 9 3 3 2 2" xfId="16750"/>
    <cellStyle name="Note 6 2 9 3 3 3" xfId="16751"/>
    <cellStyle name="Note 6 2 9 3 4" xfId="16752"/>
    <cellStyle name="Note 6 2 9 3 4 2" xfId="16753"/>
    <cellStyle name="Note 6 2 9 3 5" xfId="16754"/>
    <cellStyle name="Note 6 2 9 3 5 2" xfId="16755"/>
    <cellStyle name="Note 6 2 9 3 6" xfId="16756"/>
    <cellStyle name="Note 6 2 9 3 6 2" xfId="16757"/>
    <cellStyle name="Note 6 2 9 3 7" xfId="16758"/>
    <cellStyle name="Note 6 2 9 4" xfId="16759"/>
    <cellStyle name="Note 6 2 9 4 2" xfId="16760"/>
    <cellStyle name="Note 6 2 9 5" xfId="16761"/>
    <cellStyle name="Note 6 2 9 5 2" xfId="16762"/>
    <cellStyle name="Note 6 3" xfId="16763"/>
    <cellStyle name="Note 6 3 2" xfId="16764"/>
    <cellStyle name="Note 6 3 2 2" xfId="16765"/>
    <cellStyle name="Note 6 3 2 2 2" xfId="16766"/>
    <cellStyle name="Note 6 3 2 2 2 2" xfId="16767"/>
    <cellStyle name="Note 6 3 2 2 3" xfId="16768"/>
    <cellStyle name="Note 6 3 2 3" xfId="16769"/>
    <cellStyle name="Note 6 3 2 3 2" xfId="16770"/>
    <cellStyle name="Note 6 3 2 3 2 2" xfId="16771"/>
    <cellStyle name="Note 6 3 2 3 3" xfId="16772"/>
    <cellStyle name="Note 6 3 2 4" xfId="16773"/>
    <cellStyle name="Note 6 3 2 4 2" xfId="16774"/>
    <cellStyle name="Note 6 3 2 5" xfId="16775"/>
    <cellStyle name="Note 6 3 2 5 2" xfId="16776"/>
    <cellStyle name="Note 6 3 2 6" xfId="16777"/>
    <cellStyle name="Note 6 3 2 6 2" xfId="16778"/>
    <cellStyle name="Note 6 3 2 7" xfId="16779"/>
    <cellStyle name="Note 6 3 3" xfId="16780"/>
    <cellStyle name="Note 6 3 3 2" xfId="16781"/>
    <cellStyle name="Note 6 3 3 2 2" xfId="16782"/>
    <cellStyle name="Note 6 3 3 2 2 2" xfId="16783"/>
    <cellStyle name="Note 6 3 3 2 3" xfId="16784"/>
    <cellStyle name="Note 6 3 3 3" xfId="16785"/>
    <cellStyle name="Note 6 3 3 3 2" xfId="16786"/>
    <cellStyle name="Note 6 3 3 3 2 2" xfId="16787"/>
    <cellStyle name="Note 6 3 3 3 3" xfId="16788"/>
    <cellStyle name="Note 6 3 3 4" xfId="16789"/>
    <cellStyle name="Note 6 3 3 4 2" xfId="16790"/>
    <cellStyle name="Note 6 3 3 5" xfId="16791"/>
    <cellStyle name="Note 6 3 3 5 2" xfId="16792"/>
    <cellStyle name="Note 6 3 3 6" xfId="16793"/>
    <cellStyle name="Note 6 3 3 6 2" xfId="16794"/>
    <cellStyle name="Note 6 3 3 7" xfId="16795"/>
    <cellStyle name="Note 6 3 4" xfId="16796"/>
    <cellStyle name="Note 6 3 4 2" xfId="16797"/>
    <cellStyle name="Note 6 3 5" xfId="16798"/>
    <cellStyle name="Note 6 3 5 2" xfId="16799"/>
    <cellStyle name="Note 6 4" xfId="16800"/>
    <cellStyle name="Note 6 4 2" xfId="16801"/>
    <cellStyle name="Note 6 4 2 2" xfId="16802"/>
    <cellStyle name="Note 6 4 2 2 2" xfId="16803"/>
    <cellStyle name="Note 6 4 2 2 2 2" xfId="16804"/>
    <cellStyle name="Note 6 4 2 2 3" xfId="16805"/>
    <cellStyle name="Note 6 4 2 3" xfId="16806"/>
    <cellStyle name="Note 6 4 2 3 2" xfId="16807"/>
    <cellStyle name="Note 6 4 2 3 2 2" xfId="16808"/>
    <cellStyle name="Note 6 4 2 3 3" xfId="16809"/>
    <cellStyle name="Note 6 4 2 4" xfId="16810"/>
    <cellStyle name="Note 6 4 2 4 2" xfId="16811"/>
    <cellStyle name="Note 6 4 2 5" xfId="16812"/>
    <cellStyle name="Note 6 4 2 5 2" xfId="16813"/>
    <cellStyle name="Note 6 4 2 6" xfId="16814"/>
    <cellStyle name="Note 6 4 2 6 2" xfId="16815"/>
    <cellStyle name="Note 6 4 2 7" xfId="16816"/>
    <cellStyle name="Note 6 4 3" xfId="16817"/>
    <cellStyle name="Note 6 4 3 2" xfId="16818"/>
    <cellStyle name="Note 6 4 3 2 2" xfId="16819"/>
    <cellStyle name="Note 6 4 3 2 2 2" xfId="16820"/>
    <cellStyle name="Note 6 4 3 2 3" xfId="16821"/>
    <cellStyle name="Note 6 4 3 3" xfId="16822"/>
    <cellStyle name="Note 6 4 3 3 2" xfId="16823"/>
    <cellStyle name="Note 6 4 3 3 2 2" xfId="16824"/>
    <cellStyle name="Note 6 4 3 3 3" xfId="16825"/>
    <cellStyle name="Note 6 4 3 4" xfId="16826"/>
    <cellStyle name="Note 6 4 3 4 2" xfId="16827"/>
    <cellStyle name="Note 6 4 3 5" xfId="16828"/>
    <cellStyle name="Note 6 4 3 5 2" xfId="16829"/>
    <cellStyle name="Note 6 4 3 6" xfId="16830"/>
    <cellStyle name="Note 6 4 3 6 2" xfId="16831"/>
    <cellStyle name="Note 6 4 3 7" xfId="16832"/>
    <cellStyle name="Note 6 4 4" xfId="16833"/>
    <cellStyle name="Note 6 4 4 2" xfId="16834"/>
    <cellStyle name="Note 6 4 5" xfId="16835"/>
    <cellStyle name="Note 6 4 5 2" xfId="16836"/>
    <cellStyle name="Note 6 5" xfId="16837"/>
    <cellStyle name="Note 6 5 2" xfId="16838"/>
    <cellStyle name="Note 6 5 2 2" xfId="16839"/>
    <cellStyle name="Note 6 5 2 2 2" xfId="16840"/>
    <cellStyle name="Note 6 5 2 3" xfId="16841"/>
    <cellStyle name="Note 6 5 3" xfId="16842"/>
    <cellStyle name="Note 6 5 3 2" xfId="16843"/>
    <cellStyle name="Note 6 5 3 2 2" xfId="16844"/>
    <cellStyle name="Note 6 5 3 3" xfId="16845"/>
    <cellStyle name="Note 6 5 4" xfId="16846"/>
    <cellStyle name="Note 6 5 4 2" xfId="16847"/>
    <cellStyle name="Note 6 5 5" xfId="16848"/>
    <cellStyle name="Note 6 5 5 2" xfId="16849"/>
    <cellStyle name="Note 6 5 6" xfId="16850"/>
    <cellStyle name="Note 6 5 6 2" xfId="16851"/>
    <cellStyle name="Note 6 5 7" xfId="16852"/>
    <cellStyle name="Note 6 6" xfId="16853"/>
    <cellStyle name="Note 6 6 2" xfId="16854"/>
    <cellStyle name="Note 6 6 2 2" xfId="16855"/>
    <cellStyle name="Note 6 6 2 2 2" xfId="16856"/>
    <cellStyle name="Note 6 6 2 3" xfId="16857"/>
    <cellStyle name="Note 6 6 3" xfId="16858"/>
    <cellStyle name="Note 6 6 3 2" xfId="16859"/>
    <cellStyle name="Note 6 6 3 2 2" xfId="16860"/>
    <cellStyle name="Note 6 6 3 3" xfId="16861"/>
    <cellStyle name="Note 6 6 4" xfId="16862"/>
    <cellStyle name="Note 6 6 4 2" xfId="16863"/>
    <cellStyle name="Note 6 6 5" xfId="16864"/>
    <cellStyle name="Note 6 6 5 2" xfId="16865"/>
    <cellStyle name="Note 6 6 6" xfId="16866"/>
    <cellStyle name="Note 6 6 6 2" xfId="16867"/>
    <cellStyle name="Note 6 6 7" xfId="16868"/>
    <cellStyle name="Note 6 7" xfId="16869"/>
    <cellStyle name="Note 6 7 2" xfId="16870"/>
    <cellStyle name="Note 6 8" xfId="16871"/>
    <cellStyle name="Note 6 8 2" xfId="16872"/>
    <cellStyle name="Note 6 9" xfId="16873"/>
    <cellStyle name="Note 6 9 2" xfId="16874"/>
    <cellStyle name="Note 7" xfId="305"/>
    <cellStyle name="Note 7 2" xfId="16875"/>
    <cellStyle name="Note 7 2 10" xfId="16876"/>
    <cellStyle name="Note 7 2 10 2" xfId="16877"/>
    <cellStyle name="Note 7 2 10 2 2" xfId="16878"/>
    <cellStyle name="Note 7 2 10 2 2 2" xfId="16879"/>
    <cellStyle name="Note 7 2 10 2 3" xfId="16880"/>
    <cellStyle name="Note 7 2 10 3" xfId="16881"/>
    <cellStyle name="Note 7 2 10 3 2" xfId="16882"/>
    <cellStyle name="Note 7 2 10 3 2 2" xfId="16883"/>
    <cellStyle name="Note 7 2 10 3 3" xfId="16884"/>
    <cellStyle name="Note 7 2 10 4" xfId="16885"/>
    <cellStyle name="Note 7 2 10 4 2" xfId="16886"/>
    <cellStyle name="Note 7 2 10 5" xfId="16887"/>
    <cellStyle name="Note 7 2 10 5 2" xfId="16888"/>
    <cellStyle name="Note 7 2 10 6" xfId="16889"/>
    <cellStyle name="Note 7 2 10 6 2" xfId="16890"/>
    <cellStyle name="Note 7 2 10 7" xfId="16891"/>
    <cellStyle name="Note 7 2 11" xfId="16892"/>
    <cellStyle name="Note 7 2 11 2" xfId="16893"/>
    <cellStyle name="Note 7 2 11 2 2" xfId="16894"/>
    <cellStyle name="Note 7 2 11 2 2 2" xfId="16895"/>
    <cellStyle name="Note 7 2 11 2 3" xfId="16896"/>
    <cellStyle name="Note 7 2 11 3" xfId="16897"/>
    <cellStyle name="Note 7 2 11 3 2" xfId="16898"/>
    <cellStyle name="Note 7 2 11 3 2 2" xfId="16899"/>
    <cellStyle name="Note 7 2 11 3 3" xfId="16900"/>
    <cellStyle name="Note 7 2 11 4" xfId="16901"/>
    <cellStyle name="Note 7 2 11 4 2" xfId="16902"/>
    <cellStyle name="Note 7 2 11 5" xfId="16903"/>
    <cellStyle name="Note 7 2 11 5 2" xfId="16904"/>
    <cellStyle name="Note 7 2 11 6" xfId="16905"/>
    <cellStyle name="Note 7 2 11 6 2" xfId="16906"/>
    <cellStyle name="Note 7 2 11 7" xfId="16907"/>
    <cellStyle name="Note 7 2 12" xfId="16908"/>
    <cellStyle name="Note 7 2 12 2" xfId="16909"/>
    <cellStyle name="Note 7 2 13" xfId="16910"/>
    <cellStyle name="Note 7 2 13 2" xfId="16911"/>
    <cellStyle name="Note 7 2 2" xfId="16912"/>
    <cellStyle name="Note 7 2 2 2" xfId="16913"/>
    <cellStyle name="Note 7 2 2 2 2" xfId="16914"/>
    <cellStyle name="Note 7 2 2 2 2 2" xfId="16915"/>
    <cellStyle name="Note 7 2 2 2 2 2 2" xfId="16916"/>
    <cellStyle name="Note 7 2 2 2 2 2 2 2" xfId="16917"/>
    <cellStyle name="Note 7 2 2 2 2 2 3" xfId="16918"/>
    <cellStyle name="Note 7 2 2 2 2 3" xfId="16919"/>
    <cellStyle name="Note 7 2 2 2 2 3 2" xfId="16920"/>
    <cellStyle name="Note 7 2 2 2 2 3 2 2" xfId="16921"/>
    <cellStyle name="Note 7 2 2 2 2 3 3" xfId="16922"/>
    <cellStyle name="Note 7 2 2 2 2 4" xfId="16923"/>
    <cellStyle name="Note 7 2 2 2 2 4 2" xfId="16924"/>
    <cellStyle name="Note 7 2 2 2 2 5" xfId="16925"/>
    <cellStyle name="Note 7 2 2 2 2 5 2" xfId="16926"/>
    <cellStyle name="Note 7 2 2 2 2 6" xfId="16927"/>
    <cellStyle name="Note 7 2 2 2 2 6 2" xfId="16928"/>
    <cellStyle name="Note 7 2 2 2 2 7" xfId="16929"/>
    <cellStyle name="Note 7 2 2 2 3" xfId="16930"/>
    <cellStyle name="Note 7 2 2 2 3 2" xfId="16931"/>
    <cellStyle name="Note 7 2 2 2 3 2 2" xfId="16932"/>
    <cellStyle name="Note 7 2 2 2 3 2 2 2" xfId="16933"/>
    <cellStyle name="Note 7 2 2 2 3 2 3" xfId="16934"/>
    <cellStyle name="Note 7 2 2 2 3 3" xfId="16935"/>
    <cellStyle name="Note 7 2 2 2 3 3 2" xfId="16936"/>
    <cellStyle name="Note 7 2 2 2 3 3 2 2" xfId="16937"/>
    <cellStyle name="Note 7 2 2 2 3 3 3" xfId="16938"/>
    <cellStyle name="Note 7 2 2 2 3 4" xfId="16939"/>
    <cellStyle name="Note 7 2 2 2 3 4 2" xfId="16940"/>
    <cellStyle name="Note 7 2 2 2 3 5" xfId="16941"/>
    <cellStyle name="Note 7 2 2 2 3 5 2" xfId="16942"/>
    <cellStyle name="Note 7 2 2 2 3 6" xfId="16943"/>
    <cellStyle name="Note 7 2 2 2 3 6 2" xfId="16944"/>
    <cellStyle name="Note 7 2 2 2 3 7" xfId="16945"/>
    <cellStyle name="Note 7 2 2 2 4" xfId="16946"/>
    <cellStyle name="Note 7 2 2 2 4 2" xfId="16947"/>
    <cellStyle name="Note 7 2 2 2 5" xfId="16948"/>
    <cellStyle name="Note 7 2 2 2 5 2" xfId="16949"/>
    <cellStyle name="Note 7 2 2 3" xfId="16950"/>
    <cellStyle name="Note 7 2 2 3 2" xfId="16951"/>
    <cellStyle name="Note 7 2 2 3 2 2" xfId="16952"/>
    <cellStyle name="Note 7 2 2 3 2 2 2" xfId="16953"/>
    <cellStyle name="Note 7 2 2 3 2 2 2 2" xfId="16954"/>
    <cellStyle name="Note 7 2 2 3 2 2 3" xfId="16955"/>
    <cellStyle name="Note 7 2 2 3 2 3" xfId="16956"/>
    <cellStyle name="Note 7 2 2 3 2 3 2" xfId="16957"/>
    <cellStyle name="Note 7 2 2 3 2 3 2 2" xfId="16958"/>
    <cellStyle name="Note 7 2 2 3 2 3 3" xfId="16959"/>
    <cellStyle name="Note 7 2 2 3 2 4" xfId="16960"/>
    <cellStyle name="Note 7 2 2 3 2 4 2" xfId="16961"/>
    <cellStyle name="Note 7 2 2 3 2 5" xfId="16962"/>
    <cellStyle name="Note 7 2 2 3 2 5 2" xfId="16963"/>
    <cellStyle name="Note 7 2 2 3 2 6" xfId="16964"/>
    <cellStyle name="Note 7 2 2 3 2 6 2" xfId="16965"/>
    <cellStyle name="Note 7 2 2 3 2 7" xfId="16966"/>
    <cellStyle name="Note 7 2 2 3 3" xfId="16967"/>
    <cellStyle name="Note 7 2 2 3 3 2" xfId="16968"/>
    <cellStyle name="Note 7 2 2 3 3 2 2" xfId="16969"/>
    <cellStyle name="Note 7 2 2 3 3 2 2 2" xfId="16970"/>
    <cellStyle name="Note 7 2 2 3 3 2 3" xfId="16971"/>
    <cellStyle name="Note 7 2 2 3 3 3" xfId="16972"/>
    <cellStyle name="Note 7 2 2 3 3 3 2" xfId="16973"/>
    <cellStyle name="Note 7 2 2 3 3 3 2 2" xfId="16974"/>
    <cellStyle name="Note 7 2 2 3 3 3 3" xfId="16975"/>
    <cellStyle name="Note 7 2 2 3 3 4" xfId="16976"/>
    <cellStyle name="Note 7 2 2 3 3 4 2" xfId="16977"/>
    <cellStyle name="Note 7 2 2 3 3 5" xfId="16978"/>
    <cellStyle name="Note 7 2 2 3 3 5 2" xfId="16979"/>
    <cellStyle name="Note 7 2 2 3 3 6" xfId="16980"/>
    <cellStyle name="Note 7 2 2 3 3 6 2" xfId="16981"/>
    <cellStyle name="Note 7 2 2 3 3 7" xfId="16982"/>
    <cellStyle name="Note 7 2 2 3 4" xfId="16983"/>
    <cellStyle name="Note 7 2 2 3 4 2" xfId="16984"/>
    <cellStyle name="Note 7 2 2 3 5" xfId="16985"/>
    <cellStyle name="Note 7 2 2 3 5 2" xfId="16986"/>
    <cellStyle name="Note 7 2 2 4" xfId="16987"/>
    <cellStyle name="Note 7 2 2 4 2" xfId="16988"/>
    <cellStyle name="Note 7 2 2 4 2 2" xfId="16989"/>
    <cellStyle name="Note 7 2 2 4 2 2 2" xfId="16990"/>
    <cellStyle name="Note 7 2 2 4 2 3" xfId="16991"/>
    <cellStyle name="Note 7 2 2 4 3" xfId="16992"/>
    <cellStyle name="Note 7 2 2 4 3 2" xfId="16993"/>
    <cellStyle name="Note 7 2 2 4 3 2 2" xfId="16994"/>
    <cellStyle name="Note 7 2 2 4 3 3" xfId="16995"/>
    <cellStyle name="Note 7 2 2 4 4" xfId="16996"/>
    <cellStyle name="Note 7 2 2 4 4 2" xfId="16997"/>
    <cellStyle name="Note 7 2 2 4 5" xfId="16998"/>
    <cellStyle name="Note 7 2 2 4 5 2" xfId="16999"/>
    <cellStyle name="Note 7 2 2 4 6" xfId="17000"/>
    <cellStyle name="Note 7 2 2 4 6 2" xfId="17001"/>
    <cellStyle name="Note 7 2 2 4 7" xfId="17002"/>
    <cellStyle name="Note 7 2 2 5" xfId="17003"/>
    <cellStyle name="Note 7 2 2 5 2" xfId="17004"/>
    <cellStyle name="Note 7 2 2 5 2 2" xfId="17005"/>
    <cellStyle name="Note 7 2 2 5 2 2 2" xfId="17006"/>
    <cellStyle name="Note 7 2 2 5 2 3" xfId="17007"/>
    <cellStyle name="Note 7 2 2 5 3" xfId="17008"/>
    <cellStyle name="Note 7 2 2 5 3 2" xfId="17009"/>
    <cellStyle name="Note 7 2 2 5 3 2 2" xfId="17010"/>
    <cellStyle name="Note 7 2 2 5 3 3" xfId="17011"/>
    <cellStyle name="Note 7 2 2 5 4" xfId="17012"/>
    <cellStyle name="Note 7 2 2 5 4 2" xfId="17013"/>
    <cellStyle name="Note 7 2 2 5 5" xfId="17014"/>
    <cellStyle name="Note 7 2 2 5 5 2" xfId="17015"/>
    <cellStyle name="Note 7 2 2 5 6" xfId="17016"/>
    <cellStyle name="Note 7 2 2 5 6 2" xfId="17017"/>
    <cellStyle name="Note 7 2 2 5 7" xfId="17018"/>
    <cellStyle name="Note 7 2 2 6" xfId="17019"/>
    <cellStyle name="Note 7 2 2 6 2" xfId="17020"/>
    <cellStyle name="Note 7 2 2 6 2 2" xfId="17021"/>
    <cellStyle name="Note 7 2 2 6 2 2 2" xfId="17022"/>
    <cellStyle name="Note 7 2 2 6 2 3" xfId="17023"/>
    <cellStyle name="Note 7 2 2 6 3" xfId="17024"/>
    <cellStyle name="Note 7 2 2 6 3 2" xfId="17025"/>
    <cellStyle name="Note 7 2 2 6 3 2 2" xfId="17026"/>
    <cellStyle name="Note 7 2 2 6 3 3" xfId="17027"/>
    <cellStyle name="Note 7 2 2 6 4" xfId="17028"/>
    <cellStyle name="Note 7 2 2 6 4 2" xfId="17029"/>
    <cellStyle name="Note 7 2 2 6 5" xfId="17030"/>
    <cellStyle name="Note 7 2 2 6 5 2" xfId="17031"/>
    <cellStyle name="Note 7 2 2 6 6" xfId="17032"/>
    <cellStyle name="Note 7 2 2 6 6 2" xfId="17033"/>
    <cellStyle name="Note 7 2 2 6 7" xfId="17034"/>
    <cellStyle name="Note 7 2 2 7" xfId="17035"/>
    <cellStyle name="Note 7 2 2 7 2" xfId="17036"/>
    <cellStyle name="Note 7 2 2 8" xfId="17037"/>
    <cellStyle name="Note 7 2 2 8 2" xfId="17038"/>
    <cellStyle name="Note 7 2 3" xfId="17039"/>
    <cellStyle name="Note 7 2 3 2" xfId="17040"/>
    <cellStyle name="Note 7 2 3 2 2" xfId="17041"/>
    <cellStyle name="Note 7 2 3 2 2 2" xfId="17042"/>
    <cellStyle name="Note 7 2 3 2 2 2 2" xfId="17043"/>
    <cellStyle name="Note 7 2 3 2 2 2 2 2" xfId="17044"/>
    <cellStyle name="Note 7 2 3 2 2 2 3" xfId="17045"/>
    <cellStyle name="Note 7 2 3 2 2 3" xfId="17046"/>
    <cellStyle name="Note 7 2 3 2 2 3 2" xfId="17047"/>
    <cellStyle name="Note 7 2 3 2 2 3 2 2" xfId="17048"/>
    <cellStyle name="Note 7 2 3 2 2 3 3" xfId="17049"/>
    <cellStyle name="Note 7 2 3 2 2 4" xfId="17050"/>
    <cellStyle name="Note 7 2 3 2 2 4 2" xfId="17051"/>
    <cellStyle name="Note 7 2 3 2 2 5" xfId="17052"/>
    <cellStyle name="Note 7 2 3 2 2 5 2" xfId="17053"/>
    <cellStyle name="Note 7 2 3 2 2 6" xfId="17054"/>
    <cellStyle name="Note 7 2 3 2 2 6 2" xfId="17055"/>
    <cellStyle name="Note 7 2 3 2 2 7" xfId="17056"/>
    <cellStyle name="Note 7 2 3 2 3" xfId="17057"/>
    <cellStyle name="Note 7 2 3 2 3 2" xfId="17058"/>
    <cellStyle name="Note 7 2 3 2 3 2 2" xfId="17059"/>
    <cellStyle name="Note 7 2 3 2 3 2 2 2" xfId="17060"/>
    <cellStyle name="Note 7 2 3 2 3 2 3" xfId="17061"/>
    <cellStyle name="Note 7 2 3 2 3 3" xfId="17062"/>
    <cellStyle name="Note 7 2 3 2 3 3 2" xfId="17063"/>
    <cellStyle name="Note 7 2 3 2 3 3 2 2" xfId="17064"/>
    <cellStyle name="Note 7 2 3 2 3 3 3" xfId="17065"/>
    <cellStyle name="Note 7 2 3 2 3 4" xfId="17066"/>
    <cellStyle name="Note 7 2 3 2 3 4 2" xfId="17067"/>
    <cellStyle name="Note 7 2 3 2 3 5" xfId="17068"/>
    <cellStyle name="Note 7 2 3 2 3 5 2" xfId="17069"/>
    <cellStyle name="Note 7 2 3 2 3 6" xfId="17070"/>
    <cellStyle name="Note 7 2 3 2 3 6 2" xfId="17071"/>
    <cellStyle name="Note 7 2 3 2 3 7" xfId="17072"/>
    <cellStyle name="Note 7 2 3 2 4" xfId="17073"/>
    <cellStyle name="Note 7 2 3 2 4 2" xfId="17074"/>
    <cellStyle name="Note 7 2 3 2 5" xfId="17075"/>
    <cellStyle name="Note 7 2 3 2 5 2" xfId="17076"/>
    <cellStyle name="Note 7 2 3 3" xfId="17077"/>
    <cellStyle name="Note 7 2 3 3 2" xfId="17078"/>
    <cellStyle name="Note 7 2 3 3 2 2" xfId="17079"/>
    <cellStyle name="Note 7 2 3 3 2 2 2" xfId="17080"/>
    <cellStyle name="Note 7 2 3 3 2 2 2 2" xfId="17081"/>
    <cellStyle name="Note 7 2 3 3 2 2 3" xfId="17082"/>
    <cellStyle name="Note 7 2 3 3 2 3" xfId="17083"/>
    <cellStyle name="Note 7 2 3 3 2 3 2" xfId="17084"/>
    <cellStyle name="Note 7 2 3 3 2 3 2 2" xfId="17085"/>
    <cellStyle name="Note 7 2 3 3 2 3 3" xfId="17086"/>
    <cellStyle name="Note 7 2 3 3 2 4" xfId="17087"/>
    <cellStyle name="Note 7 2 3 3 2 4 2" xfId="17088"/>
    <cellStyle name="Note 7 2 3 3 2 5" xfId="17089"/>
    <cellStyle name="Note 7 2 3 3 2 5 2" xfId="17090"/>
    <cellStyle name="Note 7 2 3 3 2 6" xfId="17091"/>
    <cellStyle name="Note 7 2 3 3 2 6 2" xfId="17092"/>
    <cellStyle name="Note 7 2 3 3 2 7" xfId="17093"/>
    <cellStyle name="Note 7 2 3 3 3" xfId="17094"/>
    <cellStyle name="Note 7 2 3 3 3 2" xfId="17095"/>
    <cellStyle name="Note 7 2 3 3 3 2 2" xfId="17096"/>
    <cellStyle name="Note 7 2 3 3 3 2 2 2" xfId="17097"/>
    <cellStyle name="Note 7 2 3 3 3 2 3" xfId="17098"/>
    <cellStyle name="Note 7 2 3 3 3 3" xfId="17099"/>
    <cellStyle name="Note 7 2 3 3 3 3 2" xfId="17100"/>
    <cellStyle name="Note 7 2 3 3 3 3 2 2" xfId="17101"/>
    <cellStyle name="Note 7 2 3 3 3 3 3" xfId="17102"/>
    <cellStyle name="Note 7 2 3 3 3 4" xfId="17103"/>
    <cellStyle name="Note 7 2 3 3 3 4 2" xfId="17104"/>
    <cellStyle name="Note 7 2 3 3 3 5" xfId="17105"/>
    <cellStyle name="Note 7 2 3 3 3 5 2" xfId="17106"/>
    <cellStyle name="Note 7 2 3 3 3 6" xfId="17107"/>
    <cellStyle name="Note 7 2 3 3 3 6 2" xfId="17108"/>
    <cellStyle name="Note 7 2 3 3 3 7" xfId="17109"/>
    <cellStyle name="Note 7 2 3 3 4" xfId="17110"/>
    <cellStyle name="Note 7 2 3 3 4 2" xfId="17111"/>
    <cellStyle name="Note 7 2 3 3 5" xfId="17112"/>
    <cellStyle name="Note 7 2 3 3 5 2" xfId="17113"/>
    <cellStyle name="Note 7 2 3 4" xfId="17114"/>
    <cellStyle name="Note 7 2 3 4 2" xfId="17115"/>
    <cellStyle name="Note 7 2 3 4 2 2" xfId="17116"/>
    <cellStyle name="Note 7 2 3 4 2 2 2" xfId="17117"/>
    <cellStyle name="Note 7 2 3 4 2 3" xfId="17118"/>
    <cellStyle name="Note 7 2 3 4 3" xfId="17119"/>
    <cellStyle name="Note 7 2 3 4 3 2" xfId="17120"/>
    <cellStyle name="Note 7 2 3 4 3 2 2" xfId="17121"/>
    <cellStyle name="Note 7 2 3 4 3 3" xfId="17122"/>
    <cellStyle name="Note 7 2 3 4 4" xfId="17123"/>
    <cellStyle name="Note 7 2 3 4 4 2" xfId="17124"/>
    <cellStyle name="Note 7 2 3 4 5" xfId="17125"/>
    <cellStyle name="Note 7 2 3 4 5 2" xfId="17126"/>
    <cellStyle name="Note 7 2 3 4 6" xfId="17127"/>
    <cellStyle name="Note 7 2 3 4 6 2" xfId="17128"/>
    <cellStyle name="Note 7 2 3 4 7" xfId="17129"/>
    <cellStyle name="Note 7 2 3 5" xfId="17130"/>
    <cellStyle name="Note 7 2 3 5 2" xfId="17131"/>
    <cellStyle name="Note 7 2 3 5 2 2" xfId="17132"/>
    <cellStyle name="Note 7 2 3 5 2 2 2" xfId="17133"/>
    <cellStyle name="Note 7 2 3 5 2 3" xfId="17134"/>
    <cellStyle name="Note 7 2 3 5 3" xfId="17135"/>
    <cellStyle name="Note 7 2 3 5 3 2" xfId="17136"/>
    <cellStyle name="Note 7 2 3 5 3 2 2" xfId="17137"/>
    <cellStyle name="Note 7 2 3 5 3 3" xfId="17138"/>
    <cellStyle name="Note 7 2 3 5 4" xfId="17139"/>
    <cellStyle name="Note 7 2 3 5 4 2" xfId="17140"/>
    <cellStyle name="Note 7 2 3 5 5" xfId="17141"/>
    <cellStyle name="Note 7 2 3 5 5 2" xfId="17142"/>
    <cellStyle name="Note 7 2 3 5 6" xfId="17143"/>
    <cellStyle name="Note 7 2 3 5 6 2" xfId="17144"/>
    <cellStyle name="Note 7 2 3 5 7" xfId="17145"/>
    <cellStyle name="Note 7 2 3 6" xfId="17146"/>
    <cellStyle name="Note 7 2 3 6 2" xfId="17147"/>
    <cellStyle name="Note 7 2 3 6 2 2" xfId="17148"/>
    <cellStyle name="Note 7 2 3 6 2 2 2" xfId="17149"/>
    <cellStyle name="Note 7 2 3 6 2 3" xfId="17150"/>
    <cellStyle name="Note 7 2 3 6 3" xfId="17151"/>
    <cellStyle name="Note 7 2 3 6 3 2" xfId="17152"/>
    <cellStyle name="Note 7 2 3 6 3 2 2" xfId="17153"/>
    <cellStyle name="Note 7 2 3 6 3 3" xfId="17154"/>
    <cellStyle name="Note 7 2 3 6 4" xfId="17155"/>
    <cellStyle name="Note 7 2 3 6 4 2" xfId="17156"/>
    <cellStyle name="Note 7 2 3 6 5" xfId="17157"/>
    <cellStyle name="Note 7 2 3 6 5 2" xfId="17158"/>
    <cellStyle name="Note 7 2 3 6 6" xfId="17159"/>
    <cellStyle name="Note 7 2 3 6 6 2" xfId="17160"/>
    <cellStyle name="Note 7 2 3 6 7" xfId="17161"/>
    <cellStyle name="Note 7 2 3 7" xfId="17162"/>
    <cellStyle name="Note 7 2 3 7 2" xfId="17163"/>
    <cellStyle name="Note 7 2 3 8" xfId="17164"/>
    <cellStyle name="Note 7 2 3 8 2" xfId="17165"/>
    <cellStyle name="Note 7 2 4" xfId="17166"/>
    <cellStyle name="Note 7 2 4 2" xfId="17167"/>
    <cellStyle name="Note 7 2 4 2 2" xfId="17168"/>
    <cellStyle name="Note 7 2 4 2 2 2" xfId="17169"/>
    <cellStyle name="Note 7 2 4 2 2 2 2" xfId="17170"/>
    <cellStyle name="Note 7 2 4 2 2 2 2 2" xfId="17171"/>
    <cellStyle name="Note 7 2 4 2 2 2 3" xfId="17172"/>
    <cellStyle name="Note 7 2 4 2 2 3" xfId="17173"/>
    <cellStyle name="Note 7 2 4 2 2 3 2" xfId="17174"/>
    <cellStyle name="Note 7 2 4 2 2 3 2 2" xfId="17175"/>
    <cellStyle name="Note 7 2 4 2 2 3 3" xfId="17176"/>
    <cellStyle name="Note 7 2 4 2 2 4" xfId="17177"/>
    <cellStyle name="Note 7 2 4 2 2 4 2" xfId="17178"/>
    <cellStyle name="Note 7 2 4 2 2 5" xfId="17179"/>
    <cellStyle name="Note 7 2 4 2 2 5 2" xfId="17180"/>
    <cellStyle name="Note 7 2 4 2 2 6" xfId="17181"/>
    <cellStyle name="Note 7 2 4 2 2 6 2" xfId="17182"/>
    <cellStyle name="Note 7 2 4 2 2 7" xfId="17183"/>
    <cellStyle name="Note 7 2 4 2 3" xfId="17184"/>
    <cellStyle name="Note 7 2 4 2 3 2" xfId="17185"/>
    <cellStyle name="Note 7 2 4 2 3 2 2" xfId="17186"/>
    <cellStyle name="Note 7 2 4 2 3 2 2 2" xfId="17187"/>
    <cellStyle name="Note 7 2 4 2 3 2 3" xfId="17188"/>
    <cellStyle name="Note 7 2 4 2 3 3" xfId="17189"/>
    <cellStyle name="Note 7 2 4 2 3 3 2" xfId="17190"/>
    <cellStyle name="Note 7 2 4 2 3 3 2 2" xfId="17191"/>
    <cellStyle name="Note 7 2 4 2 3 3 3" xfId="17192"/>
    <cellStyle name="Note 7 2 4 2 3 4" xfId="17193"/>
    <cellStyle name="Note 7 2 4 2 3 4 2" xfId="17194"/>
    <cellStyle name="Note 7 2 4 2 3 5" xfId="17195"/>
    <cellStyle name="Note 7 2 4 2 3 5 2" xfId="17196"/>
    <cellStyle name="Note 7 2 4 2 3 6" xfId="17197"/>
    <cellStyle name="Note 7 2 4 2 3 6 2" xfId="17198"/>
    <cellStyle name="Note 7 2 4 2 3 7" xfId="17199"/>
    <cellStyle name="Note 7 2 4 2 4" xfId="17200"/>
    <cellStyle name="Note 7 2 4 2 4 2" xfId="17201"/>
    <cellStyle name="Note 7 2 4 2 5" xfId="17202"/>
    <cellStyle name="Note 7 2 4 2 5 2" xfId="17203"/>
    <cellStyle name="Note 7 2 4 3" xfId="17204"/>
    <cellStyle name="Note 7 2 4 3 2" xfId="17205"/>
    <cellStyle name="Note 7 2 4 3 2 2" xfId="17206"/>
    <cellStyle name="Note 7 2 4 3 2 2 2" xfId="17207"/>
    <cellStyle name="Note 7 2 4 3 2 2 2 2" xfId="17208"/>
    <cellStyle name="Note 7 2 4 3 2 2 3" xfId="17209"/>
    <cellStyle name="Note 7 2 4 3 2 3" xfId="17210"/>
    <cellStyle name="Note 7 2 4 3 2 3 2" xfId="17211"/>
    <cellStyle name="Note 7 2 4 3 2 3 2 2" xfId="17212"/>
    <cellStyle name="Note 7 2 4 3 2 3 3" xfId="17213"/>
    <cellStyle name="Note 7 2 4 3 2 4" xfId="17214"/>
    <cellStyle name="Note 7 2 4 3 2 4 2" xfId="17215"/>
    <cellStyle name="Note 7 2 4 3 2 5" xfId="17216"/>
    <cellStyle name="Note 7 2 4 3 2 5 2" xfId="17217"/>
    <cellStyle name="Note 7 2 4 3 2 6" xfId="17218"/>
    <cellStyle name="Note 7 2 4 3 2 6 2" xfId="17219"/>
    <cellStyle name="Note 7 2 4 3 2 7" xfId="17220"/>
    <cellStyle name="Note 7 2 4 3 3" xfId="17221"/>
    <cellStyle name="Note 7 2 4 3 3 2" xfId="17222"/>
    <cellStyle name="Note 7 2 4 3 3 2 2" xfId="17223"/>
    <cellStyle name="Note 7 2 4 3 3 2 2 2" xfId="17224"/>
    <cellStyle name="Note 7 2 4 3 3 2 3" xfId="17225"/>
    <cellStyle name="Note 7 2 4 3 3 3" xfId="17226"/>
    <cellStyle name="Note 7 2 4 3 3 3 2" xfId="17227"/>
    <cellStyle name="Note 7 2 4 3 3 3 2 2" xfId="17228"/>
    <cellStyle name="Note 7 2 4 3 3 3 3" xfId="17229"/>
    <cellStyle name="Note 7 2 4 3 3 4" xfId="17230"/>
    <cellStyle name="Note 7 2 4 3 3 4 2" xfId="17231"/>
    <cellStyle name="Note 7 2 4 3 3 5" xfId="17232"/>
    <cellStyle name="Note 7 2 4 3 3 5 2" xfId="17233"/>
    <cellStyle name="Note 7 2 4 3 3 6" xfId="17234"/>
    <cellStyle name="Note 7 2 4 3 3 6 2" xfId="17235"/>
    <cellStyle name="Note 7 2 4 3 3 7" xfId="17236"/>
    <cellStyle name="Note 7 2 4 3 4" xfId="17237"/>
    <cellStyle name="Note 7 2 4 3 4 2" xfId="17238"/>
    <cellStyle name="Note 7 2 4 3 5" xfId="17239"/>
    <cellStyle name="Note 7 2 4 3 5 2" xfId="17240"/>
    <cellStyle name="Note 7 2 4 4" xfId="17241"/>
    <cellStyle name="Note 7 2 4 4 2" xfId="17242"/>
    <cellStyle name="Note 7 2 4 4 2 2" xfId="17243"/>
    <cellStyle name="Note 7 2 4 4 2 2 2" xfId="17244"/>
    <cellStyle name="Note 7 2 4 4 2 3" xfId="17245"/>
    <cellStyle name="Note 7 2 4 4 3" xfId="17246"/>
    <cellStyle name="Note 7 2 4 4 3 2" xfId="17247"/>
    <cellStyle name="Note 7 2 4 4 3 2 2" xfId="17248"/>
    <cellStyle name="Note 7 2 4 4 3 3" xfId="17249"/>
    <cellStyle name="Note 7 2 4 4 4" xfId="17250"/>
    <cellStyle name="Note 7 2 4 4 4 2" xfId="17251"/>
    <cellStyle name="Note 7 2 4 4 5" xfId="17252"/>
    <cellStyle name="Note 7 2 4 4 5 2" xfId="17253"/>
    <cellStyle name="Note 7 2 4 4 6" xfId="17254"/>
    <cellStyle name="Note 7 2 4 4 6 2" xfId="17255"/>
    <cellStyle name="Note 7 2 4 4 7" xfId="17256"/>
    <cellStyle name="Note 7 2 4 5" xfId="17257"/>
    <cellStyle name="Note 7 2 4 5 2" xfId="17258"/>
    <cellStyle name="Note 7 2 4 5 2 2" xfId="17259"/>
    <cellStyle name="Note 7 2 4 5 2 2 2" xfId="17260"/>
    <cellStyle name="Note 7 2 4 5 2 3" xfId="17261"/>
    <cellStyle name="Note 7 2 4 5 3" xfId="17262"/>
    <cellStyle name="Note 7 2 4 5 3 2" xfId="17263"/>
    <cellStyle name="Note 7 2 4 5 3 2 2" xfId="17264"/>
    <cellStyle name="Note 7 2 4 5 3 3" xfId="17265"/>
    <cellStyle name="Note 7 2 4 5 4" xfId="17266"/>
    <cellStyle name="Note 7 2 4 5 4 2" xfId="17267"/>
    <cellStyle name="Note 7 2 4 5 5" xfId="17268"/>
    <cellStyle name="Note 7 2 4 5 5 2" xfId="17269"/>
    <cellStyle name="Note 7 2 4 5 6" xfId="17270"/>
    <cellStyle name="Note 7 2 4 5 6 2" xfId="17271"/>
    <cellStyle name="Note 7 2 4 5 7" xfId="17272"/>
    <cellStyle name="Note 7 2 4 6" xfId="17273"/>
    <cellStyle name="Note 7 2 4 6 2" xfId="17274"/>
    <cellStyle name="Note 7 2 4 6 2 2" xfId="17275"/>
    <cellStyle name="Note 7 2 4 6 2 2 2" xfId="17276"/>
    <cellStyle name="Note 7 2 4 6 2 3" xfId="17277"/>
    <cellStyle name="Note 7 2 4 6 3" xfId="17278"/>
    <cellStyle name="Note 7 2 4 6 3 2" xfId="17279"/>
    <cellStyle name="Note 7 2 4 6 3 2 2" xfId="17280"/>
    <cellStyle name="Note 7 2 4 6 3 3" xfId="17281"/>
    <cellStyle name="Note 7 2 4 6 4" xfId="17282"/>
    <cellStyle name="Note 7 2 4 6 4 2" xfId="17283"/>
    <cellStyle name="Note 7 2 4 6 5" xfId="17284"/>
    <cellStyle name="Note 7 2 4 6 5 2" xfId="17285"/>
    <cellStyle name="Note 7 2 4 6 6" xfId="17286"/>
    <cellStyle name="Note 7 2 4 6 6 2" xfId="17287"/>
    <cellStyle name="Note 7 2 4 6 7" xfId="17288"/>
    <cellStyle name="Note 7 2 4 7" xfId="17289"/>
    <cellStyle name="Note 7 2 4 7 2" xfId="17290"/>
    <cellStyle name="Note 7 2 4 8" xfId="17291"/>
    <cellStyle name="Note 7 2 4 8 2" xfId="17292"/>
    <cellStyle name="Note 7 2 5" xfId="17293"/>
    <cellStyle name="Note 7 2 5 2" xfId="17294"/>
    <cellStyle name="Note 7 2 5 2 2" xfId="17295"/>
    <cellStyle name="Note 7 2 5 2 2 2" xfId="17296"/>
    <cellStyle name="Note 7 2 5 2 2 2 2" xfId="17297"/>
    <cellStyle name="Note 7 2 5 2 2 2 2 2" xfId="17298"/>
    <cellStyle name="Note 7 2 5 2 2 2 3" xfId="17299"/>
    <cellStyle name="Note 7 2 5 2 2 3" xfId="17300"/>
    <cellStyle name="Note 7 2 5 2 2 3 2" xfId="17301"/>
    <cellStyle name="Note 7 2 5 2 2 3 2 2" xfId="17302"/>
    <cellStyle name="Note 7 2 5 2 2 3 3" xfId="17303"/>
    <cellStyle name="Note 7 2 5 2 2 4" xfId="17304"/>
    <cellStyle name="Note 7 2 5 2 2 4 2" xfId="17305"/>
    <cellStyle name="Note 7 2 5 2 2 5" xfId="17306"/>
    <cellStyle name="Note 7 2 5 2 2 5 2" xfId="17307"/>
    <cellStyle name="Note 7 2 5 2 2 6" xfId="17308"/>
    <cellStyle name="Note 7 2 5 2 2 6 2" xfId="17309"/>
    <cellStyle name="Note 7 2 5 2 2 7" xfId="17310"/>
    <cellStyle name="Note 7 2 5 2 3" xfId="17311"/>
    <cellStyle name="Note 7 2 5 2 3 2" xfId="17312"/>
    <cellStyle name="Note 7 2 5 2 3 2 2" xfId="17313"/>
    <cellStyle name="Note 7 2 5 2 3 2 2 2" xfId="17314"/>
    <cellStyle name="Note 7 2 5 2 3 2 3" xfId="17315"/>
    <cellStyle name="Note 7 2 5 2 3 3" xfId="17316"/>
    <cellStyle name="Note 7 2 5 2 3 3 2" xfId="17317"/>
    <cellStyle name="Note 7 2 5 2 3 3 2 2" xfId="17318"/>
    <cellStyle name="Note 7 2 5 2 3 3 3" xfId="17319"/>
    <cellStyle name="Note 7 2 5 2 3 4" xfId="17320"/>
    <cellStyle name="Note 7 2 5 2 3 4 2" xfId="17321"/>
    <cellStyle name="Note 7 2 5 2 3 5" xfId="17322"/>
    <cellStyle name="Note 7 2 5 2 3 5 2" xfId="17323"/>
    <cellStyle name="Note 7 2 5 2 3 6" xfId="17324"/>
    <cellStyle name="Note 7 2 5 2 3 6 2" xfId="17325"/>
    <cellStyle name="Note 7 2 5 2 3 7" xfId="17326"/>
    <cellStyle name="Note 7 2 5 2 4" xfId="17327"/>
    <cellStyle name="Note 7 2 5 2 4 2" xfId="17328"/>
    <cellStyle name="Note 7 2 5 2 5" xfId="17329"/>
    <cellStyle name="Note 7 2 5 2 5 2" xfId="17330"/>
    <cellStyle name="Note 7 2 5 3" xfId="17331"/>
    <cellStyle name="Note 7 2 5 3 2" xfId="17332"/>
    <cellStyle name="Note 7 2 5 3 2 2" xfId="17333"/>
    <cellStyle name="Note 7 2 5 3 2 2 2" xfId="17334"/>
    <cellStyle name="Note 7 2 5 3 2 2 2 2" xfId="17335"/>
    <cellStyle name="Note 7 2 5 3 2 2 3" xfId="17336"/>
    <cellStyle name="Note 7 2 5 3 2 3" xfId="17337"/>
    <cellStyle name="Note 7 2 5 3 2 3 2" xfId="17338"/>
    <cellStyle name="Note 7 2 5 3 2 3 2 2" xfId="17339"/>
    <cellStyle name="Note 7 2 5 3 2 3 3" xfId="17340"/>
    <cellStyle name="Note 7 2 5 3 2 4" xfId="17341"/>
    <cellStyle name="Note 7 2 5 3 2 4 2" xfId="17342"/>
    <cellStyle name="Note 7 2 5 3 2 5" xfId="17343"/>
    <cellStyle name="Note 7 2 5 3 2 5 2" xfId="17344"/>
    <cellStyle name="Note 7 2 5 3 2 6" xfId="17345"/>
    <cellStyle name="Note 7 2 5 3 2 6 2" xfId="17346"/>
    <cellStyle name="Note 7 2 5 3 2 7" xfId="17347"/>
    <cellStyle name="Note 7 2 5 3 3" xfId="17348"/>
    <cellStyle name="Note 7 2 5 3 3 2" xfId="17349"/>
    <cellStyle name="Note 7 2 5 3 3 2 2" xfId="17350"/>
    <cellStyle name="Note 7 2 5 3 3 2 2 2" xfId="17351"/>
    <cellStyle name="Note 7 2 5 3 3 2 3" xfId="17352"/>
    <cellStyle name="Note 7 2 5 3 3 3" xfId="17353"/>
    <cellStyle name="Note 7 2 5 3 3 3 2" xfId="17354"/>
    <cellStyle name="Note 7 2 5 3 3 3 2 2" xfId="17355"/>
    <cellStyle name="Note 7 2 5 3 3 3 3" xfId="17356"/>
    <cellStyle name="Note 7 2 5 3 3 4" xfId="17357"/>
    <cellStyle name="Note 7 2 5 3 3 4 2" xfId="17358"/>
    <cellStyle name="Note 7 2 5 3 3 5" xfId="17359"/>
    <cellStyle name="Note 7 2 5 3 3 5 2" xfId="17360"/>
    <cellStyle name="Note 7 2 5 3 3 6" xfId="17361"/>
    <cellStyle name="Note 7 2 5 3 3 6 2" xfId="17362"/>
    <cellStyle name="Note 7 2 5 3 3 7" xfId="17363"/>
    <cellStyle name="Note 7 2 5 3 4" xfId="17364"/>
    <cellStyle name="Note 7 2 5 3 4 2" xfId="17365"/>
    <cellStyle name="Note 7 2 5 3 5" xfId="17366"/>
    <cellStyle name="Note 7 2 5 3 5 2" xfId="17367"/>
    <cellStyle name="Note 7 2 5 4" xfId="17368"/>
    <cellStyle name="Note 7 2 5 4 2" xfId="17369"/>
    <cellStyle name="Note 7 2 5 4 2 2" xfId="17370"/>
    <cellStyle name="Note 7 2 5 4 2 2 2" xfId="17371"/>
    <cellStyle name="Note 7 2 5 4 2 3" xfId="17372"/>
    <cellStyle name="Note 7 2 5 4 3" xfId="17373"/>
    <cellStyle name="Note 7 2 5 4 3 2" xfId="17374"/>
    <cellStyle name="Note 7 2 5 4 3 2 2" xfId="17375"/>
    <cellStyle name="Note 7 2 5 4 3 3" xfId="17376"/>
    <cellStyle name="Note 7 2 5 4 4" xfId="17377"/>
    <cellStyle name="Note 7 2 5 4 4 2" xfId="17378"/>
    <cellStyle name="Note 7 2 5 4 5" xfId="17379"/>
    <cellStyle name="Note 7 2 5 4 5 2" xfId="17380"/>
    <cellStyle name="Note 7 2 5 4 6" xfId="17381"/>
    <cellStyle name="Note 7 2 5 4 6 2" xfId="17382"/>
    <cellStyle name="Note 7 2 5 4 7" xfId="17383"/>
    <cellStyle name="Note 7 2 5 5" xfId="17384"/>
    <cellStyle name="Note 7 2 5 5 2" xfId="17385"/>
    <cellStyle name="Note 7 2 5 5 2 2" xfId="17386"/>
    <cellStyle name="Note 7 2 5 5 2 2 2" xfId="17387"/>
    <cellStyle name="Note 7 2 5 5 2 3" xfId="17388"/>
    <cellStyle name="Note 7 2 5 5 3" xfId="17389"/>
    <cellStyle name="Note 7 2 5 5 3 2" xfId="17390"/>
    <cellStyle name="Note 7 2 5 5 3 2 2" xfId="17391"/>
    <cellStyle name="Note 7 2 5 5 3 3" xfId="17392"/>
    <cellStyle name="Note 7 2 5 5 4" xfId="17393"/>
    <cellStyle name="Note 7 2 5 5 4 2" xfId="17394"/>
    <cellStyle name="Note 7 2 5 5 5" xfId="17395"/>
    <cellStyle name="Note 7 2 5 5 5 2" xfId="17396"/>
    <cellStyle name="Note 7 2 5 5 6" xfId="17397"/>
    <cellStyle name="Note 7 2 5 5 6 2" xfId="17398"/>
    <cellStyle name="Note 7 2 5 5 7" xfId="17399"/>
    <cellStyle name="Note 7 2 5 6" xfId="17400"/>
    <cellStyle name="Note 7 2 5 6 2" xfId="17401"/>
    <cellStyle name="Note 7 2 5 6 2 2" xfId="17402"/>
    <cellStyle name="Note 7 2 5 6 2 2 2" xfId="17403"/>
    <cellStyle name="Note 7 2 5 6 2 3" xfId="17404"/>
    <cellStyle name="Note 7 2 5 6 3" xfId="17405"/>
    <cellStyle name="Note 7 2 5 6 3 2" xfId="17406"/>
    <cellStyle name="Note 7 2 5 6 3 2 2" xfId="17407"/>
    <cellStyle name="Note 7 2 5 6 3 3" xfId="17408"/>
    <cellStyle name="Note 7 2 5 6 4" xfId="17409"/>
    <cellStyle name="Note 7 2 5 6 4 2" xfId="17410"/>
    <cellStyle name="Note 7 2 5 6 5" xfId="17411"/>
    <cellStyle name="Note 7 2 5 6 5 2" xfId="17412"/>
    <cellStyle name="Note 7 2 5 6 6" xfId="17413"/>
    <cellStyle name="Note 7 2 5 6 6 2" xfId="17414"/>
    <cellStyle name="Note 7 2 5 6 7" xfId="17415"/>
    <cellStyle name="Note 7 2 5 7" xfId="17416"/>
    <cellStyle name="Note 7 2 5 7 2" xfId="17417"/>
    <cellStyle name="Note 7 2 5 8" xfId="17418"/>
    <cellStyle name="Note 7 2 5 8 2" xfId="17419"/>
    <cellStyle name="Note 7 2 6" xfId="17420"/>
    <cellStyle name="Note 7 2 6 2" xfId="17421"/>
    <cellStyle name="Note 7 2 6 2 2" xfId="17422"/>
    <cellStyle name="Note 7 2 6 2 2 2" xfId="17423"/>
    <cellStyle name="Note 7 2 6 2 2 2 2" xfId="17424"/>
    <cellStyle name="Note 7 2 6 2 2 2 2 2" xfId="17425"/>
    <cellStyle name="Note 7 2 6 2 2 2 3" xfId="17426"/>
    <cellStyle name="Note 7 2 6 2 2 3" xfId="17427"/>
    <cellStyle name="Note 7 2 6 2 2 3 2" xfId="17428"/>
    <cellStyle name="Note 7 2 6 2 2 3 2 2" xfId="17429"/>
    <cellStyle name="Note 7 2 6 2 2 3 3" xfId="17430"/>
    <cellStyle name="Note 7 2 6 2 2 4" xfId="17431"/>
    <cellStyle name="Note 7 2 6 2 2 4 2" xfId="17432"/>
    <cellStyle name="Note 7 2 6 2 2 5" xfId="17433"/>
    <cellStyle name="Note 7 2 6 2 2 5 2" xfId="17434"/>
    <cellStyle name="Note 7 2 6 2 2 6" xfId="17435"/>
    <cellStyle name="Note 7 2 6 2 2 6 2" xfId="17436"/>
    <cellStyle name="Note 7 2 6 2 2 7" xfId="17437"/>
    <cellStyle name="Note 7 2 6 2 3" xfId="17438"/>
    <cellStyle name="Note 7 2 6 2 3 2" xfId="17439"/>
    <cellStyle name="Note 7 2 6 2 3 2 2" xfId="17440"/>
    <cellStyle name="Note 7 2 6 2 3 2 2 2" xfId="17441"/>
    <cellStyle name="Note 7 2 6 2 3 2 3" xfId="17442"/>
    <cellStyle name="Note 7 2 6 2 3 3" xfId="17443"/>
    <cellStyle name="Note 7 2 6 2 3 3 2" xfId="17444"/>
    <cellStyle name="Note 7 2 6 2 3 3 2 2" xfId="17445"/>
    <cellStyle name="Note 7 2 6 2 3 3 3" xfId="17446"/>
    <cellStyle name="Note 7 2 6 2 3 4" xfId="17447"/>
    <cellStyle name="Note 7 2 6 2 3 4 2" xfId="17448"/>
    <cellStyle name="Note 7 2 6 2 3 5" xfId="17449"/>
    <cellStyle name="Note 7 2 6 2 3 5 2" xfId="17450"/>
    <cellStyle name="Note 7 2 6 2 3 6" xfId="17451"/>
    <cellStyle name="Note 7 2 6 2 3 6 2" xfId="17452"/>
    <cellStyle name="Note 7 2 6 2 3 7" xfId="17453"/>
    <cellStyle name="Note 7 2 6 2 4" xfId="17454"/>
    <cellStyle name="Note 7 2 6 2 4 2" xfId="17455"/>
    <cellStyle name="Note 7 2 6 2 5" xfId="17456"/>
    <cellStyle name="Note 7 2 6 2 5 2" xfId="17457"/>
    <cellStyle name="Note 7 2 6 3" xfId="17458"/>
    <cellStyle name="Note 7 2 6 3 2" xfId="17459"/>
    <cellStyle name="Note 7 2 6 3 2 2" xfId="17460"/>
    <cellStyle name="Note 7 2 6 3 2 2 2" xfId="17461"/>
    <cellStyle name="Note 7 2 6 3 2 2 2 2" xfId="17462"/>
    <cellStyle name="Note 7 2 6 3 2 2 3" xfId="17463"/>
    <cellStyle name="Note 7 2 6 3 2 3" xfId="17464"/>
    <cellStyle name="Note 7 2 6 3 2 3 2" xfId="17465"/>
    <cellStyle name="Note 7 2 6 3 2 3 2 2" xfId="17466"/>
    <cellStyle name="Note 7 2 6 3 2 3 3" xfId="17467"/>
    <cellStyle name="Note 7 2 6 3 2 4" xfId="17468"/>
    <cellStyle name="Note 7 2 6 3 2 4 2" xfId="17469"/>
    <cellStyle name="Note 7 2 6 3 2 5" xfId="17470"/>
    <cellStyle name="Note 7 2 6 3 2 5 2" xfId="17471"/>
    <cellStyle name="Note 7 2 6 3 2 6" xfId="17472"/>
    <cellStyle name="Note 7 2 6 3 2 6 2" xfId="17473"/>
    <cellStyle name="Note 7 2 6 3 2 7" xfId="17474"/>
    <cellStyle name="Note 7 2 6 3 3" xfId="17475"/>
    <cellStyle name="Note 7 2 6 3 3 2" xfId="17476"/>
    <cellStyle name="Note 7 2 6 3 3 2 2" xfId="17477"/>
    <cellStyle name="Note 7 2 6 3 3 2 2 2" xfId="17478"/>
    <cellStyle name="Note 7 2 6 3 3 2 3" xfId="17479"/>
    <cellStyle name="Note 7 2 6 3 3 3" xfId="17480"/>
    <cellStyle name="Note 7 2 6 3 3 3 2" xfId="17481"/>
    <cellStyle name="Note 7 2 6 3 3 3 2 2" xfId="17482"/>
    <cellStyle name="Note 7 2 6 3 3 3 3" xfId="17483"/>
    <cellStyle name="Note 7 2 6 3 3 4" xfId="17484"/>
    <cellStyle name="Note 7 2 6 3 3 4 2" xfId="17485"/>
    <cellStyle name="Note 7 2 6 3 3 5" xfId="17486"/>
    <cellStyle name="Note 7 2 6 3 3 5 2" xfId="17487"/>
    <cellStyle name="Note 7 2 6 3 3 6" xfId="17488"/>
    <cellStyle name="Note 7 2 6 3 3 6 2" xfId="17489"/>
    <cellStyle name="Note 7 2 6 3 3 7" xfId="17490"/>
    <cellStyle name="Note 7 2 6 3 4" xfId="17491"/>
    <cellStyle name="Note 7 2 6 3 4 2" xfId="17492"/>
    <cellStyle name="Note 7 2 6 3 5" xfId="17493"/>
    <cellStyle name="Note 7 2 6 3 5 2" xfId="17494"/>
    <cellStyle name="Note 7 2 6 4" xfId="17495"/>
    <cellStyle name="Note 7 2 6 4 2" xfId="17496"/>
    <cellStyle name="Note 7 2 6 4 2 2" xfId="17497"/>
    <cellStyle name="Note 7 2 6 4 2 2 2" xfId="17498"/>
    <cellStyle name="Note 7 2 6 4 2 3" xfId="17499"/>
    <cellStyle name="Note 7 2 6 4 3" xfId="17500"/>
    <cellStyle name="Note 7 2 6 4 3 2" xfId="17501"/>
    <cellStyle name="Note 7 2 6 4 3 2 2" xfId="17502"/>
    <cellStyle name="Note 7 2 6 4 3 3" xfId="17503"/>
    <cellStyle name="Note 7 2 6 4 4" xfId="17504"/>
    <cellStyle name="Note 7 2 6 4 4 2" xfId="17505"/>
    <cellStyle name="Note 7 2 6 4 5" xfId="17506"/>
    <cellStyle name="Note 7 2 6 4 5 2" xfId="17507"/>
    <cellStyle name="Note 7 2 6 4 6" xfId="17508"/>
    <cellStyle name="Note 7 2 6 4 6 2" xfId="17509"/>
    <cellStyle name="Note 7 2 6 4 7" xfId="17510"/>
    <cellStyle name="Note 7 2 6 5" xfId="17511"/>
    <cellStyle name="Note 7 2 6 5 2" xfId="17512"/>
    <cellStyle name="Note 7 2 6 5 2 2" xfId="17513"/>
    <cellStyle name="Note 7 2 6 5 2 2 2" xfId="17514"/>
    <cellStyle name="Note 7 2 6 5 2 3" xfId="17515"/>
    <cellStyle name="Note 7 2 6 5 3" xfId="17516"/>
    <cellStyle name="Note 7 2 6 5 3 2" xfId="17517"/>
    <cellStyle name="Note 7 2 6 5 3 2 2" xfId="17518"/>
    <cellStyle name="Note 7 2 6 5 3 3" xfId="17519"/>
    <cellStyle name="Note 7 2 6 5 4" xfId="17520"/>
    <cellStyle name="Note 7 2 6 5 4 2" xfId="17521"/>
    <cellStyle name="Note 7 2 6 5 5" xfId="17522"/>
    <cellStyle name="Note 7 2 6 5 5 2" xfId="17523"/>
    <cellStyle name="Note 7 2 6 5 6" xfId="17524"/>
    <cellStyle name="Note 7 2 6 5 6 2" xfId="17525"/>
    <cellStyle name="Note 7 2 6 5 7" xfId="17526"/>
    <cellStyle name="Note 7 2 6 6" xfId="17527"/>
    <cellStyle name="Note 7 2 6 6 2" xfId="17528"/>
    <cellStyle name="Note 7 2 6 6 2 2" xfId="17529"/>
    <cellStyle name="Note 7 2 6 6 2 2 2" xfId="17530"/>
    <cellStyle name="Note 7 2 6 6 2 3" xfId="17531"/>
    <cellStyle name="Note 7 2 6 6 3" xfId="17532"/>
    <cellStyle name="Note 7 2 6 6 3 2" xfId="17533"/>
    <cellStyle name="Note 7 2 6 6 3 2 2" xfId="17534"/>
    <cellStyle name="Note 7 2 6 6 3 3" xfId="17535"/>
    <cellStyle name="Note 7 2 6 6 4" xfId="17536"/>
    <cellStyle name="Note 7 2 6 6 4 2" xfId="17537"/>
    <cellStyle name="Note 7 2 6 6 5" xfId="17538"/>
    <cellStyle name="Note 7 2 6 6 5 2" xfId="17539"/>
    <cellStyle name="Note 7 2 6 6 6" xfId="17540"/>
    <cellStyle name="Note 7 2 6 6 6 2" xfId="17541"/>
    <cellStyle name="Note 7 2 6 6 7" xfId="17542"/>
    <cellStyle name="Note 7 2 6 7" xfId="17543"/>
    <cellStyle name="Note 7 2 6 7 2" xfId="17544"/>
    <cellStyle name="Note 7 2 6 8" xfId="17545"/>
    <cellStyle name="Note 7 2 6 8 2" xfId="17546"/>
    <cellStyle name="Note 7 2 7" xfId="17547"/>
    <cellStyle name="Note 7 2 7 2" xfId="17548"/>
    <cellStyle name="Note 7 2 7 2 2" xfId="17549"/>
    <cellStyle name="Note 7 2 7 2 2 2" xfId="17550"/>
    <cellStyle name="Note 7 2 7 2 2 2 2" xfId="17551"/>
    <cellStyle name="Note 7 2 7 2 2 2 2 2" xfId="17552"/>
    <cellStyle name="Note 7 2 7 2 2 2 3" xfId="17553"/>
    <cellStyle name="Note 7 2 7 2 2 3" xfId="17554"/>
    <cellStyle name="Note 7 2 7 2 2 3 2" xfId="17555"/>
    <cellStyle name="Note 7 2 7 2 2 3 2 2" xfId="17556"/>
    <cellStyle name="Note 7 2 7 2 2 3 3" xfId="17557"/>
    <cellStyle name="Note 7 2 7 2 2 4" xfId="17558"/>
    <cellStyle name="Note 7 2 7 2 2 4 2" xfId="17559"/>
    <cellStyle name="Note 7 2 7 2 2 5" xfId="17560"/>
    <cellStyle name="Note 7 2 7 2 2 5 2" xfId="17561"/>
    <cellStyle name="Note 7 2 7 2 2 6" xfId="17562"/>
    <cellStyle name="Note 7 2 7 2 2 6 2" xfId="17563"/>
    <cellStyle name="Note 7 2 7 2 2 7" xfId="17564"/>
    <cellStyle name="Note 7 2 7 2 3" xfId="17565"/>
    <cellStyle name="Note 7 2 7 2 3 2" xfId="17566"/>
    <cellStyle name="Note 7 2 7 2 3 2 2" xfId="17567"/>
    <cellStyle name="Note 7 2 7 2 3 2 2 2" xfId="17568"/>
    <cellStyle name="Note 7 2 7 2 3 2 3" xfId="17569"/>
    <cellStyle name="Note 7 2 7 2 3 3" xfId="17570"/>
    <cellStyle name="Note 7 2 7 2 3 3 2" xfId="17571"/>
    <cellStyle name="Note 7 2 7 2 3 3 2 2" xfId="17572"/>
    <cellStyle name="Note 7 2 7 2 3 3 3" xfId="17573"/>
    <cellStyle name="Note 7 2 7 2 3 4" xfId="17574"/>
    <cellStyle name="Note 7 2 7 2 3 4 2" xfId="17575"/>
    <cellStyle name="Note 7 2 7 2 3 5" xfId="17576"/>
    <cellStyle name="Note 7 2 7 2 3 5 2" xfId="17577"/>
    <cellStyle name="Note 7 2 7 2 3 6" xfId="17578"/>
    <cellStyle name="Note 7 2 7 2 3 6 2" xfId="17579"/>
    <cellStyle name="Note 7 2 7 2 3 7" xfId="17580"/>
    <cellStyle name="Note 7 2 7 2 4" xfId="17581"/>
    <cellStyle name="Note 7 2 7 2 4 2" xfId="17582"/>
    <cellStyle name="Note 7 2 7 2 5" xfId="17583"/>
    <cellStyle name="Note 7 2 7 2 5 2" xfId="17584"/>
    <cellStyle name="Note 7 2 7 3" xfId="17585"/>
    <cellStyle name="Note 7 2 7 3 2" xfId="17586"/>
    <cellStyle name="Note 7 2 7 3 2 2" xfId="17587"/>
    <cellStyle name="Note 7 2 7 3 2 2 2" xfId="17588"/>
    <cellStyle name="Note 7 2 7 3 2 2 2 2" xfId="17589"/>
    <cellStyle name="Note 7 2 7 3 2 2 3" xfId="17590"/>
    <cellStyle name="Note 7 2 7 3 2 3" xfId="17591"/>
    <cellStyle name="Note 7 2 7 3 2 3 2" xfId="17592"/>
    <cellStyle name="Note 7 2 7 3 2 3 2 2" xfId="17593"/>
    <cellStyle name="Note 7 2 7 3 2 3 3" xfId="17594"/>
    <cellStyle name="Note 7 2 7 3 2 4" xfId="17595"/>
    <cellStyle name="Note 7 2 7 3 2 4 2" xfId="17596"/>
    <cellStyle name="Note 7 2 7 3 2 5" xfId="17597"/>
    <cellStyle name="Note 7 2 7 3 2 5 2" xfId="17598"/>
    <cellStyle name="Note 7 2 7 3 2 6" xfId="17599"/>
    <cellStyle name="Note 7 2 7 3 2 6 2" xfId="17600"/>
    <cellStyle name="Note 7 2 7 3 2 7" xfId="17601"/>
    <cellStyle name="Note 7 2 7 3 3" xfId="17602"/>
    <cellStyle name="Note 7 2 7 3 3 2" xfId="17603"/>
    <cellStyle name="Note 7 2 7 3 3 2 2" xfId="17604"/>
    <cellStyle name="Note 7 2 7 3 3 2 2 2" xfId="17605"/>
    <cellStyle name="Note 7 2 7 3 3 2 3" xfId="17606"/>
    <cellStyle name="Note 7 2 7 3 3 3" xfId="17607"/>
    <cellStyle name="Note 7 2 7 3 3 3 2" xfId="17608"/>
    <cellStyle name="Note 7 2 7 3 3 3 2 2" xfId="17609"/>
    <cellStyle name="Note 7 2 7 3 3 3 3" xfId="17610"/>
    <cellStyle name="Note 7 2 7 3 3 4" xfId="17611"/>
    <cellStyle name="Note 7 2 7 3 3 4 2" xfId="17612"/>
    <cellStyle name="Note 7 2 7 3 3 5" xfId="17613"/>
    <cellStyle name="Note 7 2 7 3 3 5 2" xfId="17614"/>
    <cellStyle name="Note 7 2 7 3 3 6" xfId="17615"/>
    <cellStyle name="Note 7 2 7 3 3 6 2" xfId="17616"/>
    <cellStyle name="Note 7 2 7 3 3 7" xfId="17617"/>
    <cellStyle name="Note 7 2 7 3 4" xfId="17618"/>
    <cellStyle name="Note 7 2 7 3 4 2" xfId="17619"/>
    <cellStyle name="Note 7 2 7 3 5" xfId="17620"/>
    <cellStyle name="Note 7 2 7 3 5 2" xfId="17621"/>
    <cellStyle name="Note 7 2 7 4" xfId="17622"/>
    <cellStyle name="Note 7 2 7 4 2" xfId="17623"/>
    <cellStyle name="Note 7 2 7 4 2 2" xfId="17624"/>
    <cellStyle name="Note 7 2 7 4 2 2 2" xfId="17625"/>
    <cellStyle name="Note 7 2 7 4 2 3" xfId="17626"/>
    <cellStyle name="Note 7 2 7 4 3" xfId="17627"/>
    <cellStyle name="Note 7 2 7 4 3 2" xfId="17628"/>
    <cellStyle name="Note 7 2 7 4 3 2 2" xfId="17629"/>
    <cellStyle name="Note 7 2 7 4 3 3" xfId="17630"/>
    <cellStyle name="Note 7 2 7 4 4" xfId="17631"/>
    <cellStyle name="Note 7 2 7 4 4 2" xfId="17632"/>
    <cellStyle name="Note 7 2 7 4 5" xfId="17633"/>
    <cellStyle name="Note 7 2 7 4 5 2" xfId="17634"/>
    <cellStyle name="Note 7 2 7 4 6" xfId="17635"/>
    <cellStyle name="Note 7 2 7 4 6 2" xfId="17636"/>
    <cellStyle name="Note 7 2 7 4 7" xfId="17637"/>
    <cellStyle name="Note 7 2 7 5" xfId="17638"/>
    <cellStyle name="Note 7 2 7 5 2" xfId="17639"/>
    <cellStyle name="Note 7 2 7 5 2 2" xfId="17640"/>
    <cellStyle name="Note 7 2 7 5 2 2 2" xfId="17641"/>
    <cellStyle name="Note 7 2 7 5 2 3" xfId="17642"/>
    <cellStyle name="Note 7 2 7 5 3" xfId="17643"/>
    <cellStyle name="Note 7 2 7 5 3 2" xfId="17644"/>
    <cellStyle name="Note 7 2 7 5 3 2 2" xfId="17645"/>
    <cellStyle name="Note 7 2 7 5 3 3" xfId="17646"/>
    <cellStyle name="Note 7 2 7 5 4" xfId="17647"/>
    <cellStyle name="Note 7 2 7 5 4 2" xfId="17648"/>
    <cellStyle name="Note 7 2 7 5 5" xfId="17649"/>
    <cellStyle name="Note 7 2 7 5 5 2" xfId="17650"/>
    <cellStyle name="Note 7 2 7 5 6" xfId="17651"/>
    <cellStyle name="Note 7 2 7 5 6 2" xfId="17652"/>
    <cellStyle name="Note 7 2 7 5 7" xfId="17653"/>
    <cellStyle name="Note 7 2 7 6" xfId="17654"/>
    <cellStyle name="Note 7 2 7 6 2" xfId="17655"/>
    <cellStyle name="Note 7 2 7 7" xfId="17656"/>
    <cellStyle name="Note 7 2 7 7 2" xfId="17657"/>
    <cellStyle name="Note 7 2 8" xfId="17658"/>
    <cellStyle name="Note 7 2 8 2" xfId="17659"/>
    <cellStyle name="Note 7 2 8 2 2" xfId="17660"/>
    <cellStyle name="Note 7 2 8 2 2 2" xfId="17661"/>
    <cellStyle name="Note 7 2 8 2 2 2 2" xfId="17662"/>
    <cellStyle name="Note 7 2 8 2 2 3" xfId="17663"/>
    <cellStyle name="Note 7 2 8 2 3" xfId="17664"/>
    <cellStyle name="Note 7 2 8 2 3 2" xfId="17665"/>
    <cellStyle name="Note 7 2 8 2 3 2 2" xfId="17666"/>
    <cellStyle name="Note 7 2 8 2 3 3" xfId="17667"/>
    <cellStyle name="Note 7 2 8 2 4" xfId="17668"/>
    <cellStyle name="Note 7 2 8 2 4 2" xfId="17669"/>
    <cellStyle name="Note 7 2 8 2 5" xfId="17670"/>
    <cellStyle name="Note 7 2 8 2 5 2" xfId="17671"/>
    <cellStyle name="Note 7 2 8 2 6" xfId="17672"/>
    <cellStyle name="Note 7 2 8 2 6 2" xfId="17673"/>
    <cellStyle name="Note 7 2 8 2 7" xfId="17674"/>
    <cellStyle name="Note 7 2 8 3" xfId="17675"/>
    <cellStyle name="Note 7 2 8 3 2" xfId="17676"/>
    <cellStyle name="Note 7 2 8 3 2 2" xfId="17677"/>
    <cellStyle name="Note 7 2 8 3 2 2 2" xfId="17678"/>
    <cellStyle name="Note 7 2 8 3 2 3" xfId="17679"/>
    <cellStyle name="Note 7 2 8 3 3" xfId="17680"/>
    <cellStyle name="Note 7 2 8 3 3 2" xfId="17681"/>
    <cellStyle name="Note 7 2 8 3 3 2 2" xfId="17682"/>
    <cellStyle name="Note 7 2 8 3 3 3" xfId="17683"/>
    <cellStyle name="Note 7 2 8 3 4" xfId="17684"/>
    <cellStyle name="Note 7 2 8 3 4 2" xfId="17685"/>
    <cellStyle name="Note 7 2 8 3 5" xfId="17686"/>
    <cellStyle name="Note 7 2 8 3 5 2" xfId="17687"/>
    <cellStyle name="Note 7 2 8 3 6" xfId="17688"/>
    <cellStyle name="Note 7 2 8 3 6 2" xfId="17689"/>
    <cellStyle name="Note 7 2 8 3 7" xfId="17690"/>
    <cellStyle name="Note 7 2 8 4" xfId="17691"/>
    <cellStyle name="Note 7 2 8 4 2" xfId="17692"/>
    <cellStyle name="Note 7 2 8 5" xfId="17693"/>
    <cellStyle name="Note 7 2 8 5 2" xfId="17694"/>
    <cellStyle name="Note 7 2 9" xfId="17695"/>
    <cellStyle name="Note 7 2 9 2" xfId="17696"/>
    <cellStyle name="Note 7 2 9 2 2" xfId="17697"/>
    <cellStyle name="Note 7 2 9 2 2 2" xfId="17698"/>
    <cellStyle name="Note 7 2 9 2 2 2 2" xfId="17699"/>
    <cellStyle name="Note 7 2 9 2 2 3" xfId="17700"/>
    <cellStyle name="Note 7 2 9 2 3" xfId="17701"/>
    <cellStyle name="Note 7 2 9 2 3 2" xfId="17702"/>
    <cellStyle name="Note 7 2 9 2 3 2 2" xfId="17703"/>
    <cellStyle name="Note 7 2 9 2 3 3" xfId="17704"/>
    <cellStyle name="Note 7 2 9 2 4" xfId="17705"/>
    <cellStyle name="Note 7 2 9 2 4 2" xfId="17706"/>
    <cellStyle name="Note 7 2 9 2 5" xfId="17707"/>
    <cellStyle name="Note 7 2 9 2 5 2" xfId="17708"/>
    <cellStyle name="Note 7 2 9 2 6" xfId="17709"/>
    <cellStyle name="Note 7 2 9 2 6 2" xfId="17710"/>
    <cellStyle name="Note 7 2 9 2 7" xfId="17711"/>
    <cellStyle name="Note 7 2 9 3" xfId="17712"/>
    <cellStyle name="Note 7 2 9 3 2" xfId="17713"/>
    <cellStyle name="Note 7 2 9 3 2 2" xfId="17714"/>
    <cellStyle name="Note 7 2 9 3 2 2 2" xfId="17715"/>
    <cellStyle name="Note 7 2 9 3 2 3" xfId="17716"/>
    <cellStyle name="Note 7 2 9 3 3" xfId="17717"/>
    <cellStyle name="Note 7 2 9 3 3 2" xfId="17718"/>
    <cellStyle name="Note 7 2 9 3 3 2 2" xfId="17719"/>
    <cellStyle name="Note 7 2 9 3 3 3" xfId="17720"/>
    <cellStyle name="Note 7 2 9 3 4" xfId="17721"/>
    <cellStyle name="Note 7 2 9 3 4 2" xfId="17722"/>
    <cellStyle name="Note 7 2 9 3 5" xfId="17723"/>
    <cellStyle name="Note 7 2 9 3 5 2" xfId="17724"/>
    <cellStyle name="Note 7 2 9 3 6" xfId="17725"/>
    <cellStyle name="Note 7 2 9 3 6 2" xfId="17726"/>
    <cellStyle name="Note 7 2 9 3 7" xfId="17727"/>
    <cellStyle name="Note 7 2 9 4" xfId="17728"/>
    <cellStyle name="Note 7 2 9 4 2" xfId="17729"/>
    <cellStyle name="Note 7 2 9 5" xfId="17730"/>
    <cellStyle name="Note 7 2 9 5 2" xfId="17731"/>
    <cellStyle name="Note 7 3" xfId="17732"/>
    <cellStyle name="Note 7 3 2" xfId="17733"/>
    <cellStyle name="Note 7 3 2 2" xfId="17734"/>
    <cellStyle name="Note 7 3 2 2 2" xfId="17735"/>
    <cellStyle name="Note 7 3 2 2 2 2" xfId="17736"/>
    <cellStyle name="Note 7 3 2 2 3" xfId="17737"/>
    <cellStyle name="Note 7 3 2 3" xfId="17738"/>
    <cellStyle name="Note 7 3 2 3 2" xfId="17739"/>
    <cellStyle name="Note 7 3 2 3 2 2" xfId="17740"/>
    <cellStyle name="Note 7 3 2 3 3" xfId="17741"/>
    <cellStyle name="Note 7 3 2 4" xfId="17742"/>
    <cellStyle name="Note 7 3 2 4 2" xfId="17743"/>
    <cellStyle name="Note 7 3 2 5" xfId="17744"/>
    <cellStyle name="Note 7 3 2 5 2" xfId="17745"/>
    <cellStyle name="Note 7 3 2 6" xfId="17746"/>
    <cellStyle name="Note 7 3 2 6 2" xfId="17747"/>
    <cellStyle name="Note 7 3 2 7" xfId="17748"/>
    <cellStyle name="Note 7 3 3" xfId="17749"/>
    <cellStyle name="Note 7 3 3 2" xfId="17750"/>
    <cellStyle name="Note 7 3 3 2 2" xfId="17751"/>
    <cellStyle name="Note 7 3 3 2 2 2" xfId="17752"/>
    <cellStyle name="Note 7 3 3 2 3" xfId="17753"/>
    <cellStyle name="Note 7 3 3 3" xfId="17754"/>
    <cellStyle name="Note 7 3 3 3 2" xfId="17755"/>
    <cellStyle name="Note 7 3 3 3 2 2" xfId="17756"/>
    <cellStyle name="Note 7 3 3 3 3" xfId="17757"/>
    <cellStyle name="Note 7 3 3 4" xfId="17758"/>
    <cellStyle name="Note 7 3 3 4 2" xfId="17759"/>
    <cellStyle name="Note 7 3 3 5" xfId="17760"/>
    <cellStyle name="Note 7 3 3 5 2" xfId="17761"/>
    <cellStyle name="Note 7 3 3 6" xfId="17762"/>
    <cellStyle name="Note 7 3 3 6 2" xfId="17763"/>
    <cellStyle name="Note 7 3 3 7" xfId="17764"/>
    <cellStyle name="Note 7 3 4" xfId="17765"/>
    <cellStyle name="Note 7 3 4 2" xfId="17766"/>
    <cellStyle name="Note 7 3 5" xfId="17767"/>
    <cellStyle name="Note 7 3 5 2" xfId="17768"/>
    <cellStyle name="Note 7 4" xfId="17769"/>
    <cellStyle name="Note 7 4 2" xfId="17770"/>
    <cellStyle name="Note 7 4 2 2" xfId="17771"/>
    <cellStyle name="Note 7 4 2 2 2" xfId="17772"/>
    <cellStyle name="Note 7 4 2 2 2 2" xfId="17773"/>
    <cellStyle name="Note 7 4 2 2 3" xfId="17774"/>
    <cellStyle name="Note 7 4 2 3" xfId="17775"/>
    <cellStyle name="Note 7 4 2 3 2" xfId="17776"/>
    <cellStyle name="Note 7 4 2 3 2 2" xfId="17777"/>
    <cellStyle name="Note 7 4 2 3 3" xfId="17778"/>
    <cellStyle name="Note 7 4 2 4" xfId="17779"/>
    <cellStyle name="Note 7 4 2 4 2" xfId="17780"/>
    <cellStyle name="Note 7 4 2 5" xfId="17781"/>
    <cellStyle name="Note 7 4 2 5 2" xfId="17782"/>
    <cellStyle name="Note 7 4 2 6" xfId="17783"/>
    <cellStyle name="Note 7 4 2 6 2" xfId="17784"/>
    <cellStyle name="Note 7 4 2 7" xfId="17785"/>
    <cellStyle name="Note 7 4 3" xfId="17786"/>
    <cellStyle name="Note 7 4 3 2" xfId="17787"/>
    <cellStyle name="Note 7 4 3 2 2" xfId="17788"/>
    <cellStyle name="Note 7 4 3 2 2 2" xfId="17789"/>
    <cellStyle name="Note 7 4 3 2 3" xfId="17790"/>
    <cellStyle name="Note 7 4 3 3" xfId="17791"/>
    <cellStyle name="Note 7 4 3 3 2" xfId="17792"/>
    <cellStyle name="Note 7 4 3 3 2 2" xfId="17793"/>
    <cellStyle name="Note 7 4 3 3 3" xfId="17794"/>
    <cellStyle name="Note 7 4 3 4" xfId="17795"/>
    <cellStyle name="Note 7 4 3 4 2" xfId="17796"/>
    <cellStyle name="Note 7 4 3 5" xfId="17797"/>
    <cellStyle name="Note 7 4 3 5 2" xfId="17798"/>
    <cellStyle name="Note 7 4 3 6" xfId="17799"/>
    <cellStyle name="Note 7 4 3 6 2" xfId="17800"/>
    <cellStyle name="Note 7 4 3 7" xfId="17801"/>
    <cellStyle name="Note 7 4 4" xfId="17802"/>
    <cellStyle name="Note 7 4 4 2" xfId="17803"/>
    <cellStyle name="Note 7 4 5" xfId="17804"/>
    <cellStyle name="Note 7 4 5 2" xfId="17805"/>
    <cellStyle name="Note 7 5" xfId="17806"/>
    <cellStyle name="Note 7 5 2" xfId="17807"/>
    <cellStyle name="Note 7 5 2 2" xfId="17808"/>
    <cellStyle name="Note 7 5 2 2 2" xfId="17809"/>
    <cellStyle name="Note 7 5 2 3" xfId="17810"/>
    <cellStyle name="Note 7 5 3" xfId="17811"/>
    <cellStyle name="Note 7 5 3 2" xfId="17812"/>
    <cellStyle name="Note 7 5 3 2 2" xfId="17813"/>
    <cellStyle name="Note 7 5 3 3" xfId="17814"/>
    <cellStyle name="Note 7 5 4" xfId="17815"/>
    <cellStyle name="Note 7 5 4 2" xfId="17816"/>
    <cellStyle name="Note 7 5 5" xfId="17817"/>
    <cellStyle name="Note 7 5 5 2" xfId="17818"/>
    <cellStyle name="Note 7 5 6" xfId="17819"/>
    <cellStyle name="Note 7 5 6 2" xfId="17820"/>
    <cellStyle name="Note 7 5 7" xfId="17821"/>
    <cellStyle name="Note 7 6" xfId="17822"/>
    <cellStyle name="Note 7 6 2" xfId="17823"/>
    <cellStyle name="Note 7 6 2 2" xfId="17824"/>
    <cellStyle name="Note 7 6 2 2 2" xfId="17825"/>
    <cellStyle name="Note 7 6 2 3" xfId="17826"/>
    <cellStyle name="Note 7 6 3" xfId="17827"/>
    <cellStyle name="Note 7 6 3 2" xfId="17828"/>
    <cellStyle name="Note 7 6 3 2 2" xfId="17829"/>
    <cellStyle name="Note 7 6 3 3" xfId="17830"/>
    <cellStyle name="Note 7 6 4" xfId="17831"/>
    <cellStyle name="Note 7 6 4 2" xfId="17832"/>
    <cellStyle name="Note 7 6 5" xfId="17833"/>
    <cellStyle name="Note 7 6 5 2" xfId="17834"/>
    <cellStyle name="Note 7 6 6" xfId="17835"/>
    <cellStyle name="Note 7 6 6 2" xfId="17836"/>
    <cellStyle name="Note 7 6 7" xfId="17837"/>
    <cellStyle name="Note 7 7" xfId="17838"/>
    <cellStyle name="Note 7 7 2" xfId="17839"/>
    <cellStyle name="Note 7 8" xfId="17840"/>
    <cellStyle name="Note 7 8 2" xfId="17841"/>
    <cellStyle name="Note 7 9" xfId="17842"/>
    <cellStyle name="Note 7 9 2" xfId="17843"/>
    <cellStyle name="Note 8" xfId="306"/>
    <cellStyle name="Note 8 2" xfId="17844"/>
    <cellStyle name="Note 8 2 10" xfId="17845"/>
    <cellStyle name="Note 8 2 10 2" xfId="17846"/>
    <cellStyle name="Note 8 2 10 2 2" xfId="17847"/>
    <cellStyle name="Note 8 2 10 2 2 2" xfId="17848"/>
    <cellStyle name="Note 8 2 10 2 3" xfId="17849"/>
    <cellStyle name="Note 8 2 10 3" xfId="17850"/>
    <cellStyle name="Note 8 2 10 3 2" xfId="17851"/>
    <cellStyle name="Note 8 2 10 3 2 2" xfId="17852"/>
    <cellStyle name="Note 8 2 10 3 3" xfId="17853"/>
    <cellStyle name="Note 8 2 10 4" xfId="17854"/>
    <cellStyle name="Note 8 2 10 4 2" xfId="17855"/>
    <cellStyle name="Note 8 2 10 5" xfId="17856"/>
    <cellStyle name="Note 8 2 10 5 2" xfId="17857"/>
    <cellStyle name="Note 8 2 10 6" xfId="17858"/>
    <cellStyle name="Note 8 2 10 6 2" xfId="17859"/>
    <cellStyle name="Note 8 2 10 7" xfId="17860"/>
    <cellStyle name="Note 8 2 11" xfId="17861"/>
    <cellStyle name="Note 8 2 11 2" xfId="17862"/>
    <cellStyle name="Note 8 2 11 2 2" xfId="17863"/>
    <cellStyle name="Note 8 2 11 2 2 2" xfId="17864"/>
    <cellStyle name="Note 8 2 11 2 3" xfId="17865"/>
    <cellStyle name="Note 8 2 11 3" xfId="17866"/>
    <cellStyle name="Note 8 2 11 3 2" xfId="17867"/>
    <cellStyle name="Note 8 2 11 3 2 2" xfId="17868"/>
    <cellStyle name="Note 8 2 11 3 3" xfId="17869"/>
    <cellStyle name="Note 8 2 11 4" xfId="17870"/>
    <cellStyle name="Note 8 2 11 4 2" xfId="17871"/>
    <cellStyle name="Note 8 2 11 5" xfId="17872"/>
    <cellStyle name="Note 8 2 11 5 2" xfId="17873"/>
    <cellStyle name="Note 8 2 11 6" xfId="17874"/>
    <cellStyle name="Note 8 2 11 6 2" xfId="17875"/>
    <cellStyle name="Note 8 2 11 7" xfId="17876"/>
    <cellStyle name="Note 8 2 12" xfId="17877"/>
    <cellStyle name="Note 8 2 12 2" xfId="17878"/>
    <cellStyle name="Note 8 2 13" xfId="17879"/>
    <cellStyle name="Note 8 2 13 2" xfId="17880"/>
    <cellStyle name="Note 8 2 2" xfId="17881"/>
    <cellStyle name="Note 8 2 2 2" xfId="17882"/>
    <cellStyle name="Note 8 2 2 2 2" xfId="17883"/>
    <cellStyle name="Note 8 2 2 2 2 2" xfId="17884"/>
    <cellStyle name="Note 8 2 2 2 2 2 2" xfId="17885"/>
    <cellStyle name="Note 8 2 2 2 2 2 2 2" xfId="17886"/>
    <cellStyle name="Note 8 2 2 2 2 2 3" xfId="17887"/>
    <cellStyle name="Note 8 2 2 2 2 3" xfId="17888"/>
    <cellStyle name="Note 8 2 2 2 2 3 2" xfId="17889"/>
    <cellStyle name="Note 8 2 2 2 2 3 2 2" xfId="17890"/>
    <cellStyle name="Note 8 2 2 2 2 3 3" xfId="17891"/>
    <cellStyle name="Note 8 2 2 2 2 4" xfId="17892"/>
    <cellStyle name="Note 8 2 2 2 2 4 2" xfId="17893"/>
    <cellStyle name="Note 8 2 2 2 2 5" xfId="17894"/>
    <cellStyle name="Note 8 2 2 2 2 5 2" xfId="17895"/>
    <cellStyle name="Note 8 2 2 2 2 6" xfId="17896"/>
    <cellStyle name="Note 8 2 2 2 2 6 2" xfId="17897"/>
    <cellStyle name="Note 8 2 2 2 2 7" xfId="17898"/>
    <cellStyle name="Note 8 2 2 2 3" xfId="17899"/>
    <cellStyle name="Note 8 2 2 2 3 2" xfId="17900"/>
    <cellStyle name="Note 8 2 2 2 3 2 2" xfId="17901"/>
    <cellStyle name="Note 8 2 2 2 3 2 2 2" xfId="17902"/>
    <cellStyle name="Note 8 2 2 2 3 2 3" xfId="17903"/>
    <cellStyle name="Note 8 2 2 2 3 3" xfId="17904"/>
    <cellStyle name="Note 8 2 2 2 3 3 2" xfId="17905"/>
    <cellStyle name="Note 8 2 2 2 3 3 2 2" xfId="17906"/>
    <cellStyle name="Note 8 2 2 2 3 3 3" xfId="17907"/>
    <cellStyle name="Note 8 2 2 2 3 4" xfId="17908"/>
    <cellStyle name="Note 8 2 2 2 3 4 2" xfId="17909"/>
    <cellStyle name="Note 8 2 2 2 3 5" xfId="17910"/>
    <cellStyle name="Note 8 2 2 2 3 5 2" xfId="17911"/>
    <cellStyle name="Note 8 2 2 2 3 6" xfId="17912"/>
    <cellStyle name="Note 8 2 2 2 3 6 2" xfId="17913"/>
    <cellStyle name="Note 8 2 2 2 3 7" xfId="17914"/>
    <cellStyle name="Note 8 2 2 2 4" xfId="17915"/>
    <cellStyle name="Note 8 2 2 2 4 2" xfId="17916"/>
    <cellStyle name="Note 8 2 2 2 5" xfId="17917"/>
    <cellStyle name="Note 8 2 2 2 5 2" xfId="17918"/>
    <cellStyle name="Note 8 2 2 3" xfId="17919"/>
    <cellStyle name="Note 8 2 2 3 2" xfId="17920"/>
    <cellStyle name="Note 8 2 2 3 2 2" xfId="17921"/>
    <cellStyle name="Note 8 2 2 3 2 2 2" xfId="17922"/>
    <cellStyle name="Note 8 2 2 3 2 2 2 2" xfId="17923"/>
    <cellStyle name="Note 8 2 2 3 2 2 3" xfId="17924"/>
    <cellStyle name="Note 8 2 2 3 2 3" xfId="17925"/>
    <cellStyle name="Note 8 2 2 3 2 3 2" xfId="17926"/>
    <cellStyle name="Note 8 2 2 3 2 3 2 2" xfId="17927"/>
    <cellStyle name="Note 8 2 2 3 2 3 3" xfId="17928"/>
    <cellStyle name="Note 8 2 2 3 2 4" xfId="17929"/>
    <cellStyle name="Note 8 2 2 3 2 4 2" xfId="17930"/>
    <cellStyle name="Note 8 2 2 3 2 5" xfId="17931"/>
    <cellStyle name="Note 8 2 2 3 2 5 2" xfId="17932"/>
    <cellStyle name="Note 8 2 2 3 2 6" xfId="17933"/>
    <cellStyle name="Note 8 2 2 3 2 6 2" xfId="17934"/>
    <cellStyle name="Note 8 2 2 3 2 7" xfId="17935"/>
    <cellStyle name="Note 8 2 2 3 3" xfId="17936"/>
    <cellStyle name="Note 8 2 2 3 3 2" xfId="17937"/>
    <cellStyle name="Note 8 2 2 3 3 2 2" xfId="17938"/>
    <cellStyle name="Note 8 2 2 3 3 2 2 2" xfId="17939"/>
    <cellStyle name="Note 8 2 2 3 3 2 3" xfId="17940"/>
    <cellStyle name="Note 8 2 2 3 3 3" xfId="17941"/>
    <cellStyle name="Note 8 2 2 3 3 3 2" xfId="17942"/>
    <cellStyle name="Note 8 2 2 3 3 3 2 2" xfId="17943"/>
    <cellStyle name="Note 8 2 2 3 3 3 3" xfId="17944"/>
    <cellStyle name="Note 8 2 2 3 3 4" xfId="17945"/>
    <cellStyle name="Note 8 2 2 3 3 4 2" xfId="17946"/>
    <cellStyle name="Note 8 2 2 3 3 5" xfId="17947"/>
    <cellStyle name="Note 8 2 2 3 3 5 2" xfId="17948"/>
    <cellStyle name="Note 8 2 2 3 3 6" xfId="17949"/>
    <cellStyle name="Note 8 2 2 3 3 6 2" xfId="17950"/>
    <cellStyle name="Note 8 2 2 3 3 7" xfId="17951"/>
    <cellStyle name="Note 8 2 2 3 4" xfId="17952"/>
    <cellStyle name="Note 8 2 2 3 4 2" xfId="17953"/>
    <cellStyle name="Note 8 2 2 3 5" xfId="17954"/>
    <cellStyle name="Note 8 2 2 3 5 2" xfId="17955"/>
    <cellStyle name="Note 8 2 2 4" xfId="17956"/>
    <cellStyle name="Note 8 2 2 4 2" xfId="17957"/>
    <cellStyle name="Note 8 2 2 4 2 2" xfId="17958"/>
    <cellStyle name="Note 8 2 2 4 2 2 2" xfId="17959"/>
    <cellStyle name="Note 8 2 2 4 2 3" xfId="17960"/>
    <cellStyle name="Note 8 2 2 4 3" xfId="17961"/>
    <cellStyle name="Note 8 2 2 4 3 2" xfId="17962"/>
    <cellStyle name="Note 8 2 2 4 3 2 2" xfId="17963"/>
    <cellStyle name="Note 8 2 2 4 3 3" xfId="17964"/>
    <cellStyle name="Note 8 2 2 4 4" xfId="17965"/>
    <cellStyle name="Note 8 2 2 4 4 2" xfId="17966"/>
    <cellStyle name="Note 8 2 2 4 5" xfId="17967"/>
    <cellStyle name="Note 8 2 2 4 5 2" xfId="17968"/>
    <cellStyle name="Note 8 2 2 4 6" xfId="17969"/>
    <cellStyle name="Note 8 2 2 4 6 2" xfId="17970"/>
    <cellStyle name="Note 8 2 2 4 7" xfId="17971"/>
    <cellStyle name="Note 8 2 2 5" xfId="17972"/>
    <cellStyle name="Note 8 2 2 5 2" xfId="17973"/>
    <cellStyle name="Note 8 2 2 5 2 2" xfId="17974"/>
    <cellStyle name="Note 8 2 2 5 2 2 2" xfId="17975"/>
    <cellStyle name="Note 8 2 2 5 2 3" xfId="17976"/>
    <cellStyle name="Note 8 2 2 5 3" xfId="17977"/>
    <cellStyle name="Note 8 2 2 5 3 2" xfId="17978"/>
    <cellStyle name="Note 8 2 2 5 3 2 2" xfId="17979"/>
    <cellStyle name="Note 8 2 2 5 3 3" xfId="17980"/>
    <cellStyle name="Note 8 2 2 5 4" xfId="17981"/>
    <cellStyle name="Note 8 2 2 5 4 2" xfId="17982"/>
    <cellStyle name="Note 8 2 2 5 5" xfId="17983"/>
    <cellStyle name="Note 8 2 2 5 5 2" xfId="17984"/>
    <cellStyle name="Note 8 2 2 5 6" xfId="17985"/>
    <cellStyle name="Note 8 2 2 5 6 2" xfId="17986"/>
    <cellStyle name="Note 8 2 2 5 7" xfId="17987"/>
    <cellStyle name="Note 8 2 2 6" xfId="17988"/>
    <cellStyle name="Note 8 2 2 6 2" xfId="17989"/>
    <cellStyle name="Note 8 2 2 6 2 2" xfId="17990"/>
    <cellStyle name="Note 8 2 2 6 2 2 2" xfId="17991"/>
    <cellStyle name="Note 8 2 2 6 2 3" xfId="17992"/>
    <cellStyle name="Note 8 2 2 6 3" xfId="17993"/>
    <cellStyle name="Note 8 2 2 6 3 2" xfId="17994"/>
    <cellStyle name="Note 8 2 2 6 3 2 2" xfId="17995"/>
    <cellStyle name="Note 8 2 2 6 3 3" xfId="17996"/>
    <cellStyle name="Note 8 2 2 6 4" xfId="17997"/>
    <cellStyle name="Note 8 2 2 6 4 2" xfId="17998"/>
    <cellStyle name="Note 8 2 2 6 5" xfId="17999"/>
    <cellStyle name="Note 8 2 2 6 5 2" xfId="18000"/>
    <cellStyle name="Note 8 2 2 6 6" xfId="18001"/>
    <cellStyle name="Note 8 2 2 6 6 2" xfId="18002"/>
    <cellStyle name="Note 8 2 2 6 7" xfId="18003"/>
    <cellStyle name="Note 8 2 2 7" xfId="18004"/>
    <cellStyle name="Note 8 2 2 7 2" xfId="18005"/>
    <cellStyle name="Note 8 2 2 8" xfId="18006"/>
    <cellStyle name="Note 8 2 2 8 2" xfId="18007"/>
    <cellStyle name="Note 8 2 3" xfId="18008"/>
    <cellStyle name="Note 8 2 3 2" xfId="18009"/>
    <cellStyle name="Note 8 2 3 2 2" xfId="18010"/>
    <cellStyle name="Note 8 2 3 2 2 2" xfId="18011"/>
    <cellStyle name="Note 8 2 3 2 2 2 2" xfId="18012"/>
    <cellStyle name="Note 8 2 3 2 2 2 2 2" xfId="18013"/>
    <cellStyle name="Note 8 2 3 2 2 2 3" xfId="18014"/>
    <cellStyle name="Note 8 2 3 2 2 3" xfId="18015"/>
    <cellStyle name="Note 8 2 3 2 2 3 2" xfId="18016"/>
    <cellStyle name="Note 8 2 3 2 2 3 2 2" xfId="18017"/>
    <cellStyle name="Note 8 2 3 2 2 3 3" xfId="18018"/>
    <cellStyle name="Note 8 2 3 2 2 4" xfId="18019"/>
    <cellStyle name="Note 8 2 3 2 2 4 2" xfId="18020"/>
    <cellStyle name="Note 8 2 3 2 2 5" xfId="18021"/>
    <cellStyle name="Note 8 2 3 2 2 5 2" xfId="18022"/>
    <cellStyle name="Note 8 2 3 2 2 6" xfId="18023"/>
    <cellStyle name="Note 8 2 3 2 2 6 2" xfId="18024"/>
    <cellStyle name="Note 8 2 3 2 2 7" xfId="18025"/>
    <cellStyle name="Note 8 2 3 2 3" xfId="18026"/>
    <cellStyle name="Note 8 2 3 2 3 2" xfId="18027"/>
    <cellStyle name="Note 8 2 3 2 3 2 2" xfId="18028"/>
    <cellStyle name="Note 8 2 3 2 3 2 2 2" xfId="18029"/>
    <cellStyle name="Note 8 2 3 2 3 2 3" xfId="18030"/>
    <cellStyle name="Note 8 2 3 2 3 3" xfId="18031"/>
    <cellStyle name="Note 8 2 3 2 3 3 2" xfId="18032"/>
    <cellStyle name="Note 8 2 3 2 3 3 2 2" xfId="18033"/>
    <cellStyle name="Note 8 2 3 2 3 3 3" xfId="18034"/>
    <cellStyle name="Note 8 2 3 2 3 4" xfId="18035"/>
    <cellStyle name="Note 8 2 3 2 3 4 2" xfId="18036"/>
    <cellStyle name="Note 8 2 3 2 3 5" xfId="18037"/>
    <cellStyle name="Note 8 2 3 2 3 5 2" xfId="18038"/>
    <cellStyle name="Note 8 2 3 2 3 6" xfId="18039"/>
    <cellStyle name="Note 8 2 3 2 3 6 2" xfId="18040"/>
    <cellStyle name="Note 8 2 3 2 3 7" xfId="18041"/>
    <cellStyle name="Note 8 2 3 2 4" xfId="18042"/>
    <cellStyle name="Note 8 2 3 2 4 2" xfId="18043"/>
    <cellStyle name="Note 8 2 3 2 5" xfId="18044"/>
    <cellStyle name="Note 8 2 3 2 5 2" xfId="18045"/>
    <cellStyle name="Note 8 2 3 3" xfId="18046"/>
    <cellStyle name="Note 8 2 3 3 2" xfId="18047"/>
    <cellStyle name="Note 8 2 3 3 2 2" xfId="18048"/>
    <cellStyle name="Note 8 2 3 3 2 2 2" xfId="18049"/>
    <cellStyle name="Note 8 2 3 3 2 2 2 2" xfId="18050"/>
    <cellStyle name="Note 8 2 3 3 2 2 3" xfId="18051"/>
    <cellStyle name="Note 8 2 3 3 2 3" xfId="18052"/>
    <cellStyle name="Note 8 2 3 3 2 3 2" xfId="18053"/>
    <cellStyle name="Note 8 2 3 3 2 3 2 2" xfId="18054"/>
    <cellStyle name="Note 8 2 3 3 2 3 3" xfId="18055"/>
    <cellStyle name="Note 8 2 3 3 2 4" xfId="18056"/>
    <cellStyle name="Note 8 2 3 3 2 4 2" xfId="18057"/>
    <cellStyle name="Note 8 2 3 3 2 5" xfId="18058"/>
    <cellStyle name="Note 8 2 3 3 2 5 2" xfId="18059"/>
    <cellStyle name="Note 8 2 3 3 2 6" xfId="18060"/>
    <cellStyle name="Note 8 2 3 3 2 6 2" xfId="18061"/>
    <cellStyle name="Note 8 2 3 3 2 7" xfId="18062"/>
    <cellStyle name="Note 8 2 3 3 3" xfId="18063"/>
    <cellStyle name="Note 8 2 3 3 3 2" xfId="18064"/>
    <cellStyle name="Note 8 2 3 3 3 2 2" xfId="18065"/>
    <cellStyle name="Note 8 2 3 3 3 2 2 2" xfId="18066"/>
    <cellStyle name="Note 8 2 3 3 3 2 3" xfId="18067"/>
    <cellStyle name="Note 8 2 3 3 3 3" xfId="18068"/>
    <cellStyle name="Note 8 2 3 3 3 3 2" xfId="18069"/>
    <cellStyle name="Note 8 2 3 3 3 3 2 2" xfId="18070"/>
    <cellStyle name="Note 8 2 3 3 3 3 3" xfId="18071"/>
    <cellStyle name="Note 8 2 3 3 3 4" xfId="18072"/>
    <cellStyle name="Note 8 2 3 3 3 4 2" xfId="18073"/>
    <cellStyle name="Note 8 2 3 3 3 5" xfId="18074"/>
    <cellStyle name="Note 8 2 3 3 3 5 2" xfId="18075"/>
    <cellStyle name="Note 8 2 3 3 3 6" xfId="18076"/>
    <cellStyle name="Note 8 2 3 3 3 6 2" xfId="18077"/>
    <cellStyle name="Note 8 2 3 3 3 7" xfId="18078"/>
    <cellStyle name="Note 8 2 3 3 4" xfId="18079"/>
    <cellStyle name="Note 8 2 3 3 4 2" xfId="18080"/>
    <cellStyle name="Note 8 2 3 3 5" xfId="18081"/>
    <cellStyle name="Note 8 2 3 3 5 2" xfId="18082"/>
    <cellStyle name="Note 8 2 3 4" xfId="18083"/>
    <cellStyle name="Note 8 2 3 4 2" xfId="18084"/>
    <cellStyle name="Note 8 2 3 4 2 2" xfId="18085"/>
    <cellStyle name="Note 8 2 3 4 2 2 2" xfId="18086"/>
    <cellStyle name="Note 8 2 3 4 2 3" xfId="18087"/>
    <cellStyle name="Note 8 2 3 4 3" xfId="18088"/>
    <cellStyle name="Note 8 2 3 4 3 2" xfId="18089"/>
    <cellStyle name="Note 8 2 3 4 3 2 2" xfId="18090"/>
    <cellStyle name="Note 8 2 3 4 3 3" xfId="18091"/>
    <cellStyle name="Note 8 2 3 4 4" xfId="18092"/>
    <cellStyle name="Note 8 2 3 4 4 2" xfId="18093"/>
    <cellStyle name="Note 8 2 3 4 5" xfId="18094"/>
    <cellStyle name="Note 8 2 3 4 5 2" xfId="18095"/>
    <cellStyle name="Note 8 2 3 4 6" xfId="18096"/>
    <cellStyle name="Note 8 2 3 4 6 2" xfId="18097"/>
    <cellStyle name="Note 8 2 3 4 7" xfId="18098"/>
    <cellStyle name="Note 8 2 3 5" xfId="18099"/>
    <cellStyle name="Note 8 2 3 5 2" xfId="18100"/>
    <cellStyle name="Note 8 2 3 5 2 2" xfId="18101"/>
    <cellStyle name="Note 8 2 3 5 2 2 2" xfId="18102"/>
    <cellStyle name="Note 8 2 3 5 2 3" xfId="18103"/>
    <cellStyle name="Note 8 2 3 5 3" xfId="18104"/>
    <cellStyle name="Note 8 2 3 5 3 2" xfId="18105"/>
    <cellStyle name="Note 8 2 3 5 3 2 2" xfId="18106"/>
    <cellStyle name="Note 8 2 3 5 3 3" xfId="18107"/>
    <cellStyle name="Note 8 2 3 5 4" xfId="18108"/>
    <cellStyle name="Note 8 2 3 5 4 2" xfId="18109"/>
    <cellStyle name="Note 8 2 3 5 5" xfId="18110"/>
    <cellStyle name="Note 8 2 3 5 5 2" xfId="18111"/>
    <cellStyle name="Note 8 2 3 5 6" xfId="18112"/>
    <cellStyle name="Note 8 2 3 5 6 2" xfId="18113"/>
    <cellStyle name="Note 8 2 3 5 7" xfId="18114"/>
    <cellStyle name="Note 8 2 3 6" xfId="18115"/>
    <cellStyle name="Note 8 2 3 6 2" xfId="18116"/>
    <cellStyle name="Note 8 2 3 6 2 2" xfId="18117"/>
    <cellStyle name="Note 8 2 3 6 2 2 2" xfId="18118"/>
    <cellStyle name="Note 8 2 3 6 2 3" xfId="18119"/>
    <cellStyle name="Note 8 2 3 6 3" xfId="18120"/>
    <cellStyle name="Note 8 2 3 6 3 2" xfId="18121"/>
    <cellStyle name="Note 8 2 3 6 3 2 2" xfId="18122"/>
    <cellStyle name="Note 8 2 3 6 3 3" xfId="18123"/>
    <cellStyle name="Note 8 2 3 6 4" xfId="18124"/>
    <cellStyle name="Note 8 2 3 6 4 2" xfId="18125"/>
    <cellStyle name="Note 8 2 3 6 5" xfId="18126"/>
    <cellStyle name="Note 8 2 3 6 5 2" xfId="18127"/>
    <cellStyle name="Note 8 2 3 6 6" xfId="18128"/>
    <cellStyle name="Note 8 2 3 6 6 2" xfId="18129"/>
    <cellStyle name="Note 8 2 3 6 7" xfId="18130"/>
    <cellStyle name="Note 8 2 3 7" xfId="18131"/>
    <cellStyle name="Note 8 2 3 7 2" xfId="18132"/>
    <cellStyle name="Note 8 2 3 8" xfId="18133"/>
    <cellStyle name="Note 8 2 3 8 2" xfId="18134"/>
    <cellStyle name="Note 8 2 4" xfId="18135"/>
    <cellStyle name="Note 8 2 4 2" xfId="18136"/>
    <cellStyle name="Note 8 2 4 2 2" xfId="18137"/>
    <cellStyle name="Note 8 2 4 2 2 2" xfId="18138"/>
    <cellStyle name="Note 8 2 4 2 2 2 2" xfId="18139"/>
    <cellStyle name="Note 8 2 4 2 2 2 2 2" xfId="18140"/>
    <cellStyle name="Note 8 2 4 2 2 2 3" xfId="18141"/>
    <cellStyle name="Note 8 2 4 2 2 3" xfId="18142"/>
    <cellStyle name="Note 8 2 4 2 2 3 2" xfId="18143"/>
    <cellStyle name="Note 8 2 4 2 2 3 2 2" xfId="18144"/>
    <cellStyle name="Note 8 2 4 2 2 3 3" xfId="18145"/>
    <cellStyle name="Note 8 2 4 2 2 4" xfId="18146"/>
    <cellStyle name="Note 8 2 4 2 2 4 2" xfId="18147"/>
    <cellStyle name="Note 8 2 4 2 2 5" xfId="18148"/>
    <cellStyle name="Note 8 2 4 2 2 5 2" xfId="18149"/>
    <cellStyle name="Note 8 2 4 2 2 6" xfId="18150"/>
    <cellStyle name="Note 8 2 4 2 2 6 2" xfId="18151"/>
    <cellStyle name="Note 8 2 4 2 2 7" xfId="18152"/>
    <cellStyle name="Note 8 2 4 2 3" xfId="18153"/>
    <cellStyle name="Note 8 2 4 2 3 2" xfId="18154"/>
    <cellStyle name="Note 8 2 4 2 3 2 2" xfId="18155"/>
    <cellStyle name="Note 8 2 4 2 3 2 2 2" xfId="18156"/>
    <cellStyle name="Note 8 2 4 2 3 2 3" xfId="18157"/>
    <cellStyle name="Note 8 2 4 2 3 3" xfId="18158"/>
    <cellStyle name="Note 8 2 4 2 3 3 2" xfId="18159"/>
    <cellStyle name="Note 8 2 4 2 3 3 2 2" xfId="18160"/>
    <cellStyle name="Note 8 2 4 2 3 3 3" xfId="18161"/>
    <cellStyle name="Note 8 2 4 2 3 4" xfId="18162"/>
    <cellStyle name="Note 8 2 4 2 3 4 2" xfId="18163"/>
    <cellStyle name="Note 8 2 4 2 3 5" xfId="18164"/>
    <cellStyle name="Note 8 2 4 2 3 5 2" xfId="18165"/>
    <cellStyle name="Note 8 2 4 2 3 6" xfId="18166"/>
    <cellStyle name="Note 8 2 4 2 3 6 2" xfId="18167"/>
    <cellStyle name="Note 8 2 4 2 3 7" xfId="18168"/>
    <cellStyle name="Note 8 2 4 2 4" xfId="18169"/>
    <cellStyle name="Note 8 2 4 2 4 2" xfId="18170"/>
    <cellStyle name="Note 8 2 4 2 5" xfId="18171"/>
    <cellStyle name="Note 8 2 4 2 5 2" xfId="18172"/>
    <cellStyle name="Note 8 2 4 3" xfId="18173"/>
    <cellStyle name="Note 8 2 4 3 2" xfId="18174"/>
    <cellStyle name="Note 8 2 4 3 2 2" xfId="18175"/>
    <cellStyle name="Note 8 2 4 3 2 2 2" xfId="18176"/>
    <cellStyle name="Note 8 2 4 3 2 2 2 2" xfId="18177"/>
    <cellStyle name="Note 8 2 4 3 2 2 3" xfId="18178"/>
    <cellStyle name="Note 8 2 4 3 2 3" xfId="18179"/>
    <cellStyle name="Note 8 2 4 3 2 3 2" xfId="18180"/>
    <cellStyle name="Note 8 2 4 3 2 3 2 2" xfId="18181"/>
    <cellStyle name="Note 8 2 4 3 2 3 3" xfId="18182"/>
    <cellStyle name="Note 8 2 4 3 2 4" xfId="18183"/>
    <cellStyle name="Note 8 2 4 3 2 4 2" xfId="18184"/>
    <cellStyle name="Note 8 2 4 3 2 5" xfId="18185"/>
    <cellStyle name="Note 8 2 4 3 2 5 2" xfId="18186"/>
    <cellStyle name="Note 8 2 4 3 2 6" xfId="18187"/>
    <cellStyle name="Note 8 2 4 3 2 6 2" xfId="18188"/>
    <cellStyle name="Note 8 2 4 3 2 7" xfId="18189"/>
    <cellStyle name="Note 8 2 4 3 3" xfId="18190"/>
    <cellStyle name="Note 8 2 4 3 3 2" xfId="18191"/>
    <cellStyle name="Note 8 2 4 3 3 2 2" xfId="18192"/>
    <cellStyle name="Note 8 2 4 3 3 2 2 2" xfId="18193"/>
    <cellStyle name="Note 8 2 4 3 3 2 3" xfId="18194"/>
    <cellStyle name="Note 8 2 4 3 3 3" xfId="18195"/>
    <cellStyle name="Note 8 2 4 3 3 3 2" xfId="18196"/>
    <cellStyle name="Note 8 2 4 3 3 3 2 2" xfId="18197"/>
    <cellStyle name="Note 8 2 4 3 3 3 3" xfId="18198"/>
    <cellStyle name="Note 8 2 4 3 3 4" xfId="18199"/>
    <cellStyle name="Note 8 2 4 3 3 4 2" xfId="18200"/>
    <cellStyle name="Note 8 2 4 3 3 5" xfId="18201"/>
    <cellStyle name="Note 8 2 4 3 3 5 2" xfId="18202"/>
    <cellStyle name="Note 8 2 4 3 3 6" xfId="18203"/>
    <cellStyle name="Note 8 2 4 3 3 6 2" xfId="18204"/>
    <cellStyle name="Note 8 2 4 3 3 7" xfId="18205"/>
    <cellStyle name="Note 8 2 4 3 4" xfId="18206"/>
    <cellStyle name="Note 8 2 4 3 4 2" xfId="18207"/>
    <cellStyle name="Note 8 2 4 3 5" xfId="18208"/>
    <cellStyle name="Note 8 2 4 3 5 2" xfId="18209"/>
    <cellStyle name="Note 8 2 4 4" xfId="18210"/>
    <cellStyle name="Note 8 2 4 4 2" xfId="18211"/>
    <cellStyle name="Note 8 2 4 4 2 2" xfId="18212"/>
    <cellStyle name="Note 8 2 4 4 2 2 2" xfId="18213"/>
    <cellStyle name="Note 8 2 4 4 2 3" xfId="18214"/>
    <cellStyle name="Note 8 2 4 4 3" xfId="18215"/>
    <cellStyle name="Note 8 2 4 4 3 2" xfId="18216"/>
    <cellStyle name="Note 8 2 4 4 3 2 2" xfId="18217"/>
    <cellStyle name="Note 8 2 4 4 3 3" xfId="18218"/>
    <cellStyle name="Note 8 2 4 4 4" xfId="18219"/>
    <cellStyle name="Note 8 2 4 4 4 2" xfId="18220"/>
    <cellStyle name="Note 8 2 4 4 5" xfId="18221"/>
    <cellStyle name="Note 8 2 4 4 5 2" xfId="18222"/>
    <cellStyle name="Note 8 2 4 4 6" xfId="18223"/>
    <cellStyle name="Note 8 2 4 4 6 2" xfId="18224"/>
    <cellStyle name="Note 8 2 4 4 7" xfId="18225"/>
    <cellStyle name="Note 8 2 4 5" xfId="18226"/>
    <cellStyle name="Note 8 2 4 5 2" xfId="18227"/>
    <cellStyle name="Note 8 2 4 5 2 2" xfId="18228"/>
    <cellStyle name="Note 8 2 4 5 2 2 2" xfId="18229"/>
    <cellStyle name="Note 8 2 4 5 2 3" xfId="18230"/>
    <cellStyle name="Note 8 2 4 5 3" xfId="18231"/>
    <cellStyle name="Note 8 2 4 5 3 2" xfId="18232"/>
    <cellStyle name="Note 8 2 4 5 3 2 2" xfId="18233"/>
    <cellStyle name="Note 8 2 4 5 3 3" xfId="18234"/>
    <cellStyle name="Note 8 2 4 5 4" xfId="18235"/>
    <cellStyle name="Note 8 2 4 5 4 2" xfId="18236"/>
    <cellStyle name="Note 8 2 4 5 5" xfId="18237"/>
    <cellStyle name="Note 8 2 4 5 5 2" xfId="18238"/>
    <cellStyle name="Note 8 2 4 5 6" xfId="18239"/>
    <cellStyle name="Note 8 2 4 5 6 2" xfId="18240"/>
    <cellStyle name="Note 8 2 4 5 7" xfId="18241"/>
    <cellStyle name="Note 8 2 4 6" xfId="18242"/>
    <cellStyle name="Note 8 2 4 6 2" xfId="18243"/>
    <cellStyle name="Note 8 2 4 6 2 2" xfId="18244"/>
    <cellStyle name="Note 8 2 4 6 2 2 2" xfId="18245"/>
    <cellStyle name="Note 8 2 4 6 2 3" xfId="18246"/>
    <cellStyle name="Note 8 2 4 6 3" xfId="18247"/>
    <cellStyle name="Note 8 2 4 6 3 2" xfId="18248"/>
    <cellStyle name="Note 8 2 4 6 3 2 2" xfId="18249"/>
    <cellStyle name="Note 8 2 4 6 3 3" xfId="18250"/>
    <cellStyle name="Note 8 2 4 6 4" xfId="18251"/>
    <cellStyle name="Note 8 2 4 6 4 2" xfId="18252"/>
    <cellStyle name="Note 8 2 4 6 5" xfId="18253"/>
    <cellStyle name="Note 8 2 4 6 5 2" xfId="18254"/>
    <cellStyle name="Note 8 2 4 6 6" xfId="18255"/>
    <cellStyle name="Note 8 2 4 6 6 2" xfId="18256"/>
    <cellStyle name="Note 8 2 4 6 7" xfId="18257"/>
    <cellStyle name="Note 8 2 4 7" xfId="18258"/>
    <cellStyle name="Note 8 2 4 7 2" xfId="18259"/>
    <cellStyle name="Note 8 2 4 8" xfId="18260"/>
    <cellStyle name="Note 8 2 4 8 2" xfId="18261"/>
    <cellStyle name="Note 8 2 5" xfId="18262"/>
    <cellStyle name="Note 8 2 5 2" xfId="18263"/>
    <cellStyle name="Note 8 2 5 2 2" xfId="18264"/>
    <cellStyle name="Note 8 2 5 2 2 2" xfId="18265"/>
    <cellStyle name="Note 8 2 5 2 2 2 2" xfId="18266"/>
    <cellStyle name="Note 8 2 5 2 2 2 2 2" xfId="18267"/>
    <cellStyle name="Note 8 2 5 2 2 2 3" xfId="18268"/>
    <cellStyle name="Note 8 2 5 2 2 3" xfId="18269"/>
    <cellStyle name="Note 8 2 5 2 2 3 2" xfId="18270"/>
    <cellStyle name="Note 8 2 5 2 2 3 2 2" xfId="18271"/>
    <cellStyle name="Note 8 2 5 2 2 3 3" xfId="18272"/>
    <cellStyle name="Note 8 2 5 2 2 4" xfId="18273"/>
    <cellStyle name="Note 8 2 5 2 2 4 2" xfId="18274"/>
    <cellStyle name="Note 8 2 5 2 2 5" xfId="18275"/>
    <cellStyle name="Note 8 2 5 2 2 5 2" xfId="18276"/>
    <cellStyle name="Note 8 2 5 2 2 6" xfId="18277"/>
    <cellStyle name="Note 8 2 5 2 2 6 2" xfId="18278"/>
    <cellStyle name="Note 8 2 5 2 2 7" xfId="18279"/>
    <cellStyle name="Note 8 2 5 2 3" xfId="18280"/>
    <cellStyle name="Note 8 2 5 2 3 2" xfId="18281"/>
    <cellStyle name="Note 8 2 5 2 3 2 2" xfId="18282"/>
    <cellStyle name="Note 8 2 5 2 3 2 2 2" xfId="18283"/>
    <cellStyle name="Note 8 2 5 2 3 2 3" xfId="18284"/>
    <cellStyle name="Note 8 2 5 2 3 3" xfId="18285"/>
    <cellStyle name="Note 8 2 5 2 3 3 2" xfId="18286"/>
    <cellStyle name="Note 8 2 5 2 3 3 2 2" xfId="18287"/>
    <cellStyle name="Note 8 2 5 2 3 3 3" xfId="18288"/>
    <cellStyle name="Note 8 2 5 2 3 4" xfId="18289"/>
    <cellStyle name="Note 8 2 5 2 3 4 2" xfId="18290"/>
    <cellStyle name="Note 8 2 5 2 3 5" xfId="18291"/>
    <cellStyle name="Note 8 2 5 2 3 5 2" xfId="18292"/>
    <cellStyle name="Note 8 2 5 2 3 6" xfId="18293"/>
    <cellStyle name="Note 8 2 5 2 3 6 2" xfId="18294"/>
    <cellStyle name="Note 8 2 5 2 3 7" xfId="18295"/>
    <cellStyle name="Note 8 2 5 2 4" xfId="18296"/>
    <cellStyle name="Note 8 2 5 2 4 2" xfId="18297"/>
    <cellStyle name="Note 8 2 5 2 5" xfId="18298"/>
    <cellStyle name="Note 8 2 5 2 5 2" xfId="18299"/>
    <cellStyle name="Note 8 2 5 3" xfId="18300"/>
    <cellStyle name="Note 8 2 5 3 2" xfId="18301"/>
    <cellStyle name="Note 8 2 5 3 2 2" xfId="18302"/>
    <cellStyle name="Note 8 2 5 3 2 2 2" xfId="18303"/>
    <cellStyle name="Note 8 2 5 3 2 2 2 2" xfId="18304"/>
    <cellStyle name="Note 8 2 5 3 2 2 3" xfId="18305"/>
    <cellStyle name="Note 8 2 5 3 2 3" xfId="18306"/>
    <cellStyle name="Note 8 2 5 3 2 3 2" xfId="18307"/>
    <cellStyle name="Note 8 2 5 3 2 3 2 2" xfId="18308"/>
    <cellStyle name="Note 8 2 5 3 2 3 3" xfId="18309"/>
    <cellStyle name="Note 8 2 5 3 2 4" xfId="18310"/>
    <cellStyle name="Note 8 2 5 3 2 4 2" xfId="18311"/>
    <cellStyle name="Note 8 2 5 3 2 5" xfId="18312"/>
    <cellStyle name="Note 8 2 5 3 2 5 2" xfId="18313"/>
    <cellStyle name="Note 8 2 5 3 2 6" xfId="18314"/>
    <cellStyle name="Note 8 2 5 3 2 6 2" xfId="18315"/>
    <cellStyle name="Note 8 2 5 3 2 7" xfId="18316"/>
    <cellStyle name="Note 8 2 5 3 3" xfId="18317"/>
    <cellStyle name="Note 8 2 5 3 3 2" xfId="18318"/>
    <cellStyle name="Note 8 2 5 3 3 2 2" xfId="18319"/>
    <cellStyle name="Note 8 2 5 3 3 2 2 2" xfId="18320"/>
    <cellStyle name="Note 8 2 5 3 3 2 3" xfId="18321"/>
    <cellStyle name="Note 8 2 5 3 3 3" xfId="18322"/>
    <cellStyle name="Note 8 2 5 3 3 3 2" xfId="18323"/>
    <cellStyle name="Note 8 2 5 3 3 3 2 2" xfId="18324"/>
    <cellStyle name="Note 8 2 5 3 3 3 3" xfId="18325"/>
    <cellStyle name="Note 8 2 5 3 3 4" xfId="18326"/>
    <cellStyle name="Note 8 2 5 3 3 4 2" xfId="18327"/>
    <cellStyle name="Note 8 2 5 3 3 5" xfId="18328"/>
    <cellStyle name="Note 8 2 5 3 3 5 2" xfId="18329"/>
    <cellStyle name="Note 8 2 5 3 3 6" xfId="18330"/>
    <cellStyle name="Note 8 2 5 3 3 6 2" xfId="18331"/>
    <cellStyle name="Note 8 2 5 3 3 7" xfId="18332"/>
    <cellStyle name="Note 8 2 5 3 4" xfId="18333"/>
    <cellStyle name="Note 8 2 5 3 4 2" xfId="18334"/>
    <cellStyle name="Note 8 2 5 3 5" xfId="18335"/>
    <cellStyle name="Note 8 2 5 3 5 2" xfId="18336"/>
    <cellStyle name="Note 8 2 5 4" xfId="18337"/>
    <cellStyle name="Note 8 2 5 4 2" xfId="18338"/>
    <cellStyle name="Note 8 2 5 4 2 2" xfId="18339"/>
    <cellStyle name="Note 8 2 5 4 2 2 2" xfId="18340"/>
    <cellStyle name="Note 8 2 5 4 2 3" xfId="18341"/>
    <cellStyle name="Note 8 2 5 4 3" xfId="18342"/>
    <cellStyle name="Note 8 2 5 4 3 2" xfId="18343"/>
    <cellStyle name="Note 8 2 5 4 3 2 2" xfId="18344"/>
    <cellStyle name="Note 8 2 5 4 3 3" xfId="18345"/>
    <cellStyle name="Note 8 2 5 4 4" xfId="18346"/>
    <cellStyle name="Note 8 2 5 4 4 2" xfId="18347"/>
    <cellStyle name="Note 8 2 5 4 5" xfId="18348"/>
    <cellStyle name="Note 8 2 5 4 5 2" xfId="18349"/>
    <cellStyle name="Note 8 2 5 4 6" xfId="18350"/>
    <cellStyle name="Note 8 2 5 4 6 2" xfId="18351"/>
    <cellStyle name="Note 8 2 5 4 7" xfId="18352"/>
    <cellStyle name="Note 8 2 5 5" xfId="18353"/>
    <cellStyle name="Note 8 2 5 5 2" xfId="18354"/>
    <cellStyle name="Note 8 2 5 5 2 2" xfId="18355"/>
    <cellStyle name="Note 8 2 5 5 2 2 2" xfId="18356"/>
    <cellStyle name="Note 8 2 5 5 2 3" xfId="18357"/>
    <cellStyle name="Note 8 2 5 5 3" xfId="18358"/>
    <cellStyle name="Note 8 2 5 5 3 2" xfId="18359"/>
    <cellStyle name="Note 8 2 5 5 3 2 2" xfId="18360"/>
    <cellStyle name="Note 8 2 5 5 3 3" xfId="18361"/>
    <cellStyle name="Note 8 2 5 5 4" xfId="18362"/>
    <cellStyle name="Note 8 2 5 5 4 2" xfId="18363"/>
    <cellStyle name="Note 8 2 5 5 5" xfId="18364"/>
    <cellStyle name="Note 8 2 5 5 5 2" xfId="18365"/>
    <cellStyle name="Note 8 2 5 5 6" xfId="18366"/>
    <cellStyle name="Note 8 2 5 5 6 2" xfId="18367"/>
    <cellStyle name="Note 8 2 5 5 7" xfId="18368"/>
    <cellStyle name="Note 8 2 5 6" xfId="18369"/>
    <cellStyle name="Note 8 2 5 6 2" xfId="18370"/>
    <cellStyle name="Note 8 2 5 6 2 2" xfId="18371"/>
    <cellStyle name="Note 8 2 5 6 2 2 2" xfId="18372"/>
    <cellStyle name="Note 8 2 5 6 2 3" xfId="18373"/>
    <cellStyle name="Note 8 2 5 6 3" xfId="18374"/>
    <cellStyle name="Note 8 2 5 6 3 2" xfId="18375"/>
    <cellStyle name="Note 8 2 5 6 3 2 2" xfId="18376"/>
    <cellStyle name="Note 8 2 5 6 3 3" xfId="18377"/>
    <cellStyle name="Note 8 2 5 6 4" xfId="18378"/>
    <cellStyle name="Note 8 2 5 6 4 2" xfId="18379"/>
    <cellStyle name="Note 8 2 5 6 5" xfId="18380"/>
    <cellStyle name="Note 8 2 5 6 5 2" xfId="18381"/>
    <cellStyle name="Note 8 2 5 6 6" xfId="18382"/>
    <cellStyle name="Note 8 2 5 6 6 2" xfId="18383"/>
    <cellStyle name="Note 8 2 5 6 7" xfId="18384"/>
    <cellStyle name="Note 8 2 5 7" xfId="18385"/>
    <cellStyle name="Note 8 2 5 7 2" xfId="18386"/>
    <cellStyle name="Note 8 2 5 8" xfId="18387"/>
    <cellStyle name="Note 8 2 5 8 2" xfId="18388"/>
    <cellStyle name="Note 8 2 6" xfId="18389"/>
    <cellStyle name="Note 8 2 6 2" xfId="18390"/>
    <cellStyle name="Note 8 2 6 2 2" xfId="18391"/>
    <cellStyle name="Note 8 2 6 2 2 2" xfId="18392"/>
    <cellStyle name="Note 8 2 6 2 2 2 2" xfId="18393"/>
    <cellStyle name="Note 8 2 6 2 2 2 2 2" xfId="18394"/>
    <cellStyle name="Note 8 2 6 2 2 2 3" xfId="18395"/>
    <cellStyle name="Note 8 2 6 2 2 3" xfId="18396"/>
    <cellStyle name="Note 8 2 6 2 2 3 2" xfId="18397"/>
    <cellStyle name="Note 8 2 6 2 2 3 2 2" xfId="18398"/>
    <cellStyle name="Note 8 2 6 2 2 3 3" xfId="18399"/>
    <cellStyle name="Note 8 2 6 2 2 4" xfId="18400"/>
    <cellStyle name="Note 8 2 6 2 2 4 2" xfId="18401"/>
    <cellStyle name="Note 8 2 6 2 2 5" xfId="18402"/>
    <cellStyle name="Note 8 2 6 2 2 5 2" xfId="18403"/>
    <cellStyle name="Note 8 2 6 2 2 6" xfId="18404"/>
    <cellStyle name="Note 8 2 6 2 2 6 2" xfId="18405"/>
    <cellStyle name="Note 8 2 6 2 2 7" xfId="18406"/>
    <cellStyle name="Note 8 2 6 2 3" xfId="18407"/>
    <cellStyle name="Note 8 2 6 2 3 2" xfId="18408"/>
    <cellStyle name="Note 8 2 6 2 3 2 2" xfId="18409"/>
    <cellStyle name="Note 8 2 6 2 3 2 2 2" xfId="18410"/>
    <cellStyle name="Note 8 2 6 2 3 2 3" xfId="18411"/>
    <cellStyle name="Note 8 2 6 2 3 3" xfId="18412"/>
    <cellStyle name="Note 8 2 6 2 3 3 2" xfId="18413"/>
    <cellStyle name="Note 8 2 6 2 3 3 2 2" xfId="18414"/>
    <cellStyle name="Note 8 2 6 2 3 3 3" xfId="18415"/>
    <cellStyle name="Note 8 2 6 2 3 4" xfId="18416"/>
    <cellStyle name="Note 8 2 6 2 3 4 2" xfId="18417"/>
    <cellStyle name="Note 8 2 6 2 3 5" xfId="18418"/>
    <cellStyle name="Note 8 2 6 2 3 5 2" xfId="18419"/>
    <cellStyle name="Note 8 2 6 2 3 6" xfId="18420"/>
    <cellStyle name="Note 8 2 6 2 3 6 2" xfId="18421"/>
    <cellStyle name="Note 8 2 6 2 3 7" xfId="18422"/>
    <cellStyle name="Note 8 2 6 2 4" xfId="18423"/>
    <cellStyle name="Note 8 2 6 2 4 2" xfId="18424"/>
    <cellStyle name="Note 8 2 6 2 5" xfId="18425"/>
    <cellStyle name="Note 8 2 6 2 5 2" xfId="18426"/>
    <cellStyle name="Note 8 2 6 3" xfId="18427"/>
    <cellStyle name="Note 8 2 6 3 2" xfId="18428"/>
    <cellStyle name="Note 8 2 6 3 2 2" xfId="18429"/>
    <cellStyle name="Note 8 2 6 3 2 2 2" xfId="18430"/>
    <cellStyle name="Note 8 2 6 3 2 2 2 2" xfId="18431"/>
    <cellStyle name="Note 8 2 6 3 2 2 3" xfId="18432"/>
    <cellStyle name="Note 8 2 6 3 2 3" xfId="18433"/>
    <cellStyle name="Note 8 2 6 3 2 3 2" xfId="18434"/>
    <cellStyle name="Note 8 2 6 3 2 3 2 2" xfId="18435"/>
    <cellStyle name="Note 8 2 6 3 2 3 3" xfId="18436"/>
    <cellStyle name="Note 8 2 6 3 2 4" xfId="18437"/>
    <cellStyle name="Note 8 2 6 3 2 4 2" xfId="18438"/>
    <cellStyle name="Note 8 2 6 3 2 5" xfId="18439"/>
    <cellStyle name="Note 8 2 6 3 2 5 2" xfId="18440"/>
    <cellStyle name="Note 8 2 6 3 2 6" xfId="18441"/>
    <cellStyle name="Note 8 2 6 3 2 6 2" xfId="18442"/>
    <cellStyle name="Note 8 2 6 3 2 7" xfId="18443"/>
    <cellStyle name="Note 8 2 6 3 3" xfId="18444"/>
    <cellStyle name="Note 8 2 6 3 3 2" xfId="18445"/>
    <cellStyle name="Note 8 2 6 3 3 2 2" xfId="18446"/>
    <cellStyle name="Note 8 2 6 3 3 2 2 2" xfId="18447"/>
    <cellStyle name="Note 8 2 6 3 3 2 3" xfId="18448"/>
    <cellStyle name="Note 8 2 6 3 3 3" xfId="18449"/>
    <cellStyle name="Note 8 2 6 3 3 3 2" xfId="18450"/>
    <cellStyle name="Note 8 2 6 3 3 3 2 2" xfId="18451"/>
    <cellStyle name="Note 8 2 6 3 3 3 3" xfId="18452"/>
    <cellStyle name="Note 8 2 6 3 3 4" xfId="18453"/>
    <cellStyle name="Note 8 2 6 3 3 4 2" xfId="18454"/>
    <cellStyle name="Note 8 2 6 3 3 5" xfId="18455"/>
    <cellStyle name="Note 8 2 6 3 3 5 2" xfId="18456"/>
    <cellStyle name="Note 8 2 6 3 3 6" xfId="18457"/>
    <cellStyle name="Note 8 2 6 3 3 6 2" xfId="18458"/>
    <cellStyle name="Note 8 2 6 3 3 7" xfId="18459"/>
    <cellStyle name="Note 8 2 6 3 4" xfId="18460"/>
    <cellStyle name="Note 8 2 6 3 4 2" xfId="18461"/>
    <cellStyle name="Note 8 2 6 3 5" xfId="18462"/>
    <cellStyle name="Note 8 2 6 3 5 2" xfId="18463"/>
    <cellStyle name="Note 8 2 6 4" xfId="18464"/>
    <cellStyle name="Note 8 2 6 4 2" xfId="18465"/>
    <cellStyle name="Note 8 2 6 4 2 2" xfId="18466"/>
    <cellStyle name="Note 8 2 6 4 2 2 2" xfId="18467"/>
    <cellStyle name="Note 8 2 6 4 2 3" xfId="18468"/>
    <cellStyle name="Note 8 2 6 4 3" xfId="18469"/>
    <cellStyle name="Note 8 2 6 4 3 2" xfId="18470"/>
    <cellStyle name="Note 8 2 6 4 3 2 2" xfId="18471"/>
    <cellStyle name="Note 8 2 6 4 3 3" xfId="18472"/>
    <cellStyle name="Note 8 2 6 4 4" xfId="18473"/>
    <cellStyle name="Note 8 2 6 4 4 2" xfId="18474"/>
    <cellStyle name="Note 8 2 6 4 5" xfId="18475"/>
    <cellStyle name="Note 8 2 6 4 5 2" xfId="18476"/>
    <cellStyle name="Note 8 2 6 4 6" xfId="18477"/>
    <cellStyle name="Note 8 2 6 4 6 2" xfId="18478"/>
    <cellStyle name="Note 8 2 6 4 7" xfId="18479"/>
    <cellStyle name="Note 8 2 6 5" xfId="18480"/>
    <cellStyle name="Note 8 2 6 5 2" xfId="18481"/>
    <cellStyle name="Note 8 2 6 5 2 2" xfId="18482"/>
    <cellStyle name="Note 8 2 6 5 2 2 2" xfId="18483"/>
    <cellStyle name="Note 8 2 6 5 2 3" xfId="18484"/>
    <cellStyle name="Note 8 2 6 5 3" xfId="18485"/>
    <cellStyle name="Note 8 2 6 5 3 2" xfId="18486"/>
    <cellStyle name="Note 8 2 6 5 3 2 2" xfId="18487"/>
    <cellStyle name="Note 8 2 6 5 3 3" xfId="18488"/>
    <cellStyle name="Note 8 2 6 5 4" xfId="18489"/>
    <cellStyle name="Note 8 2 6 5 4 2" xfId="18490"/>
    <cellStyle name="Note 8 2 6 5 5" xfId="18491"/>
    <cellStyle name="Note 8 2 6 5 5 2" xfId="18492"/>
    <cellStyle name="Note 8 2 6 5 6" xfId="18493"/>
    <cellStyle name="Note 8 2 6 5 6 2" xfId="18494"/>
    <cellStyle name="Note 8 2 6 5 7" xfId="18495"/>
    <cellStyle name="Note 8 2 6 6" xfId="18496"/>
    <cellStyle name="Note 8 2 6 6 2" xfId="18497"/>
    <cellStyle name="Note 8 2 6 6 2 2" xfId="18498"/>
    <cellStyle name="Note 8 2 6 6 2 2 2" xfId="18499"/>
    <cellStyle name="Note 8 2 6 6 2 3" xfId="18500"/>
    <cellStyle name="Note 8 2 6 6 3" xfId="18501"/>
    <cellStyle name="Note 8 2 6 6 3 2" xfId="18502"/>
    <cellStyle name="Note 8 2 6 6 3 2 2" xfId="18503"/>
    <cellStyle name="Note 8 2 6 6 3 3" xfId="18504"/>
    <cellStyle name="Note 8 2 6 6 4" xfId="18505"/>
    <cellStyle name="Note 8 2 6 6 4 2" xfId="18506"/>
    <cellStyle name="Note 8 2 6 6 5" xfId="18507"/>
    <cellStyle name="Note 8 2 6 6 5 2" xfId="18508"/>
    <cellStyle name="Note 8 2 6 6 6" xfId="18509"/>
    <cellStyle name="Note 8 2 6 6 6 2" xfId="18510"/>
    <cellStyle name="Note 8 2 6 6 7" xfId="18511"/>
    <cellStyle name="Note 8 2 6 7" xfId="18512"/>
    <cellStyle name="Note 8 2 6 7 2" xfId="18513"/>
    <cellStyle name="Note 8 2 6 8" xfId="18514"/>
    <cellStyle name="Note 8 2 6 8 2" xfId="18515"/>
    <cellStyle name="Note 8 2 7" xfId="18516"/>
    <cellStyle name="Note 8 2 7 2" xfId="18517"/>
    <cellStyle name="Note 8 2 7 2 2" xfId="18518"/>
    <cellStyle name="Note 8 2 7 2 2 2" xfId="18519"/>
    <cellStyle name="Note 8 2 7 2 2 2 2" xfId="18520"/>
    <cellStyle name="Note 8 2 7 2 2 2 2 2" xfId="18521"/>
    <cellStyle name="Note 8 2 7 2 2 2 3" xfId="18522"/>
    <cellStyle name="Note 8 2 7 2 2 3" xfId="18523"/>
    <cellStyle name="Note 8 2 7 2 2 3 2" xfId="18524"/>
    <cellStyle name="Note 8 2 7 2 2 3 2 2" xfId="18525"/>
    <cellStyle name="Note 8 2 7 2 2 3 3" xfId="18526"/>
    <cellStyle name="Note 8 2 7 2 2 4" xfId="18527"/>
    <cellStyle name="Note 8 2 7 2 2 4 2" xfId="18528"/>
    <cellStyle name="Note 8 2 7 2 2 5" xfId="18529"/>
    <cellStyle name="Note 8 2 7 2 2 5 2" xfId="18530"/>
    <cellStyle name="Note 8 2 7 2 2 6" xfId="18531"/>
    <cellStyle name="Note 8 2 7 2 2 6 2" xfId="18532"/>
    <cellStyle name="Note 8 2 7 2 2 7" xfId="18533"/>
    <cellStyle name="Note 8 2 7 2 3" xfId="18534"/>
    <cellStyle name="Note 8 2 7 2 3 2" xfId="18535"/>
    <cellStyle name="Note 8 2 7 2 3 2 2" xfId="18536"/>
    <cellStyle name="Note 8 2 7 2 3 2 2 2" xfId="18537"/>
    <cellStyle name="Note 8 2 7 2 3 2 3" xfId="18538"/>
    <cellStyle name="Note 8 2 7 2 3 3" xfId="18539"/>
    <cellStyle name="Note 8 2 7 2 3 3 2" xfId="18540"/>
    <cellStyle name="Note 8 2 7 2 3 3 2 2" xfId="18541"/>
    <cellStyle name="Note 8 2 7 2 3 3 3" xfId="18542"/>
    <cellStyle name="Note 8 2 7 2 3 4" xfId="18543"/>
    <cellStyle name="Note 8 2 7 2 3 4 2" xfId="18544"/>
    <cellStyle name="Note 8 2 7 2 3 5" xfId="18545"/>
    <cellStyle name="Note 8 2 7 2 3 5 2" xfId="18546"/>
    <cellStyle name="Note 8 2 7 2 3 6" xfId="18547"/>
    <cellStyle name="Note 8 2 7 2 3 6 2" xfId="18548"/>
    <cellStyle name="Note 8 2 7 2 3 7" xfId="18549"/>
    <cellStyle name="Note 8 2 7 2 4" xfId="18550"/>
    <cellStyle name="Note 8 2 7 2 4 2" xfId="18551"/>
    <cellStyle name="Note 8 2 7 2 5" xfId="18552"/>
    <cellStyle name="Note 8 2 7 2 5 2" xfId="18553"/>
    <cellStyle name="Note 8 2 7 3" xfId="18554"/>
    <cellStyle name="Note 8 2 7 3 2" xfId="18555"/>
    <cellStyle name="Note 8 2 7 3 2 2" xfId="18556"/>
    <cellStyle name="Note 8 2 7 3 2 2 2" xfId="18557"/>
    <cellStyle name="Note 8 2 7 3 2 2 2 2" xfId="18558"/>
    <cellStyle name="Note 8 2 7 3 2 2 3" xfId="18559"/>
    <cellStyle name="Note 8 2 7 3 2 3" xfId="18560"/>
    <cellStyle name="Note 8 2 7 3 2 3 2" xfId="18561"/>
    <cellStyle name="Note 8 2 7 3 2 3 2 2" xfId="18562"/>
    <cellStyle name="Note 8 2 7 3 2 3 3" xfId="18563"/>
    <cellStyle name="Note 8 2 7 3 2 4" xfId="18564"/>
    <cellStyle name="Note 8 2 7 3 2 4 2" xfId="18565"/>
    <cellStyle name="Note 8 2 7 3 2 5" xfId="18566"/>
    <cellStyle name="Note 8 2 7 3 2 5 2" xfId="18567"/>
    <cellStyle name="Note 8 2 7 3 2 6" xfId="18568"/>
    <cellStyle name="Note 8 2 7 3 2 6 2" xfId="18569"/>
    <cellStyle name="Note 8 2 7 3 2 7" xfId="18570"/>
    <cellStyle name="Note 8 2 7 3 3" xfId="18571"/>
    <cellStyle name="Note 8 2 7 3 3 2" xfId="18572"/>
    <cellStyle name="Note 8 2 7 3 3 2 2" xfId="18573"/>
    <cellStyle name="Note 8 2 7 3 3 2 2 2" xfId="18574"/>
    <cellStyle name="Note 8 2 7 3 3 2 3" xfId="18575"/>
    <cellStyle name="Note 8 2 7 3 3 3" xfId="18576"/>
    <cellStyle name="Note 8 2 7 3 3 3 2" xfId="18577"/>
    <cellStyle name="Note 8 2 7 3 3 3 2 2" xfId="18578"/>
    <cellStyle name="Note 8 2 7 3 3 3 3" xfId="18579"/>
    <cellStyle name="Note 8 2 7 3 3 4" xfId="18580"/>
    <cellStyle name="Note 8 2 7 3 3 4 2" xfId="18581"/>
    <cellStyle name="Note 8 2 7 3 3 5" xfId="18582"/>
    <cellStyle name="Note 8 2 7 3 3 5 2" xfId="18583"/>
    <cellStyle name="Note 8 2 7 3 3 6" xfId="18584"/>
    <cellStyle name="Note 8 2 7 3 3 6 2" xfId="18585"/>
    <cellStyle name="Note 8 2 7 3 3 7" xfId="18586"/>
    <cellStyle name="Note 8 2 7 3 4" xfId="18587"/>
    <cellStyle name="Note 8 2 7 3 4 2" xfId="18588"/>
    <cellStyle name="Note 8 2 7 3 5" xfId="18589"/>
    <cellStyle name="Note 8 2 7 3 5 2" xfId="18590"/>
    <cellStyle name="Note 8 2 7 4" xfId="18591"/>
    <cellStyle name="Note 8 2 7 4 2" xfId="18592"/>
    <cellStyle name="Note 8 2 7 4 2 2" xfId="18593"/>
    <cellStyle name="Note 8 2 7 4 2 2 2" xfId="18594"/>
    <cellStyle name="Note 8 2 7 4 2 3" xfId="18595"/>
    <cellStyle name="Note 8 2 7 4 3" xfId="18596"/>
    <cellStyle name="Note 8 2 7 4 3 2" xfId="18597"/>
    <cellStyle name="Note 8 2 7 4 3 2 2" xfId="18598"/>
    <cellStyle name="Note 8 2 7 4 3 3" xfId="18599"/>
    <cellStyle name="Note 8 2 7 4 4" xfId="18600"/>
    <cellStyle name="Note 8 2 7 4 4 2" xfId="18601"/>
    <cellStyle name="Note 8 2 7 4 5" xfId="18602"/>
    <cellStyle name="Note 8 2 7 4 5 2" xfId="18603"/>
    <cellStyle name="Note 8 2 7 4 6" xfId="18604"/>
    <cellStyle name="Note 8 2 7 4 6 2" xfId="18605"/>
    <cellStyle name="Note 8 2 7 4 7" xfId="18606"/>
    <cellStyle name="Note 8 2 7 5" xfId="18607"/>
    <cellStyle name="Note 8 2 7 5 2" xfId="18608"/>
    <cellStyle name="Note 8 2 7 5 2 2" xfId="18609"/>
    <cellStyle name="Note 8 2 7 5 2 2 2" xfId="18610"/>
    <cellStyle name="Note 8 2 7 5 2 3" xfId="18611"/>
    <cellStyle name="Note 8 2 7 5 3" xfId="18612"/>
    <cellStyle name="Note 8 2 7 5 3 2" xfId="18613"/>
    <cellStyle name="Note 8 2 7 5 3 2 2" xfId="18614"/>
    <cellStyle name="Note 8 2 7 5 3 3" xfId="18615"/>
    <cellStyle name="Note 8 2 7 5 4" xfId="18616"/>
    <cellStyle name="Note 8 2 7 5 4 2" xfId="18617"/>
    <cellStyle name="Note 8 2 7 5 5" xfId="18618"/>
    <cellStyle name="Note 8 2 7 5 5 2" xfId="18619"/>
    <cellStyle name="Note 8 2 7 5 6" xfId="18620"/>
    <cellStyle name="Note 8 2 7 5 6 2" xfId="18621"/>
    <cellStyle name="Note 8 2 7 5 7" xfId="18622"/>
    <cellStyle name="Note 8 2 7 6" xfId="18623"/>
    <cellStyle name="Note 8 2 7 6 2" xfId="18624"/>
    <cellStyle name="Note 8 2 7 7" xfId="18625"/>
    <cellStyle name="Note 8 2 7 7 2" xfId="18626"/>
    <cellStyle name="Note 8 2 8" xfId="18627"/>
    <cellStyle name="Note 8 2 8 2" xfId="18628"/>
    <cellStyle name="Note 8 2 8 2 2" xfId="18629"/>
    <cellStyle name="Note 8 2 8 2 2 2" xfId="18630"/>
    <cellStyle name="Note 8 2 8 2 2 2 2" xfId="18631"/>
    <cellStyle name="Note 8 2 8 2 2 3" xfId="18632"/>
    <cellStyle name="Note 8 2 8 2 3" xfId="18633"/>
    <cellStyle name="Note 8 2 8 2 3 2" xfId="18634"/>
    <cellStyle name="Note 8 2 8 2 3 2 2" xfId="18635"/>
    <cellStyle name="Note 8 2 8 2 3 3" xfId="18636"/>
    <cellStyle name="Note 8 2 8 2 4" xfId="18637"/>
    <cellStyle name="Note 8 2 8 2 4 2" xfId="18638"/>
    <cellStyle name="Note 8 2 8 2 5" xfId="18639"/>
    <cellStyle name="Note 8 2 8 2 5 2" xfId="18640"/>
    <cellStyle name="Note 8 2 8 2 6" xfId="18641"/>
    <cellStyle name="Note 8 2 8 2 6 2" xfId="18642"/>
    <cellStyle name="Note 8 2 8 2 7" xfId="18643"/>
    <cellStyle name="Note 8 2 8 3" xfId="18644"/>
    <cellStyle name="Note 8 2 8 3 2" xfId="18645"/>
    <cellStyle name="Note 8 2 8 3 2 2" xfId="18646"/>
    <cellStyle name="Note 8 2 8 3 2 2 2" xfId="18647"/>
    <cellStyle name="Note 8 2 8 3 2 3" xfId="18648"/>
    <cellStyle name="Note 8 2 8 3 3" xfId="18649"/>
    <cellStyle name="Note 8 2 8 3 3 2" xfId="18650"/>
    <cellStyle name="Note 8 2 8 3 3 2 2" xfId="18651"/>
    <cellStyle name="Note 8 2 8 3 3 3" xfId="18652"/>
    <cellStyle name="Note 8 2 8 3 4" xfId="18653"/>
    <cellStyle name="Note 8 2 8 3 4 2" xfId="18654"/>
    <cellStyle name="Note 8 2 8 3 5" xfId="18655"/>
    <cellStyle name="Note 8 2 8 3 5 2" xfId="18656"/>
    <cellStyle name="Note 8 2 8 3 6" xfId="18657"/>
    <cellStyle name="Note 8 2 8 3 6 2" xfId="18658"/>
    <cellStyle name="Note 8 2 8 3 7" xfId="18659"/>
    <cellStyle name="Note 8 2 8 4" xfId="18660"/>
    <cellStyle name="Note 8 2 8 4 2" xfId="18661"/>
    <cellStyle name="Note 8 2 8 5" xfId="18662"/>
    <cellStyle name="Note 8 2 8 5 2" xfId="18663"/>
    <cellStyle name="Note 8 2 9" xfId="18664"/>
    <cellStyle name="Note 8 2 9 2" xfId="18665"/>
    <cellStyle name="Note 8 2 9 2 2" xfId="18666"/>
    <cellStyle name="Note 8 2 9 2 2 2" xfId="18667"/>
    <cellStyle name="Note 8 2 9 2 2 2 2" xfId="18668"/>
    <cellStyle name="Note 8 2 9 2 2 3" xfId="18669"/>
    <cellStyle name="Note 8 2 9 2 3" xfId="18670"/>
    <cellStyle name="Note 8 2 9 2 3 2" xfId="18671"/>
    <cellStyle name="Note 8 2 9 2 3 2 2" xfId="18672"/>
    <cellStyle name="Note 8 2 9 2 3 3" xfId="18673"/>
    <cellStyle name="Note 8 2 9 2 4" xfId="18674"/>
    <cellStyle name="Note 8 2 9 2 4 2" xfId="18675"/>
    <cellStyle name="Note 8 2 9 2 5" xfId="18676"/>
    <cellStyle name="Note 8 2 9 2 5 2" xfId="18677"/>
    <cellStyle name="Note 8 2 9 2 6" xfId="18678"/>
    <cellStyle name="Note 8 2 9 2 6 2" xfId="18679"/>
    <cellStyle name="Note 8 2 9 2 7" xfId="18680"/>
    <cellStyle name="Note 8 2 9 3" xfId="18681"/>
    <cellStyle name="Note 8 2 9 3 2" xfId="18682"/>
    <cellStyle name="Note 8 2 9 3 2 2" xfId="18683"/>
    <cellStyle name="Note 8 2 9 3 2 2 2" xfId="18684"/>
    <cellStyle name="Note 8 2 9 3 2 3" xfId="18685"/>
    <cellStyle name="Note 8 2 9 3 3" xfId="18686"/>
    <cellStyle name="Note 8 2 9 3 3 2" xfId="18687"/>
    <cellStyle name="Note 8 2 9 3 3 2 2" xfId="18688"/>
    <cellStyle name="Note 8 2 9 3 3 3" xfId="18689"/>
    <cellStyle name="Note 8 2 9 3 4" xfId="18690"/>
    <cellStyle name="Note 8 2 9 3 4 2" xfId="18691"/>
    <cellStyle name="Note 8 2 9 3 5" xfId="18692"/>
    <cellStyle name="Note 8 2 9 3 5 2" xfId="18693"/>
    <cellStyle name="Note 8 2 9 3 6" xfId="18694"/>
    <cellStyle name="Note 8 2 9 3 6 2" xfId="18695"/>
    <cellStyle name="Note 8 2 9 3 7" xfId="18696"/>
    <cellStyle name="Note 8 2 9 4" xfId="18697"/>
    <cellStyle name="Note 8 2 9 4 2" xfId="18698"/>
    <cellStyle name="Note 8 2 9 5" xfId="18699"/>
    <cellStyle name="Note 8 2 9 5 2" xfId="18700"/>
    <cellStyle name="Note 8 3" xfId="18701"/>
    <cellStyle name="Note 8 3 2" xfId="18702"/>
    <cellStyle name="Note 8 3 2 2" xfId="18703"/>
    <cellStyle name="Note 8 3 2 2 2" xfId="18704"/>
    <cellStyle name="Note 8 3 2 2 2 2" xfId="18705"/>
    <cellStyle name="Note 8 3 2 2 3" xfId="18706"/>
    <cellStyle name="Note 8 3 2 3" xfId="18707"/>
    <cellStyle name="Note 8 3 2 3 2" xfId="18708"/>
    <cellStyle name="Note 8 3 2 3 2 2" xfId="18709"/>
    <cellStyle name="Note 8 3 2 3 3" xfId="18710"/>
    <cellStyle name="Note 8 3 2 4" xfId="18711"/>
    <cellStyle name="Note 8 3 2 4 2" xfId="18712"/>
    <cellStyle name="Note 8 3 2 5" xfId="18713"/>
    <cellStyle name="Note 8 3 2 5 2" xfId="18714"/>
    <cellStyle name="Note 8 3 2 6" xfId="18715"/>
    <cellStyle name="Note 8 3 2 6 2" xfId="18716"/>
    <cellStyle name="Note 8 3 2 7" xfId="18717"/>
    <cellStyle name="Note 8 3 3" xfId="18718"/>
    <cellStyle name="Note 8 3 3 2" xfId="18719"/>
    <cellStyle name="Note 8 3 3 2 2" xfId="18720"/>
    <cellStyle name="Note 8 3 3 2 2 2" xfId="18721"/>
    <cellStyle name="Note 8 3 3 2 3" xfId="18722"/>
    <cellStyle name="Note 8 3 3 3" xfId="18723"/>
    <cellStyle name="Note 8 3 3 3 2" xfId="18724"/>
    <cellStyle name="Note 8 3 3 3 2 2" xfId="18725"/>
    <cellStyle name="Note 8 3 3 3 3" xfId="18726"/>
    <cellStyle name="Note 8 3 3 4" xfId="18727"/>
    <cellStyle name="Note 8 3 3 4 2" xfId="18728"/>
    <cellStyle name="Note 8 3 3 5" xfId="18729"/>
    <cellStyle name="Note 8 3 3 5 2" xfId="18730"/>
    <cellStyle name="Note 8 3 3 6" xfId="18731"/>
    <cellStyle name="Note 8 3 3 6 2" xfId="18732"/>
    <cellStyle name="Note 8 3 3 7" xfId="18733"/>
    <cellStyle name="Note 8 3 4" xfId="18734"/>
    <cellStyle name="Note 8 3 4 2" xfId="18735"/>
    <cellStyle name="Note 8 3 5" xfId="18736"/>
    <cellStyle name="Note 8 3 5 2" xfId="18737"/>
    <cellStyle name="Note 8 4" xfId="18738"/>
    <cellStyle name="Note 8 4 2" xfId="18739"/>
    <cellStyle name="Note 8 4 2 2" xfId="18740"/>
    <cellStyle name="Note 8 4 2 2 2" xfId="18741"/>
    <cellStyle name="Note 8 4 2 2 2 2" xfId="18742"/>
    <cellStyle name="Note 8 4 2 2 3" xfId="18743"/>
    <cellStyle name="Note 8 4 2 3" xfId="18744"/>
    <cellStyle name="Note 8 4 2 3 2" xfId="18745"/>
    <cellStyle name="Note 8 4 2 3 2 2" xfId="18746"/>
    <cellStyle name="Note 8 4 2 3 3" xfId="18747"/>
    <cellStyle name="Note 8 4 2 4" xfId="18748"/>
    <cellStyle name="Note 8 4 2 4 2" xfId="18749"/>
    <cellStyle name="Note 8 4 2 5" xfId="18750"/>
    <cellStyle name="Note 8 4 2 5 2" xfId="18751"/>
    <cellStyle name="Note 8 4 2 6" xfId="18752"/>
    <cellStyle name="Note 8 4 2 6 2" xfId="18753"/>
    <cellStyle name="Note 8 4 2 7" xfId="18754"/>
    <cellStyle name="Note 8 4 3" xfId="18755"/>
    <cellStyle name="Note 8 4 3 2" xfId="18756"/>
    <cellStyle name="Note 8 4 3 2 2" xfId="18757"/>
    <cellStyle name="Note 8 4 3 2 2 2" xfId="18758"/>
    <cellStyle name="Note 8 4 3 2 3" xfId="18759"/>
    <cellStyle name="Note 8 4 3 3" xfId="18760"/>
    <cellStyle name="Note 8 4 3 3 2" xfId="18761"/>
    <cellStyle name="Note 8 4 3 3 2 2" xfId="18762"/>
    <cellStyle name="Note 8 4 3 3 3" xfId="18763"/>
    <cellStyle name="Note 8 4 3 4" xfId="18764"/>
    <cellStyle name="Note 8 4 3 4 2" xfId="18765"/>
    <cellStyle name="Note 8 4 3 5" xfId="18766"/>
    <cellStyle name="Note 8 4 3 5 2" xfId="18767"/>
    <cellStyle name="Note 8 4 3 6" xfId="18768"/>
    <cellStyle name="Note 8 4 3 6 2" xfId="18769"/>
    <cellStyle name="Note 8 4 3 7" xfId="18770"/>
    <cellStyle name="Note 8 4 4" xfId="18771"/>
    <cellStyle name="Note 8 4 4 2" xfId="18772"/>
    <cellStyle name="Note 8 4 5" xfId="18773"/>
    <cellStyle name="Note 8 4 5 2" xfId="18774"/>
    <cellStyle name="Note 8 5" xfId="18775"/>
    <cellStyle name="Note 8 5 2" xfId="18776"/>
    <cellStyle name="Note 8 5 2 2" xfId="18777"/>
    <cellStyle name="Note 8 5 2 2 2" xfId="18778"/>
    <cellStyle name="Note 8 5 2 3" xfId="18779"/>
    <cellStyle name="Note 8 5 3" xfId="18780"/>
    <cellStyle name="Note 8 5 3 2" xfId="18781"/>
    <cellStyle name="Note 8 5 3 2 2" xfId="18782"/>
    <cellStyle name="Note 8 5 3 3" xfId="18783"/>
    <cellStyle name="Note 8 5 4" xfId="18784"/>
    <cellStyle name="Note 8 5 4 2" xfId="18785"/>
    <cellStyle name="Note 8 5 5" xfId="18786"/>
    <cellStyle name="Note 8 5 5 2" xfId="18787"/>
    <cellStyle name="Note 8 5 6" xfId="18788"/>
    <cellStyle name="Note 8 5 6 2" xfId="18789"/>
    <cellStyle name="Note 8 5 7" xfId="18790"/>
    <cellStyle name="Note 8 6" xfId="18791"/>
    <cellStyle name="Note 8 6 2" xfId="18792"/>
    <cellStyle name="Note 8 6 2 2" xfId="18793"/>
    <cellStyle name="Note 8 6 2 2 2" xfId="18794"/>
    <cellStyle name="Note 8 6 2 3" xfId="18795"/>
    <cellStyle name="Note 8 6 3" xfId="18796"/>
    <cellStyle name="Note 8 6 3 2" xfId="18797"/>
    <cellStyle name="Note 8 6 3 2 2" xfId="18798"/>
    <cellStyle name="Note 8 6 3 3" xfId="18799"/>
    <cellStyle name="Note 8 6 4" xfId="18800"/>
    <cellStyle name="Note 8 6 4 2" xfId="18801"/>
    <cellStyle name="Note 8 6 5" xfId="18802"/>
    <cellStyle name="Note 8 6 5 2" xfId="18803"/>
    <cellStyle name="Note 8 6 6" xfId="18804"/>
    <cellStyle name="Note 8 6 6 2" xfId="18805"/>
    <cellStyle name="Note 8 6 7" xfId="18806"/>
    <cellStyle name="Note 8 7" xfId="18807"/>
    <cellStyle name="Note 8 7 2" xfId="18808"/>
    <cellStyle name="Note 8 8" xfId="18809"/>
    <cellStyle name="Note 8 8 2" xfId="18810"/>
    <cellStyle name="Note 8 9" xfId="18811"/>
    <cellStyle name="Note 8 9 2" xfId="18812"/>
    <cellStyle name="Note 9" xfId="307"/>
    <cellStyle name="Note 9 2" xfId="18813"/>
    <cellStyle name="Note 9 2 10" xfId="18814"/>
    <cellStyle name="Note 9 2 10 2" xfId="18815"/>
    <cellStyle name="Note 9 2 10 2 2" xfId="18816"/>
    <cellStyle name="Note 9 2 10 2 2 2" xfId="18817"/>
    <cellStyle name="Note 9 2 10 2 3" xfId="18818"/>
    <cellStyle name="Note 9 2 10 3" xfId="18819"/>
    <cellStyle name="Note 9 2 10 3 2" xfId="18820"/>
    <cellStyle name="Note 9 2 10 3 2 2" xfId="18821"/>
    <cellStyle name="Note 9 2 10 3 3" xfId="18822"/>
    <cellStyle name="Note 9 2 10 4" xfId="18823"/>
    <cellStyle name="Note 9 2 10 4 2" xfId="18824"/>
    <cellStyle name="Note 9 2 10 5" xfId="18825"/>
    <cellStyle name="Note 9 2 10 5 2" xfId="18826"/>
    <cellStyle name="Note 9 2 10 6" xfId="18827"/>
    <cellStyle name="Note 9 2 10 6 2" xfId="18828"/>
    <cellStyle name="Note 9 2 10 7" xfId="18829"/>
    <cellStyle name="Note 9 2 11" xfId="18830"/>
    <cellStyle name="Note 9 2 11 2" xfId="18831"/>
    <cellStyle name="Note 9 2 11 2 2" xfId="18832"/>
    <cellStyle name="Note 9 2 11 2 2 2" xfId="18833"/>
    <cellStyle name="Note 9 2 11 2 3" xfId="18834"/>
    <cellStyle name="Note 9 2 11 3" xfId="18835"/>
    <cellStyle name="Note 9 2 11 3 2" xfId="18836"/>
    <cellStyle name="Note 9 2 11 3 2 2" xfId="18837"/>
    <cellStyle name="Note 9 2 11 3 3" xfId="18838"/>
    <cellStyle name="Note 9 2 11 4" xfId="18839"/>
    <cellStyle name="Note 9 2 11 4 2" xfId="18840"/>
    <cellStyle name="Note 9 2 11 5" xfId="18841"/>
    <cellStyle name="Note 9 2 11 5 2" xfId="18842"/>
    <cellStyle name="Note 9 2 11 6" xfId="18843"/>
    <cellStyle name="Note 9 2 11 6 2" xfId="18844"/>
    <cellStyle name="Note 9 2 11 7" xfId="18845"/>
    <cellStyle name="Note 9 2 12" xfId="18846"/>
    <cellStyle name="Note 9 2 12 2" xfId="18847"/>
    <cellStyle name="Note 9 2 13" xfId="18848"/>
    <cellStyle name="Note 9 2 13 2" xfId="18849"/>
    <cellStyle name="Note 9 2 2" xfId="18850"/>
    <cellStyle name="Note 9 2 2 2" xfId="18851"/>
    <cellStyle name="Note 9 2 2 2 2" xfId="18852"/>
    <cellStyle name="Note 9 2 2 2 2 2" xfId="18853"/>
    <cellStyle name="Note 9 2 2 2 2 2 2" xfId="18854"/>
    <cellStyle name="Note 9 2 2 2 2 2 2 2" xfId="18855"/>
    <cellStyle name="Note 9 2 2 2 2 2 3" xfId="18856"/>
    <cellStyle name="Note 9 2 2 2 2 3" xfId="18857"/>
    <cellStyle name="Note 9 2 2 2 2 3 2" xfId="18858"/>
    <cellStyle name="Note 9 2 2 2 2 3 2 2" xfId="18859"/>
    <cellStyle name="Note 9 2 2 2 2 3 3" xfId="18860"/>
    <cellStyle name="Note 9 2 2 2 2 4" xfId="18861"/>
    <cellStyle name="Note 9 2 2 2 2 4 2" xfId="18862"/>
    <cellStyle name="Note 9 2 2 2 2 5" xfId="18863"/>
    <cellStyle name="Note 9 2 2 2 2 5 2" xfId="18864"/>
    <cellStyle name="Note 9 2 2 2 2 6" xfId="18865"/>
    <cellStyle name="Note 9 2 2 2 2 6 2" xfId="18866"/>
    <cellStyle name="Note 9 2 2 2 2 7" xfId="18867"/>
    <cellStyle name="Note 9 2 2 2 3" xfId="18868"/>
    <cellStyle name="Note 9 2 2 2 3 2" xfId="18869"/>
    <cellStyle name="Note 9 2 2 2 3 2 2" xfId="18870"/>
    <cellStyle name="Note 9 2 2 2 3 2 2 2" xfId="18871"/>
    <cellStyle name="Note 9 2 2 2 3 2 3" xfId="18872"/>
    <cellStyle name="Note 9 2 2 2 3 3" xfId="18873"/>
    <cellStyle name="Note 9 2 2 2 3 3 2" xfId="18874"/>
    <cellStyle name="Note 9 2 2 2 3 3 2 2" xfId="18875"/>
    <cellStyle name="Note 9 2 2 2 3 3 3" xfId="18876"/>
    <cellStyle name="Note 9 2 2 2 3 4" xfId="18877"/>
    <cellStyle name="Note 9 2 2 2 3 4 2" xfId="18878"/>
    <cellStyle name="Note 9 2 2 2 3 5" xfId="18879"/>
    <cellStyle name="Note 9 2 2 2 3 5 2" xfId="18880"/>
    <cellStyle name="Note 9 2 2 2 3 6" xfId="18881"/>
    <cellStyle name="Note 9 2 2 2 3 6 2" xfId="18882"/>
    <cellStyle name="Note 9 2 2 2 3 7" xfId="18883"/>
    <cellStyle name="Note 9 2 2 2 4" xfId="18884"/>
    <cellStyle name="Note 9 2 2 2 4 2" xfId="18885"/>
    <cellStyle name="Note 9 2 2 2 5" xfId="18886"/>
    <cellStyle name="Note 9 2 2 2 5 2" xfId="18887"/>
    <cellStyle name="Note 9 2 2 3" xfId="18888"/>
    <cellStyle name="Note 9 2 2 3 2" xfId="18889"/>
    <cellStyle name="Note 9 2 2 3 2 2" xfId="18890"/>
    <cellStyle name="Note 9 2 2 3 2 2 2" xfId="18891"/>
    <cellStyle name="Note 9 2 2 3 2 2 2 2" xfId="18892"/>
    <cellStyle name="Note 9 2 2 3 2 2 3" xfId="18893"/>
    <cellStyle name="Note 9 2 2 3 2 3" xfId="18894"/>
    <cellStyle name="Note 9 2 2 3 2 3 2" xfId="18895"/>
    <cellStyle name="Note 9 2 2 3 2 3 2 2" xfId="18896"/>
    <cellStyle name="Note 9 2 2 3 2 3 3" xfId="18897"/>
    <cellStyle name="Note 9 2 2 3 2 4" xfId="18898"/>
    <cellStyle name="Note 9 2 2 3 2 4 2" xfId="18899"/>
    <cellStyle name="Note 9 2 2 3 2 5" xfId="18900"/>
    <cellStyle name="Note 9 2 2 3 2 5 2" xfId="18901"/>
    <cellStyle name="Note 9 2 2 3 2 6" xfId="18902"/>
    <cellStyle name="Note 9 2 2 3 2 6 2" xfId="18903"/>
    <cellStyle name="Note 9 2 2 3 2 7" xfId="18904"/>
    <cellStyle name="Note 9 2 2 3 3" xfId="18905"/>
    <cellStyle name="Note 9 2 2 3 3 2" xfId="18906"/>
    <cellStyle name="Note 9 2 2 3 3 2 2" xfId="18907"/>
    <cellStyle name="Note 9 2 2 3 3 2 2 2" xfId="18908"/>
    <cellStyle name="Note 9 2 2 3 3 2 3" xfId="18909"/>
    <cellStyle name="Note 9 2 2 3 3 3" xfId="18910"/>
    <cellStyle name="Note 9 2 2 3 3 3 2" xfId="18911"/>
    <cellStyle name="Note 9 2 2 3 3 3 2 2" xfId="18912"/>
    <cellStyle name="Note 9 2 2 3 3 3 3" xfId="18913"/>
    <cellStyle name="Note 9 2 2 3 3 4" xfId="18914"/>
    <cellStyle name="Note 9 2 2 3 3 4 2" xfId="18915"/>
    <cellStyle name="Note 9 2 2 3 3 5" xfId="18916"/>
    <cellStyle name="Note 9 2 2 3 3 5 2" xfId="18917"/>
    <cellStyle name="Note 9 2 2 3 3 6" xfId="18918"/>
    <cellStyle name="Note 9 2 2 3 3 6 2" xfId="18919"/>
    <cellStyle name="Note 9 2 2 3 3 7" xfId="18920"/>
    <cellStyle name="Note 9 2 2 3 4" xfId="18921"/>
    <cellStyle name="Note 9 2 2 3 4 2" xfId="18922"/>
    <cellStyle name="Note 9 2 2 3 5" xfId="18923"/>
    <cellStyle name="Note 9 2 2 3 5 2" xfId="18924"/>
    <cellStyle name="Note 9 2 2 4" xfId="18925"/>
    <cellStyle name="Note 9 2 2 4 2" xfId="18926"/>
    <cellStyle name="Note 9 2 2 4 2 2" xfId="18927"/>
    <cellStyle name="Note 9 2 2 4 2 2 2" xfId="18928"/>
    <cellStyle name="Note 9 2 2 4 2 3" xfId="18929"/>
    <cellStyle name="Note 9 2 2 4 3" xfId="18930"/>
    <cellStyle name="Note 9 2 2 4 3 2" xfId="18931"/>
    <cellStyle name="Note 9 2 2 4 3 2 2" xfId="18932"/>
    <cellStyle name="Note 9 2 2 4 3 3" xfId="18933"/>
    <cellStyle name="Note 9 2 2 4 4" xfId="18934"/>
    <cellStyle name="Note 9 2 2 4 4 2" xfId="18935"/>
    <cellStyle name="Note 9 2 2 4 5" xfId="18936"/>
    <cellStyle name="Note 9 2 2 4 5 2" xfId="18937"/>
    <cellStyle name="Note 9 2 2 4 6" xfId="18938"/>
    <cellStyle name="Note 9 2 2 4 6 2" xfId="18939"/>
    <cellStyle name="Note 9 2 2 4 7" xfId="18940"/>
    <cellStyle name="Note 9 2 2 5" xfId="18941"/>
    <cellStyle name="Note 9 2 2 5 2" xfId="18942"/>
    <cellStyle name="Note 9 2 2 5 2 2" xfId="18943"/>
    <cellStyle name="Note 9 2 2 5 2 2 2" xfId="18944"/>
    <cellStyle name="Note 9 2 2 5 2 3" xfId="18945"/>
    <cellStyle name="Note 9 2 2 5 3" xfId="18946"/>
    <cellStyle name="Note 9 2 2 5 3 2" xfId="18947"/>
    <cellStyle name="Note 9 2 2 5 3 2 2" xfId="18948"/>
    <cellStyle name="Note 9 2 2 5 3 3" xfId="18949"/>
    <cellStyle name="Note 9 2 2 5 4" xfId="18950"/>
    <cellStyle name="Note 9 2 2 5 4 2" xfId="18951"/>
    <cellStyle name="Note 9 2 2 5 5" xfId="18952"/>
    <cellStyle name="Note 9 2 2 5 5 2" xfId="18953"/>
    <cellStyle name="Note 9 2 2 5 6" xfId="18954"/>
    <cellStyle name="Note 9 2 2 5 6 2" xfId="18955"/>
    <cellStyle name="Note 9 2 2 5 7" xfId="18956"/>
    <cellStyle name="Note 9 2 2 6" xfId="18957"/>
    <cellStyle name="Note 9 2 2 6 2" xfId="18958"/>
    <cellStyle name="Note 9 2 2 6 2 2" xfId="18959"/>
    <cellStyle name="Note 9 2 2 6 2 2 2" xfId="18960"/>
    <cellStyle name="Note 9 2 2 6 2 3" xfId="18961"/>
    <cellStyle name="Note 9 2 2 6 3" xfId="18962"/>
    <cellStyle name="Note 9 2 2 6 3 2" xfId="18963"/>
    <cellStyle name="Note 9 2 2 6 3 2 2" xfId="18964"/>
    <cellStyle name="Note 9 2 2 6 3 3" xfId="18965"/>
    <cellStyle name="Note 9 2 2 6 4" xfId="18966"/>
    <cellStyle name="Note 9 2 2 6 4 2" xfId="18967"/>
    <cellStyle name="Note 9 2 2 6 5" xfId="18968"/>
    <cellStyle name="Note 9 2 2 6 5 2" xfId="18969"/>
    <cellStyle name="Note 9 2 2 6 6" xfId="18970"/>
    <cellStyle name="Note 9 2 2 6 6 2" xfId="18971"/>
    <cellStyle name="Note 9 2 2 6 7" xfId="18972"/>
    <cellStyle name="Note 9 2 2 7" xfId="18973"/>
    <cellStyle name="Note 9 2 2 7 2" xfId="18974"/>
    <cellStyle name="Note 9 2 2 8" xfId="18975"/>
    <cellStyle name="Note 9 2 2 8 2" xfId="18976"/>
    <cellStyle name="Note 9 2 3" xfId="18977"/>
    <cellStyle name="Note 9 2 3 2" xfId="18978"/>
    <cellStyle name="Note 9 2 3 2 2" xfId="18979"/>
    <cellStyle name="Note 9 2 3 2 2 2" xfId="18980"/>
    <cellStyle name="Note 9 2 3 2 2 2 2" xfId="18981"/>
    <cellStyle name="Note 9 2 3 2 2 2 2 2" xfId="18982"/>
    <cellStyle name="Note 9 2 3 2 2 2 3" xfId="18983"/>
    <cellStyle name="Note 9 2 3 2 2 3" xfId="18984"/>
    <cellStyle name="Note 9 2 3 2 2 3 2" xfId="18985"/>
    <cellStyle name="Note 9 2 3 2 2 3 2 2" xfId="18986"/>
    <cellStyle name="Note 9 2 3 2 2 3 3" xfId="18987"/>
    <cellStyle name="Note 9 2 3 2 2 4" xfId="18988"/>
    <cellStyle name="Note 9 2 3 2 2 4 2" xfId="18989"/>
    <cellStyle name="Note 9 2 3 2 2 5" xfId="18990"/>
    <cellStyle name="Note 9 2 3 2 2 5 2" xfId="18991"/>
    <cellStyle name="Note 9 2 3 2 2 6" xfId="18992"/>
    <cellStyle name="Note 9 2 3 2 2 6 2" xfId="18993"/>
    <cellStyle name="Note 9 2 3 2 2 7" xfId="18994"/>
    <cellStyle name="Note 9 2 3 2 3" xfId="18995"/>
    <cellStyle name="Note 9 2 3 2 3 2" xfId="18996"/>
    <cellStyle name="Note 9 2 3 2 3 2 2" xfId="18997"/>
    <cellStyle name="Note 9 2 3 2 3 2 2 2" xfId="18998"/>
    <cellStyle name="Note 9 2 3 2 3 2 3" xfId="18999"/>
    <cellStyle name="Note 9 2 3 2 3 3" xfId="19000"/>
    <cellStyle name="Note 9 2 3 2 3 3 2" xfId="19001"/>
    <cellStyle name="Note 9 2 3 2 3 3 2 2" xfId="19002"/>
    <cellStyle name="Note 9 2 3 2 3 3 3" xfId="19003"/>
    <cellStyle name="Note 9 2 3 2 3 4" xfId="19004"/>
    <cellStyle name="Note 9 2 3 2 3 4 2" xfId="19005"/>
    <cellStyle name="Note 9 2 3 2 3 5" xfId="19006"/>
    <cellStyle name="Note 9 2 3 2 3 5 2" xfId="19007"/>
    <cellStyle name="Note 9 2 3 2 3 6" xfId="19008"/>
    <cellStyle name="Note 9 2 3 2 3 6 2" xfId="19009"/>
    <cellStyle name="Note 9 2 3 2 3 7" xfId="19010"/>
    <cellStyle name="Note 9 2 3 2 4" xfId="19011"/>
    <cellStyle name="Note 9 2 3 2 4 2" xfId="19012"/>
    <cellStyle name="Note 9 2 3 2 5" xfId="19013"/>
    <cellStyle name="Note 9 2 3 2 5 2" xfId="19014"/>
    <cellStyle name="Note 9 2 3 3" xfId="19015"/>
    <cellStyle name="Note 9 2 3 3 2" xfId="19016"/>
    <cellStyle name="Note 9 2 3 3 2 2" xfId="19017"/>
    <cellStyle name="Note 9 2 3 3 2 2 2" xfId="19018"/>
    <cellStyle name="Note 9 2 3 3 2 2 2 2" xfId="19019"/>
    <cellStyle name="Note 9 2 3 3 2 2 3" xfId="19020"/>
    <cellStyle name="Note 9 2 3 3 2 3" xfId="19021"/>
    <cellStyle name="Note 9 2 3 3 2 3 2" xfId="19022"/>
    <cellStyle name="Note 9 2 3 3 2 3 2 2" xfId="19023"/>
    <cellStyle name="Note 9 2 3 3 2 3 3" xfId="19024"/>
    <cellStyle name="Note 9 2 3 3 2 4" xfId="19025"/>
    <cellStyle name="Note 9 2 3 3 2 4 2" xfId="19026"/>
    <cellStyle name="Note 9 2 3 3 2 5" xfId="19027"/>
    <cellStyle name="Note 9 2 3 3 2 5 2" xfId="19028"/>
    <cellStyle name="Note 9 2 3 3 2 6" xfId="19029"/>
    <cellStyle name="Note 9 2 3 3 2 6 2" xfId="19030"/>
    <cellStyle name="Note 9 2 3 3 2 7" xfId="19031"/>
    <cellStyle name="Note 9 2 3 3 3" xfId="19032"/>
    <cellStyle name="Note 9 2 3 3 3 2" xfId="19033"/>
    <cellStyle name="Note 9 2 3 3 3 2 2" xfId="19034"/>
    <cellStyle name="Note 9 2 3 3 3 2 2 2" xfId="19035"/>
    <cellStyle name="Note 9 2 3 3 3 2 3" xfId="19036"/>
    <cellStyle name="Note 9 2 3 3 3 3" xfId="19037"/>
    <cellStyle name="Note 9 2 3 3 3 3 2" xfId="19038"/>
    <cellStyle name="Note 9 2 3 3 3 3 2 2" xfId="19039"/>
    <cellStyle name="Note 9 2 3 3 3 3 3" xfId="19040"/>
    <cellStyle name="Note 9 2 3 3 3 4" xfId="19041"/>
    <cellStyle name="Note 9 2 3 3 3 4 2" xfId="19042"/>
    <cellStyle name="Note 9 2 3 3 3 5" xfId="19043"/>
    <cellStyle name="Note 9 2 3 3 3 5 2" xfId="19044"/>
    <cellStyle name="Note 9 2 3 3 3 6" xfId="19045"/>
    <cellStyle name="Note 9 2 3 3 3 6 2" xfId="19046"/>
    <cellStyle name="Note 9 2 3 3 3 7" xfId="19047"/>
    <cellStyle name="Note 9 2 3 3 4" xfId="19048"/>
    <cellStyle name="Note 9 2 3 3 4 2" xfId="19049"/>
    <cellStyle name="Note 9 2 3 3 5" xfId="19050"/>
    <cellStyle name="Note 9 2 3 3 5 2" xfId="19051"/>
    <cellStyle name="Note 9 2 3 4" xfId="19052"/>
    <cellStyle name="Note 9 2 3 4 2" xfId="19053"/>
    <cellStyle name="Note 9 2 3 4 2 2" xfId="19054"/>
    <cellStyle name="Note 9 2 3 4 2 2 2" xfId="19055"/>
    <cellStyle name="Note 9 2 3 4 2 3" xfId="19056"/>
    <cellStyle name="Note 9 2 3 4 3" xfId="19057"/>
    <cellStyle name="Note 9 2 3 4 3 2" xfId="19058"/>
    <cellStyle name="Note 9 2 3 4 3 2 2" xfId="19059"/>
    <cellStyle name="Note 9 2 3 4 3 3" xfId="19060"/>
    <cellStyle name="Note 9 2 3 4 4" xfId="19061"/>
    <cellStyle name="Note 9 2 3 4 4 2" xfId="19062"/>
    <cellStyle name="Note 9 2 3 4 5" xfId="19063"/>
    <cellStyle name="Note 9 2 3 4 5 2" xfId="19064"/>
    <cellStyle name="Note 9 2 3 4 6" xfId="19065"/>
    <cellStyle name="Note 9 2 3 4 6 2" xfId="19066"/>
    <cellStyle name="Note 9 2 3 4 7" xfId="19067"/>
    <cellStyle name="Note 9 2 3 5" xfId="19068"/>
    <cellStyle name="Note 9 2 3 5 2" xfId="19069"/>
    <cellStyle name="Note 9 2 3 5 2 2" xfId="19070"/>
    <cellStyle name="Note 9 2 3 5 2 2 2" xfId="19071"/>
    <cellStyle name="Note 9 2 3 5 2 3" xfId="19072"/>
    <cellStyle name="Note 9 2 3 5 3" xfId="19073"/>
    <cellStyle name="Note 9 2 3 5 3 2" xfId="19074"/>
    <cellStyle name="Note 9 2 3 5 3 2 2" xfId="19075"/>
    <cellStyle name="Note 9 2 3 5 3 3" xfId="19076"/>
    <cellStyle name="Note 9 2 3 5 4" xfId="19077"/>
    <cellStyle name="Note 9 2 3 5 4 2" xfId="19078"/>
    <cellStyle name="Note 9 2 3 5 5" xfId="19079"/>
    <cellStyle name="Note 9 2 3 5 5 2" xfId="19080"/>
    <cellStyle name="Note 9 2 3 5 6" xfId="19081"/>
    <cellStyle name="Note 9 2 3 5 6 2" xfId="19082"/>
    <cellStyle name="Note 9 2 3 5 7" xfId="19083"/>
    <cellStyle name="Note 9 2 3 6" xfId="19084"/>
    <cellStyle name="Note 9 2 3 6 2" xfId="19085"/>
    <cellStyle name="Note 9 2 3 6 2 2" xfId="19086"/>
    <cellStyle name="Note 9 2 3 6 2 2 2" xfId="19087"/>
    <cellStyle name="Note 9 2 3 6 2 3" xfId="19088"/>
    <cellStyle name="Note 9 2 3 6 3" xfId="19089"/>
    <cellStyle name="Note 9 2 3 6 3 2" xfId="19090"/>
    <cellStyle name="Note 9 2 3 6 3 2 2" xfId="19091"/>
    <cellStyle name="Note 9 2 3 6 3 3" xfId="19092"/>
    <cellStyle name="Note 9 2 3 6 4" xfId="19093"/>
    <cellStyle name="Note 9 2 3 6 4 2" xfId="19094"/>
    <cellStyle name="Note 9 2 3 6 5" xfId="19095"/>
    <cellStyle name="Note 9 2 3 6 5 2" xfId="19096"/>
    <cellStyle name="Note 9 2 3 6 6" xfId="19097"/>
    <cellStyle name="Note 9 2 3 6 6 2" xfId="19098"/>
    <cellStyle name="Note 9 2 3 6 7" xfId="19099"/>
    <cellStyle name="Note 9 2 3 7" xfId="19100"/>
    <cellStyle name="Note 9 2 3 7 2" xfId="19101"/>
    <cellStyle name="Note 9 2 3 8" xfId="19102"/>
    <cellStyle name="Note 9 2 3 8 2" xfId="19103"/>
    <cellStyle name="Note 9 2 4" xfId="19104"/>
    <cellStyle name="Note 9 2 4 2" xfId="19105"/>
    <cellStyle name="Note 9 2 4 2 2" xfId="19106"/>
    <cellStyle name="Note 9 2 4 2 2 2" xfId="19107"/>
    <cellStyle name="Note 9 2 4 2 2 2 2" xfId="19108"/>
    <cellStyle name="Note 9 2 4 2 2 2 2 2" xfId="19109"/>
    <cellStyle name="Note 9 2 4 2 2 2 3" xfId="19110"/>
    <cellStyle name="Note 9 2 4 2 2 3" xfId="19111"/>
    <cellStyle name="Note 9 2 4 2 2 3 2" xfId="19112"/>
    <cellStyle name="Note 9 2 4 2 2 3 2 2" xfId="19113"/>
    <cellStyle name="Note 9 2 4 2 2 3 3" xfId="19114"/>
    <cellStyle name="Note 9 2 4 2 2 4" xfId="19115"/>
    <cellStyle name="Note 9 2 4 2 2 4 2" xfId="19116"/>
    <cellStyle name="Note 9 2 4 2 2 5" xfId="19117"/>
    <cellStyle name="Note 9 2 4 2 2 5 2" xfId="19118"/>
    <cellStyle name="Note 9 2 4 2 2 6" xfId="19119"/>
    <cellStyle name="Note 9 2 4 2 2 6 2" xfId="19120"/>
    <cellStyle name="Note 9 2 4 2 2 7" xfId="19121"/>
    <cellStyle name="Note 9 2 4 2 3" xfId="19122"/>
    <cellStyle name="Note 9 2 4 2 3 2" xfId="19123"/>
    <cellStyle name="Note 9 2 4 2 3 2 2" xfId="19124"/>
    <cellStyle name="Note 9 2 4 2 3 2 2 2" xfId="19125"/>
    <cellStyle name="Note 9 2 4 2 3 2 3" xfId="19126"/>
    <cellStyle name="Note 9 2 4 2 3 3" xfId="19127"/>
    <cellStyle name="Note 9 2 4 2 3 3 2" xfId="19128"/>
    <cellStyle name="Note 9 2 4 2 3 3 2 2" xfId="19129"/>
    <cellStyle name="Note 9 2 4 2 3 3 3" xfId="19130"/>
    <cellStyle name="Note 9 2 4 2 3 4" xfId="19131"/>
    <cellStyle name="Note 9 2 4 2 3 4 2" xfId="19132"/>
    <cellStyle name="Note 9 2 4 2 3 5" xfId="19133"/>
    <cellStyle name="Note 9 2 4 2 3 5 2" xfId="19134"/>
    <cellStyle name="Note 9 2 4 2 3 6" xfId="19135"/>
    <cellStyle name="Note 9 2 4 2 3 6 2" xfId="19136"/>
    <cellStyle name="Note 9 2 4 2 3 7" xfId="19137"/>
    <cellStyle name="Note 9 2 4 2 4" xfId="19138"/>
    <cellStyle name="Note 9 2 4 2 4 2" xfId="19139"/>
    <cellStyle name="Note 9 2 4 2 5" xfId="19140"/>
    <cellStyle name="Note 9 2 4 2 5 2" xfId="19141"/>
    <cellStyle name="Note 9 2 4 3" xfId="19142"/>
    <cellStyle name="Note 9 2 4 3 2" xfId="19143"/>
    <cellStyle name="Note 9 2 4 3 2 2" xfId="19144"/>
    <cellStyle name="Note 9 2 4 3 2 2 2" xfId="19145"/>
    <cellStyle name="Note 9 2 4 3 2 2 2 2" xfId="19146"/>
    <cellStyle name="Note 9 2 4 3 2 2 3" xfId="19147"/>
    <cellStyle name="Note 9 2 4 3 2 3" xfId="19148"/>
    <cellStyle name="Note 9 2 4 3 2 3 2" xfId="19149"/>
    <cellStyle name="Note 9 2 4 3 2 3 2 2" xfId="19150"/>
    <cellStyle name="Note 9 2 4 3 2 3 3" xfId="19151"/>
    <cellStyle name="Note 9 2 4 3 2 4" xfId="19152"/>
    <cellStyle name="Note 9 2 4 3 2 4 2" xfId="19153"/>
    <cellStyle name="Note 9 2 4 3 2 5" xfId="19154"/>
    <cellStyle name="Note 9 2 4 3 2 5 2" xfId="19155"/>
    <cellStyle name="Note 9 2 4 3 2 6" xfId="19156"/>
    <cellStyle name="Note 9 2 4 3 2 6 2" xfId="19157"/>
    <cellStyle name="Note 9 2 4 3 2 7" xfId="19158"/>
    <cellStyle name="Note 9 2 4 3 3" xfId="19159"/>
    <cellStyle name="Note 9 2 4 3 3 2" xfId="19160"/>
    <cellStyle name="Note 9 2 4 3 3 2 2" xfId="19161"/>
    <cellStyle name="Note 9 2 4 3 3 2 2 2" xfId="19162"/>
    <cellStyle name="Note 9 2 4 3 3 2 3" xfId="19163"/>
    <cellStyle name="Note 9 2 4 3 3 3" xfId="19164"/>
    <cellStyle name="Note 9 2 4 3 3 3 2" xfId="19165"/>
    <cellStyle name="Note 9 2 4 3 3 3 2 2" xfId="19166"/>
    <cellStyle name="Note 9 2 4 3 3 3 3" xfId="19167"/>
    <cellStyle name="Note 9 2 4 3 3 4" xfId="19168"/>
    <cellStyle name="Note 9 2 4 3 3 4 2" xfId="19169"/>
    <cellStyle name="Note 9 2 4 3 3 5" xfId="19170"/>
    <cellStyle name="Note 9 2 4 3 3 5 2" xfId="19171"/>
    <cellStyle name="Note 9 2 4 3 3 6" xfId="19172"/>
    <cellStyle name="Note 9 2 4 3 3 6 2" xfId="19173"/>
    <cellStyle name="Note 9 2 4 3 3 7" xfId="19174"/>
    <cellStyle name="Note 9 2 4 3 4" xfId="19175"/>
    <cellStyle name="Note 9 2 4 3 4 2" xfId="19176"/>
    <cellStyle name="Note 9 2 4 3 5" xfId="19177"/>
    <cellStyle name="Note 9 2 4 3 5 2" xfId="19178"/>
    <cellStyle name="Note 9 2 4 4" xfId="19179"/>
    <cellStyle name="Note 9 2 4 4 2" xfId="19180"/>
    <cellStyle name="Note 9 2 4 4 2 2" xfId="19181"/>
    <cellStyle name="Note 9 2 4 4 2 2 2" xfId="19182"/>
    <cellStyle name="Note 9 2 4 4 2 3" xfId="19183"/>
    <cellStyle name="Note 9 2 4 4 3" xfId="19184"/>
    <cellStyle name="Note 9 2 4 4 3 2" xfId="19185"/>
    <cellStyle name="Note 9 2 4 4 3 2 2" xfId="19186"/>
    <cellStyle name="Note 9 2 4 4 3 3" xfId="19187"/>
    <cellStyle name="Note 9 2 4 4 4" xfId="19188"/>
    <cellStyle name="Note 9 2 4 4 4 2" xfId="19189"/>
    <cellStyle name="Note 9 2 4 4 5" xfId="19190"/>
    <cellStyle name="Note 9 2 4 4 5 2" xfId="19191"/>
    <cellStyle name="Note 9 2 4 4 6" xfId="19192"/>
    <cellStyle name="Note 9 2 4 4 6 2" xfId="19193"/>
    <cellStyle name="Note 9 2 4 4 7" xfId="19194"/>
    <cellStyle name="Note 9 2 4 5" xfId="19195"/>
    <cellStyle name="Note 9 2 4 5 2" xfId="19196"/>
    <cellStyle name="Note 9 2 4 5 2 2" xfId="19197"/>
    <cellStyle name="Note 9 2 4 5 2 2 2" xfId="19198"/>
    <cellStyle name="Note 9 2 4 5 2 3" xfId="19199"/>
    <cellStyle name="Note 9 2 4 5 3" xfId="19200"/>
    <cellStyle name="Note 9 2 4 5 3 2" xfId="19201"/>
    <cellStyle name="Note 9 2 4 5 3 2 2" xfId="19202"/>
    <cellStyle name="Note 9 2 4 5 3 3" xfId="19203"/>
    <cellStyle name="Note 9 2 4 5 4" xfId="19204"/>
    <cellStyle name="Note 9 2 4 5 4 2" xfId="19205"/>
    <cellStyle name="Note 9 2 4 5 5" xfId="19206"/>
    <cellStyle name="Note 9 2 4 5 5 2" xfId="19207"/>
    <cellStyle name="Note 9 2 4 5 6" xfId="19208"/>
    <cellStyle name="Note 9 2 4 5 6 2" xfId="19209"/>
    <cellStyle name="Note 9 2 4 5 7" xfId="19210"/>
    <cellStyle name="Note 9 2 4 6" xfId="19211"/>
    <cellStyle name="Note 9 2 4 6 2" xfId="19212"/>
    <cellStyle name="Note 9 2 4 6 2 2" xfId="19213"/>
    <cellStyle name="Note 9 2 4 6 2 2 2" xfId="19214"/>
    <cellStyle name="Note 9 2 4 6 2 3" xfId="19215"/>
    <cellStyle name="Note 9 2 4 6 3" xfId="19216"/>
    <cellStyle name="Note 9 2 4 6 3 2" xfId="19217"/>
    <cellStyle name="Note 9 2 4 6 3 2 2" xfId="19218"/>
    <cellStyle name="Note 9 2 4 6 3 3" xfId="19219"/>
    <cellStyle name="Note 9 2 4 6 4" xfId="19220"/>
    <cellStyle name="Note 9 2 4 6 4 2" xfId="19221"/>
    <cellStyle name="Note 9 2 4 6 5" xfId="19222"/>
    <cellStyle name="Note 9 2 4 6 5 2" xfId="19223"/>
    <cellStyle name="Note 9 2 4 6 6" xfId="19224"/>
    <cellStyle name="Note 9 2 4 6 6 2" xfId="19225"/>
    <cellStyle name="Note 9 2 4 6 7" xfId="19226"/>
    <cellStyle name="Note 9 2 4 7" xfId="19227"/>
    <cellStyle name="Note 9 2 4 7 2" xfId="19228"/>
    <cellStyle name="Note 9 2 4 8" xfId="19229"/>
    <cellStyle name="Note 9 2 4 8 2" xfId="19230"/>
    <cellStyle name="Note 9 2 5" xfId="19231"/>
    <cellStyle name="Note 9 2 5 2" xfId="19232"/>
    <cellStyle name="Note 9 2 5 2 2" xfId="19233"/>
    <cellStyle name="Note 9 2 5 2 2 2" xfId="19234"/>
    <cellStyle name="Note 9 2 5 2 2 2 2" xfId="19235"/>
    <cellStyle name="Note 9 2 5 2 2 2 2 2" xfId="19236"/>
    <cellStyle name="Note 9 2 5 2 2 2 3" xfId="19237"/>
    <cellStyle name="Note 9 2 5 2 2 3" xfId="19238"/>
    <cellStyle name="Note 9 2 5 2 2 3 2" xfId="19239"/>
    <cellStyle name="Note 9 2 5 2 2 3 2 2" xfId="19240"/>
    <cellStyle name="Note 9 2 5 2 2 3 3" xfId="19241"/>
    <cellStyle name="Note 9 2 5 2 2 4" xfId="19242"/>
    <cellStyle name="Note 9 2 5 2 2 4 2" xfId="19243"/>
    <cellStyle name="Note 9 2 5 2 2 5" xfId="19244"/>
    <cellStyle name="Note 9 2 5 2 2 5 2" xfId="19245"/>
    <cellStyle name="Note 9 2 5 2 2 6" xfId="19246"/>
    <cellStyle name="Note 9 2 5 2 2 6 2" xfId="19247"/>
    <cellStyle name="Note 9 2 5 2 2 7" xfId="19248"/>
    <cellStyle name="Note 9 2 5 2 3" xfId="19249"/>
    <cellStyle name="Note 9 2 5 2 3 2" xfId="19250"/>
    <cellStyle name="Note 9 2 5 2 3 2 2" xfId="19251"/>
    <cellStyle name="Note 9 2 5 2 3 2 2 2" xfId="19252"/>
    <cellStyle name="Note 9 2 5 2 3 2 3" xfId="19253"/>
    <cellStyle name="Note 9 2 5 2 3 3" xfId="19254"/>
    <cellStyle name="Note 9 2 5 2 3 3 2" xfId="19255"/>
    <cellStyle name="Note 9 2 5 2 3 3 2 2" xfId="19256"/>
    <cellStyle name="Note 9 2 5 2 3 3 3" xfId="19257"/>
    <cellStyle name="Note 9 2 5 2 3 4" xfId="19258"/>
    <cellStyle name="Note 9 2 5 2 3 4 2" xfId="19259"/>
    <cellStyle name="Note 9 2 5 2 3 5" xfId="19260"/>
    <cellStyle name="Note 9 2 5 2 3 5 2" xfId="19261"/>
    <cellStyle name="Note 9 2 5 2 3 6" xfId="19262"/>
    <cellStyle name="Note 9 2 5 2 3 6 2" xfId="19263"/>
    <cellStyle name="Note 9 2 5 2 3 7" xfId="19264"/>
    <cellStyle name="Note 9 2 5 2 4" xfId="19265"/>
    <cellStyle name="Note 9 2 5 2 4 2" xfId="19266"/>
    <cellStyle name="Note 9 2 5 2 5" xfId="19267"/>
    <cellStyle name="Note 9 2 5 2 5 2" xfId="19268"/>
    <cellStyle name="Note 9 2 5 3" xfId="19269"/>
    <cellStyle name="Note 9 2 5 3 2" xfId="19270"/>
    <cellStyle name="Note 9 2 5 3 2 2" xfId="19271"/>
    <cellStyle name="Note 9 2 5 3 2 2 2" xfId="19272"/>
    <cellStyle name="Note 9 2 5 3 2 2 2 2" xfId="19273"/>
    <cellStyle name="Note 9 2 5 3 2 2 3" xfId="19274"/>
    <cellStyle name="Note 9 2 5 3 2 3" xfId="19275"/>
    <cellStyle name="Note 9 2 5 3 2 3 2" xfId="19276"/>
    <cellStyle name="Note 9 2 5 3 2 3 2 2" xfId="19277"/>
    <cellStyle name="Note 9 2 5 3 2 3 3" xfId="19278"/>
    <cellStyle name="Note 9 2 5 3 2 4" xfId="19279"/>
    <cellStyle name="Note 9 2 5 3 2 4 2" xfId="19280"/>
    <cellStyle name="Note 9 2 5 3 2 5" xfId="19281"/>
    <cellStyle name="Note 9 2 5 3 2 5 2" xfId="19282"/>
    <cellStyle name="Note 9 2 5 3 2 6" xfId="19283"/>
    <cellStyle name="Note 9 2 5 3 2 6 2" xfId="19284"/>
    <cellStyle name="Note 9 2 5 3 2 7" xfId="19285"/>
    <cellStyle name="Note 9 2 5 3 3" xfId="19286"/>
    <cellStyle name="Note 9 2 5 3 3 2" xfId="19287"/>
    <cellStyle name="Note 9 2 5 3 3 2 2" xfId="19288"/>
    <cellStyle name="Note 9 2 5 3 3 2 2 2" xfId="19289"/>
    <cellStyle name="Note 9 2 5 3 3 2 3" xfId="19290"/>
    <cellStyle name="Note 9 2 5 3 3 3" xfId="19291"/>
    <cellStyle name="Note 9 2 5 3 3 3 2" xfId="19292"/>
    <cellStyle name="Note 9 2 5 3 3 3 2 2" xfId="19293"/>
    <cellStyle name="Note 9 2 5 3 3 3 3" xfId="19294"/>
    <cellStyle name="Note 9 2 5 3 3 4" xfId="19295"/>
    <cellStyle name="Note 9 2 5 3 3 4 2" xfId="19296"/>
    <cellStyle name="Note 9 2 5 3 3 5" xfId="19297"/>
    <cellStyle name="Note 9 2 5 3 3 5 2" xfId="19298"/>
    <cellStyle name="Note 9 2 5 3 3 6" xfId="19299"/>
    <cellStyle name="Note 9 2 5 3 3 6 2" xfId="19300"/>
    <cellStyle name="Note 9 2 5 3 3 7" xfId="19301"/>
    <cellStyle name="Note 9 2 5 3 4" xfId="19302"/>
    <cellStyle name="Note 9 2 5 3 4 2" xfId="19303"/>
    <cellStyle name="Note 9 2 5 3 5" xfId="19304"/>
    <cellStyle name="Note 9 2 5 3 5 2" xfId="19305"/>
    <cellStyle name="Note 9 2 5 4" xfId="19306"/>
    <cellStyle name="Note 9 2 5 4 2" xfId="19307"/>
    <cellStyle name="Note 9 2 5 4 2 2" xfId="19308"/>
    <cellStyle name="Note 9 2 5 4 2 2 2" xfId="19309"/>
    <cellStyle name="Note 9 2 5 4 2 3" xfId="19310"/>
    <cellStyle name="Note 9 2 5 4 3" xfId="19311"/>
    <cellStyle name="Note 9 2 5 4 3 2" xfId="19312"/>
    <cellStyle name="Note 9 2 5 4 3 2 2" xfId="19313"/>
    <cellStyle name="Note 9 2 5 4 3 3" xfId="19314"/>
    <cellStyle name="Note 9 2 5 4 4" xfId="19315"/>
    <cellStyle name="Note 9 2 5 4 4 2" xfId="19316"/>
    <cellStyle name="Note 9 2 5 4 5" xfId="19317"/>
    <cellStyle name="Note 9 2 5 4 5 2" xfId="19318"/>
    <cellStyle name="Note 9 2 5 4 6" xfId="19319"/>
    <cellStyle name="Note 9 2 5 4 6 2" xfId="19320"/>
    <cellStyle name="Note 9 2 5 4 7" xfId="19321"/>
    <cellStyle name="Note 9 2 5 5" xfId="19322"/>
    <cellStyle name="Note 9 2 5 5 2" xfId="19323"/>
    <cellStyle name="Note 9 2 5 5 2 2" xfId="19324"/>
    <cellStyle name="Note 9 2 5 5 2 2 2" xfId="19325"/>
    <cellStyle name="Note 9 2 5 5 2 3" xfId="19326"/>
    <cellStyle name="Note 9 2 5 5 3" xfId="19327"/>
    <cellStyle name="Note 9 2 5 5 3 2" xfId="19328"/>
    <cellStyle name="Note 9 2 5 5 3 2 2" xfId="19329"/>
    <cellStyle name="Note 9 2 5 5 3 3" xfId="19330"/>
    <cellStyle name="Note 9 2 5 5 4" xfId="19331"/>
    <cellStyle name="Note 9 2 5 5 4 2" xfId="19332"/>
    <cellStyle name="Note 9 2 5 5 5" xfId="19333"/>
    <cellStyle name="Note 9 2 5 5 5 2" xfId="19334"/>
    <cellStyle name="Note 9 2 5 5 6" xfId="19335"/>
    <cellStyle name="Note 9 2 5 5 6 2" xfId="19336"/>
    <cellStyle name="Note 9 2 5 5 7" xfId="19337"/>
    <cellStyle name="Note 9 2 5 6" xfId="19338"/>
    <cellStyle name="Note 9 2 5 6 2" xfId="19339"/>
    <cellStyle name="Note 9 2 5 6 2 2" xfId="19340"/>
    <cellStyle name="Note 9 2 5 6 2 2 2" xfId="19341"/>
    <cellStyle name="Note 9 2 5 6 2 3" xfId="19342"/>
    <cellStyle name="Note 9 2 5 6 3" xfId="19343"/>
    <cellStyle name="Note 9 2 5 6 3 2" xfId="19344"/>
    <cellStyle name="Note 9 2 5 6 3 2 2" xfId="19345"/>
    <cellStyle name="Note 9 2 5 6 3 3" xfId="19346"/>
    <cellStyle name="Note 9 2 5 6 4" xfId="19347"/>
    <cellStyle name="Note 9 2 5 6 4 2" xfId="19348"/>
    <cellStyle name="Note 9 2 5 6 5" xfId="19349"/>
    <cellStyle name="Note 9 2 5 6 5 2" xfId="19350"/>
    <cellStyle name="Note 9 2 5 6 6" xfId="19351"/>
    <cellStyle name="Note 9 2 5 6 6 2" xfId="19352"/>
    <cellStyle name="Note 9 2 5 6 7" xfId="19353"/>
    <cellStyle name="Note 9 2 5 7" xfId="19354"/>
    <cellStyle name="Note 9 2 5 7 2" xfId="19355"/>
    <cellStyle name="Note 9 2 5 8" xfId="19356"/>
    <cellStyle name="Note 9 2 5 8 2" xfId="19357"/>
    <cellStyle name="Note 9 2 6" xfId="19358"/>
    <cellStyle name="Note 9 2 6 2" xfId="19359"/>
    <cellStyle name="Note 9 2 6 2 2" xfId="19360"/>
    <cellStyle name="Note 9 2 6 2 2 2" xfId="19361"/>
    <cellStyle name="Note 9 2 6 2 2 2 2" xfId="19362"/>
    <cellStyle name="Note 9 2 6 2 2 2 2 2" xfId="19363"/>
    <cellStyle name="Note 9 2 6 2 2 2 3" xfId="19364"/>
    <cellStyle name="Note 9 2 6 2 2 3" xfId="19365"/>
    <cellStyle name="Note 9 2 6 2 2 3 2" xfId="19366"/>
    <cellStyle name="Note 9 2 6 2 2 3 2 2" xfId="19367"/>
    <cellStyle name="Note 9 2 6 2 2 3 3" xfId="19368"/>
    <cellStyle name="Note 9 2 6 2 2 4" xfId="19369"/>
    <cellStyle name="Note 9 2 6 2 2 4 2" xfId="19370"/>
    <cellStyle name="Note 9 2 6 2 2 5" xfId="19371"/>
    <cellStyle name="Note 9 2 6 2 2 5 2" xfId="19372"/>
    <cellStyle name="Note 9 2 6 2 2 6" xfId="19373"/>
    <cellStyle name="Note 9 2 6 2 2 6 2" xfId="19374"/>
    <cellStyle name="Note 9 2 6 2 2 7" xfId="19375"/>
    <cellStyle name="Note 9 2 6 2 3" xfId="19376"/>
    <cellStyle name="Note 9 2 6 2 3 2" xfId="19377"/>
    <cellStyle name="Note 9 2 6 2 3 2 2" xfId="19378"/>
    <cellStyle name="Note 9 2 6 2 3 2 2 2" xfId="19379"/>
    <cellStyle name="Note 9 2 6 2 3 2 3" xfId="19380"/>
    <cellStyle name="Note 9 2 6 2 3 3" xfId="19381"/>
    <cellStyle name="Note 9 2 6 2 3 3 2" xfId="19382"/>
    <cellStyle name="Note 9 2 6 2 3 3 2 2" xfId="19383"/>
    <cellStyle name="Note 9 2 6 2 3 3 3" xfId="19384"/>
    <cellStyle name="Note 9 2 6 2 3 4" xfId="19385"/>
    <cellStyle name="Note 9 2 6 2 3 4 2" xfId="19386"/>
    <cellStyle name="Note 9 2 6 2 3 5" xfId="19387"/>
    <cellStyle name="Note 9 2 6 2 3 5 2" xfId="19388"/>
    <cellStyle name="Note 9 2 6 2 3 6" xfId="19389"/>
    <cellStyle name="Note 9 2 6 2 3 6 2" xfId="19390"/>
    <cellStyle name="Note 9 2 6 2 3 7" xfId="19391"/>
    <cellStyle name="Note 9 2 6 2 4" xfId="19392"/>
    <cellStyle name="Note 9 2 6 2 4 2" xfId="19393"/>
    <cellStyle name="Note 9 2 6 2 5" xfId="19394"/>
    <cellStyle name="Note 9 2 6 2 5 2" xfId="19395"/>
    <cellStyle name="Note 9 2 6 3" xfId="19396"/>
    <cellStyle name="Note 9 2 6 3 2" xfId="19397"/>
    <cellStyle name="Note 9 2 6 3 2 2" xfId="19398"/>
    <cellStyle name="Note 9 2 6 3 2 2 2" xfId="19399"/>
    <cellStyle name="Note 9 2 6 3 2 2 2 2" xfId="19400"/>
    <cellStyle name="Note 9 2 6 3 2 2 3" xfId="19401"/>
    <cellStyle name="Note 9 2 6 3 2 3" xfId="19402"/>
    <cellStyle name="Note 9 2 6 3 2 3 2" xfId="19403"/>
    <cellStyle name="Note 9 2 6 3 2 3 2 2" xfId="19404"/>
    <cellStyle name="Note 9 2 6 3 2 3 3" xfId="19405"/>
    <cellStyle name="Note 9 2 6 3 2 4" xfId="19406"/>
    <cellStyle name="Note 9 2 6 3 2 4 2" xfId="19407"/>
    <cellStyle name="Note 9 2 6 3 2 5" xfId="19408"/>
    <cellStyle name="Note 9 2 6 3 2 5 2" xfId="19409"/>
    <cellStyle name="Note 9 2 6 3 2 6" xfId="19410"/>
    <cellStyle name="Note 9 2 6 3 2 6 2" xfId="19411"/>
    <cellStyle name="Note 9 2 6 3 2 7" xfId="19412"/>
    <cellStyle name="Note 9 2 6 3 3" xfId="19413"/>
    <cellStyle name="Note 9 2 6 3 3 2" xfId="19414"/>
    <cellStyle name="Note 9 2 6 3 3 2 2" xfId="19415"/>
    <cellStyle name="Note 9 2 6 3 3 2 2 2" xfId="19416"/>
    <cellStyle name="Note 9 2 6 3 3 2 3" xfId="19417"/>
    <cellStyle name="Note 9 2 6 3 3 3" xfId="19418"/>
    <cellStyle name="Note 9 2 6 3 3 3 2" xfId="19419"/>
    <cellStyle name="Note 9 2 6 3 3 3 2 2" xfId="19420"/>
    <cellStyle name="Note 9 2 6 3 3 3 3" xfId="19421"/>
    <cellStyle name="Note 9 2 6 3 3 4" xfId="19422"/>
    <cellStyle name="Note 9 2 6 3 3 4 2" xfId="19423"/>
    <cellStyle name="Note 9 2 6 3 3 5" xfId="19424"/>
    <cellStyle name="Note 9 2 6 3 3 5 2" xfId="19425"/>
    <cellStyle name="Note 9 2 6 3 3 6" xfId="19426"/>
    <cellStyle name="Note 9 2 6 3 3 6 2" xfId="19427"/>
    <cellStyle name="Note 9 2 6 3 3 7" xfId="19428"/>
    <cellStyle name="Note 9 2 6 3 4" xfId="19429"/>
    <cellStyle name="Note 9 2 6 3 4 2" xfId="19430"/>
    <cellStyle name="Note 9 2 6 3 5" xfId="19431"/>
    <cellStyle name="Note 9 2 6 3 5 2" xfId="19432"/>
    <cellStyle name="Note 9 2 6 4" xfId="19433"/>
    <cellStyle name="Note 9 2 6 4 2" xfId="19434"/>
    <cellStyle name="Note 9 2 6 4 2 2" xfId="19435"/>
    <cellStyle name="Note 9 2 6 4 2 2 2" xfId="19436"/>
    <cellStyle name="Note 9 2 6 4 2 3" xfId="19437"/>
    <cellStyle name="Note 9 2 6 4 3" xfId="19438"/>
    <cellStyle name="Note 9 2 6 4 3 2" xfId="19439"/>
    <cellStyle name="Note 9 2 6 4 3 2 2" xfId="19440"/>
    <cellStyle name="Note 9 2 6 4 3 3" xfId="19441"/>
    <cellStyle name="Note 9 2 6 4 4" xfId="19442"/>
    <cellStyle name="Note 9 2 6 4 4 2" xfId="19443"/>
    <cellStyle name="Note 9 2 6 4 5" xfId="19444"/>
    <cellStyle name="Note 9 2 6 4 5 2" xfId="19445"/>
    <cellStyle name="Note 9 2 6 4 6" xfId="19446"/>
    <cellStyle name="Note 9 2 6 4 6 2" xfId="19447"/>
    <cellStyle name="Note 9 2 6 4 7" xfId="19448"/>
    <cellStyle name="Note 9 2 6 5" xfId="19449"/>
    <cellStyle name="Note 9 2 6 5 2" xfId="19450"/>
    <cellStyle name="Note 9 2 6 5 2 2" xfId="19451"/>
    <cellStyle name="Note 9 2 6 5 2 2 2" xfId="19452"/>
    <cellStyle name="Note 9 2 6 5 2 3" xfId="19453"/>
    <cellStyle name="Note 9 2 6 5 3" xfId="19454"/>
    <cellStyle name="Note 9 2 6 5 3 2" xfId="19455"/>
    <cellStyle name="Note 9 2 6 5 3 2 2" xfId="19456"/>
    <cellStyle name="Note 9 2 6 5 3 3" xfId="19457"/>
    <cellStyle name="Note 9 2 6 5 4" xfId="19458"/>
    <cellStyle name="Note 9 2 6 5 4 2" xfId="19459"/>
    <cellStyle name="Note 9 2 6 5 5" xfId="19460"/>
    <cellStyle name="Note 9 2 6 5 5 2" xfId="19461"/>
    <cellStyle name="Note 9 2 6 5 6" xfId="19462"/>
    <cellStyle name="Note 9 2 6 5 6 2" xfId="19463"/>
    <cellStyle name="Note 9 2 6 5 7" xfId="19464"/>
    <cellStyle name="Note 9 2 6 6" xfId="19465"/>
    <cellStyle name="Note 9 2 6 6 2" xfId="19466"/>
    <cellStyle name="Note 9 2 6 6 2 2" xfId="19467"/>
    <cellStyle name="Note 9 2 6 6 2 2 2" xfId="19468"/>
    <cellStyle name="Note 9 2 6 6 2 3" xfId="19469"/>
    <cellStyle name="Note 9 2 6 6 3" xfId="19470"/>
    <cellStyle name="Note 9 2 6 6 3 2" xfId="19471"/>
    <cellStyle name="Note 9 2 6 6 3 2 2" xfId="19472"/>
    <cellStyle name="Note 9 2 6 6 3 3" xfId="19473"/>
    <cellStyle name="Note 9 2 6 6 4" xfId="19474"/>
    <cellStyle name="Note 9 2 6 6 4 2" xfId="19475"/>
    <cellStyle name="Note 9 2 6 6 5" xfId="19476"/>
    <cellStyle name="Note 9 2 6 6 5 2" xfId="19477"/>
    <cellStyle name="Note 9 2 6 6 6" xfId="19478"/>
    <cellStyle name="Note 9 2 6 6 6 2" xfId="19479"/>
    <cellStyle name="Note 9 2 6 6 7" xfId="19480"/>
    <cellStyle name="Note 9 2 6 7" xfId="19481"/>
    <cellStyle name="Note 9 2 6 7 2" xfId="19482"/>
    <cellStyle name="Note 9 2 6 8" xfId="19483"/>
    <cellStyle name="Note 9 2 6 8 2" xfId="19484"/>
    <cellStyle name="Note 9 2 7" xfId="19485"/>
    <cellStyle name="Note 9 2 7 2" xfId="19486"/>
    <cellStyle name="Note 9 2 7 2 2" xfId="19487"/>
    <cellStyle name="Note 9 2 7 2 2 2" xfId="19488"/>
    <cellStyle name="Note 9 2 7 2 2 2 2" xfId="19489"/>
    <cellStyle name="Note 9 2 7 2 2 2 2 2" xfId="19490"/>
    <cellStyle name="Note 9 2 7 2 2 2 3" xfId="19491"/>
    <cellStyle name="Note 9 2 7 2 2 3" xfId="19492"/>
    <cellStyle name="Note 9 2 7 2 2 3 2" xfId="19493"/>
    <cellStyle name="Note 9 2 7 2 2 3 2 2" xfId="19494"/>
    <cellStyle name="Note 9 2 7 2 2 3 3" xfId="19495"/>
    <cellStyle name="Note 9 2 7 2 2 4" xfId="19496"/>
    <cellStyle name="Note 9 2 7 2 2 4 2" xfId="19497"/>
    <cellStyle name="Note 9 2 7 2 2 5" xfId="19498"/>
    <cellStyle name="Note 9 2 7 2 2 5 2" xfId="19499"/>
    <cellStyle name="Note 9 2 7 2 2 6" xfId="19500"/>
    <cellStyle name="Note 9 2 7 2 2 6 2" xfId="19501"/>
    <cellStyle name="Note 9 2 7 2 2 7" xfId="19502"/>
    <cellStyle name="Note 9 2 7 2 3" xfId="19503"/>
    <cellStyle name="Note 9 2 7 2 3 2" xfId="19504"/>
    <cellStyle name="Note 9 2 7 2 3 2 2" xfId="19505"/>
    <cellStyle name="Note 9 2 7 2 3 2 2 2" xfId="19506"/>
    <cellStyle name="Note 9 2 7 2 3 2 3" xfId="19507"/>
    <cellStyle name="Note 9 2 7 2 3 3" xfId="19508"/>
    <cellStyle name="Note 9 2 7 2 3 3 2" xfId="19509"/>
    <cellStyle name="Note 9 2 7 2 3 3 2 2" xfId="19510"/>
    <cellStyle name="Note 9 2 7 2 3 3 3" xfId="19511"/>
    <cellStyle name="Note 9 2 7 2 3 4" xfId="19512"/>
    <cellStyle name="Note 9 2 7 2 3 4 2" xfId="19513"/>
    <cellStyle name="Note 9 2 7 2 3 5" xfId="19514"/>
    <cellStyle name="Note 9 2 7 2 3 5 2" xfId="19515"/>
    <cellStyle name="Note 9 2 7 2 3 6" xfId="19516"/>
    <cellStyle name="Note 9 2 7 2 3 6 2" xfId="19517"/>
    <cellStyle name="Note 9 2 7 2 3 7" xfId="19518"/>
    <cellStyle name="Note 9 2 7 2 4" xfId="19519"/>
    <cellStyle name="Note 9 2 7 2 4 2" xfId="19520"/>
    <cellStyle name="Note 9 2 7 2 5" xfId="19521"/>
    <cellStyle name="Note 9 2 7 2 5 2" xfId="19522"/>
    <cellStyle name="Note 9 2 7 3" xfId="19523"/>
    <cellStyle name="Note 9 2 7 3 2" xfId="19524"/>
    <cellStyle name="Note 9 2 7 3 2 2" xfId="19525"/>
    <cellStyle name="Note 9 2 7 3 2 2 2" xfId="19526"/>
    <cellStyle name="Note 9 2 7 3 2 2 2 2" xfId="19527"/>
    <cellStyle name="Note 9 2 7 3 2 2 3" xfId="19528"/>
    <cellStyle name="Note 9 2 7 3 2 3" xfId="19529"/>
    <cellStyle name="Note 9 2 7 3 2 3 2" xfId="19530"/>
    <cellStyle name="Note 9 2 7 3 2 3 2 2" xfId="19531"/>
    <cellStyle name="Note 9 2 7 3 2 3 3" xfId="19532"/>
    <cellStyle name="Note 9 2 7 3 2 4" xfId="19533"/>
    <cellStyle name="Note 9 2 7 3 2 4 2" xfId="19534"/>
    <cellStyle name="Note 9 2 7 3 2 5" xfId="19535"/>
    <cellStyle name="Note 9 2 7 3 2 5 2" xfId="19536"/>
    <cellStyle name="Note 9 2 7 3 2 6" xfId="19537"/>
    <cellStyle name="Note 9 2 7 3 2 6 2" xfId="19538"/>
    <cellStyle name="Note 9 2 7 3 2 7" xfId="19539"/>
    <cellStyle name="Note 9 2 7 3 3" xfId="19540"/>
    <cellStyle name="Note 9 2 7 3 3 2" xfId="19541"/>
    <cellStyle name="Note 9 2 7 3 3 2 2" xfId="19542"/>
    <cellStyle name="Note 9 2 7 3 3 2 2 2" xfId="19543"/>
    <cellStyle name="Note 9 2 7 3 3 2 3" xfId="19544"/>
    <cellStyle name="Note 9 2 7 3 3 3" xfId="19545"/>
    <cellStyle name="Note 9 2 7 3 3 3 2" xfId="19546"/>
    <cellStyle name="Note 9 2 7 3 3 3 2 2" xfId="19547"/>
    <cellStyle name="Note 9 2 7 3 3 3 3" xfId="19548"/>
    <cellStyle name="Note 9 2 7 3 3 4" xfId="19549"/>
    <cellStyle name="Note 9 2 7 3 3 4 2" xfId="19550"/>
    <cellStyle name="Note 9 2 7 3 3 5" xfId="19551"/>
    <cellStyle name="Note 9 2 7 3 3 5 2" xfId="19552"/>
    <cellStyle name="Note 9 2 7 3 3 6" xfId="19553"/>
    <cellStyle name="Note 9 2 7 3 3 6 2" xfId="19554"/>
    <cellStyle name="Note 9 2 7 3 3 7" xfId="19555"/>
    <cellStyle name="Note 9 2 7 3 4" xfId="19556"/>
    <cellStyle name="Note 9 2 7 3 4 2" xfId="19557"/>
    <cellStyle name="Note 9 2 7 3 5" xfId="19558"/>
    <cellStyle name="Note 9 2 7 3 5 2" xfId="19559"/>
    <cellStyle name="Note 9 2 7 4" xfId="19560"/>
    <cellStyle name="Note 9 2 7 4 2" xfId="19561"/>
    <cellStyle name="Note 9 2 7 4 2 2" xfId="19562"/>
    <cellStyle name="Note 9 2 7 4 2 2 2" xfId="19563"/>
    <cellStyle name="Note 9 2 7 4 2 3" xfId="19564"/>
    <cellStyle name="Note 9 2 7 4 3" xfId="19565"/>
    <cellStyle name="Note 9 2 7 4 3 2" xfId="19566"/>
    <cellStyle name="Note 9 2 7 4 3 2 2" xfId="19567"/>
    <cellStyle name="Note 9 2 7 4 3 3" xfId="19568"/>
    <cellStyle name="Note 9 2 7 4 4" xfId="19569"/>
    <cellStyle name="Note 9 2 7 4 4 2" xfId="19570"/>
    <cellStyle name="Note 9 2 7 4 5" xfId="19571"/>
    <cellStyle name="Note 9 2 7 4 5 2" xfId="19572"/>
    <cellStyle name="Note 9 2 7 4 6" xfId="19573"/>
    <cellStyle name="Note 9 2 7 4 6 2" xfId="19574"/>
    <cellStyle name="Note 9 2 7 4 7" xfId="19575"/>
    <cellStyle name="Note 9 2 7 5" xfId="19576"/>
    <cellStyle name="Note 9 2 7 5 2" xfId="19577"/>
    <cellStyle name="Note 9 2 7 5 2 2" xfId="19578"/>
    <cellStyle name="Note 9 2 7 5 2 2 2" xfId="19579"/>
    <cellStyle name="Note 9 2 7 5 2 3" xfId="19580"/>
    <cellStyle name="Note 9 2 7 5 3" xfId="19581"/>
    <cellStyle name="Note 9 2 7 5 3 2" xfId="19582"/>
    <cellStyle name="Note 9 2 7 5 3 2 2" xfId="19583"/>
    <cellStyle name="Note 9 2 7 5 3 3" xfId="19584"/>
    <cellStyle name="Note 9 2 7 5 4" xfId="19585"/>
    <cellStyle name="Note 9 2 7 5 4 2" xfId="19586"/>
    <cellStyle name="Note 9 2 7 5 5" xfId="19587"/>
    <cellStyle name="Note 9 2 7 5 5 2" xfId="19588"/>
    <cellStyle name="Note 9 2 7 5 6" xfId="19589"/>
    <cellStyle name="Note 9 2 7 5 6 2" xfId="19590"/>
    <cellStyle name="Note 9 2 7 5 7" xfId="19591"/>
    <cellStyle name="Note 9 2 7 6" xfId="19592"/>
    <cellStyle name="Note 9 2 7 6 2" xfId="19593"/>
    <cellStyle name="Note 9 2 7 7" xfId="19594"/>
    <cellStyle name="Note 9 2 7 7 2" xfId="19595"/>
    <cellStyle name="Note 9 2 8" xfId="19596"/>
    <cellStyle name="Note 9 2 8 2" xfId="19597"/>
    <cellStyle name="Note 9 2 8 2 2" xfId="19598"/>
    <cellStyle name="Note 9 2 8 2 2 2" xfId="19599"/>
    <cellStyle name="Note 9 2 8 2 2 2 2" xfId="19600"/>
    <cellStyle name="Note 9 2 8 2 2 3" xfId="19601"/>
    <cellStyle name="Note 9 2 8 2 3" xfId="19602"/>
    <cellStyle name="Note 9 2 8 2 3 2" xfId="19603"/>
    <cellStyle name="Note 9 2 8 2 3 2 2" xfId="19604"/>
    <cellStyle name="Note 9 2 8 2 3 3" xfId="19605"/>
    <cellStyle name="Note 9 2 8 2 4" xfId="19606"/>
    <cellStyle name="Note 9 2 8 2 4 2" xfId="19607"/>
    <cellStyle name="Note 9 2 8 2 5" xfId="19608"/>
    <cellStyle name="Note 9 2 8 2 5 2" xfId="19609"/>
    <cellStyle name="Note 9 2 8 2 6" xfId="19610"/>
    <cellStyle name="Note 9 2 8 2 6 2" xfId="19611"/>
    <cellStyle name="Note 9 2 8 2 7" xfId="19612"/>
    <cellStyle name="Note 9 2 8 3" xfId="19613"/>
    <cellStyle name="Note 9 2 8 3 2" xfId="19614"/>
    <cellStyle name="Note 9 2 8 3 2 2" xfId="19615"/>
    <cellStyle name="Note 9 2 8 3 2 2 2" xfId="19616"/>
    <cellStyle name="Note 9 2 8 3 2 3" xfId="19617"/>
    <cellStyle name="Note 9 2 8 3 3" xfId="19618"/>
    <cellStyle name="Note 9 2 8 3 3 2" xfId="19619"/>
    <cellStyle name="Note 9 2 8 3 3 2 2" xfId="19620"/>
    <cellStyle name="Note 9 2 8 3 3 3" xfId="19621"/>
    <cellStyle name="Note 9 2 8 3 4" xfId="19622"/>
    <cellStyle name="Note 9 2 8 3 4 2" xfId="19623"/>
    <cellStyle name="Note 9 2 8 3 5" xfId="19624"/>
    <cellStyle name="Note 9 2 8 3 5 2" xfId="19625"/>
    <cellStyle name="Note 9 2 8 3 6" xfId="19626"/>
    <cellStyle name="Note 9 2 8 3 6 2" xfId="19627"/>
    <cellStyle name="Note 9 2 8 3 7" xfId="19628"/>
    <cellStyle name="Note 9 2 8 4" xfId="19629"/>
    <cellStyle name="Note 9 2 8 4 2" xfId="19630"/>
    <cellStyle name="Note 9 2 8 5" xfId="19631"/>
    <cellStyle name="Note 9 2 8 5 2" xfId="19632"/>
    <cellStyle name="Note 9 2 9" xfId="19633"/>
    <cellStyle name="Note 9 2 9 2" xfId="19634"/>
    <cellStyle name="Note 9 2 9 2 2" xfId="19635"/>
    <cellStyle name="Note 9 2 9 2 2 2" xfId="19636"/>
    <cellStyle name="Note 9 2 9 2 2 2 2" xfId="19637"/>
    <cellStyle name="Note 9 2 9 2 2 3" xfId="19638"/>
    <cellStyle name="Note 9 2 9 2 3" xfId="19639"/>
    <cellStyle name="Note 9 2 9 2 3 2" xfId="19640"/>
    <cellStyle name="Note 9 2 9 2 3 2 2" xfId="19641"/>
    <cellStyle name="Note 9 2 9 2 3 3" xfId="19642"/>
    <cellStyle name="Note 9 2 9 2 4" xfId="19643"/>
    <cellStyle name="Note 9 2 9 2 4 2" xfId="19644"/>
    <cellStyle name="Note 9 2 9 2 5" xfId="19645"/>
    <cellStyle name="Note 9 2 9 2 5 2" xfId="19646"/>
    <cellStyle name="Note 9 2 9 2 6" xfId="19647"/>
    <cellStyle name="Note 9 2 9 2 6 2" xfId="19648"/>
    <cellStyle name="Note 9 2 9 2 7" xfId="19649"/>
    <cellStyle name="Note 9 2 9 3" xfId="19650"/>
    <cellStyle name="Note 9 2 9 3 2" xfId="19651"/>
    <cellStyle name="Note 9 2 9 3 2 2" xfId="19652"/>
    <cellStyle name="Note 9 2 9 3 2 2 2" xfId="19653"/>
    <cellStyle name="Note 9 2 9 3 2 3" xfId="19654"/>
    <cellStyle name="Note 9 2 9 3 3" xfId="19655"/>
    <cellStyle name="Note 9 2 9 3 3 2" xfId="19656"/>
    <cellStyle name="Note 9 2 9 3 3 2 2" xfId="19657"/>
    <cellStyle name="Note 9 2 9 3 3 3" xfId="19658"/>
    <cellStyle name="Note 9 2 9 3 4" xfId="19659"/>
    <cellStyle name="Note 9 2 9 3 4 2" xfId="19660"/>
    <cellStyle name="Note 9 2 9 3 5" xfId="19661"/>
    <cellStyle name="Note 9 2 9 3 5 2" xfId="19662"/>
    <cellStyle name="Note 9 2 9 3 6" xfId="19663"/>
    <cellStyle name="Note 9 2 9 3 6 2" xfId="19664"/>
    <cellStyle name="Note 9 2 9 3 7" xfId="19665"/>
    <cellStyle name="Note 9 2 9 4" xfId="19666"/>
    <cellStyle name="Note 9 2 9 4 2" xfId="19667"/>
    <cellStyle name="Note 9 2 9 5" xfId="19668"/>
    <cellStyle name="Note 9 2 9 5 2" xfId="19669"/>
    <cellStyle name="Note 9 3" xfId="19670"/>
    <cellStyle name="Note 9 3 2" xfId="19671"/>
    <cellStyle name="Note 9 3 2 2" xfId="19672"/>
    <cellStyle name="Note 9 3 2 2 2" xfId="19673"/>
    <cellStyle name="Note 9 3 2 2 2 2" xfId="19674"/>
    <cellStyle name="Note 9 3 2 2 3" xfId="19675"/>
    <cellStyle name="Note 9 3 2 3" xfId="19676"/>
    <cellStyle name="Note 9 3 2 3 2" xfId="19677"/>
    <cellStyle name="Note 9 3 2 3 2 2" xfId="19678"/>
    <cellStyle name="Note 9 3 2 3 3" xfId="19679"/>
    <cellStyle name="Note 9 3 2 4" xfId="19680"/>
    <cellStyle name="Note 9 3 2 4 2" xfId="19681"/>
    <cellStyle name="Note 9 3 2 5" xfId="19682"/>
    <cellStyle name="Note 9 3 2 5 2" xfId="19683"/>
    <cellStyle name="Note 9 3 2 6" xfId="19684"/>
    <cellStyle name="Note 9 3 2 6 2" xfId="19685"/>
    <cellStyle name="Note 9 3 2 7" xfId="19686"/>
    <cellStyle name="Note 9 3 3" xfId="19687"/>
    <cellStyle name="Note 9 3 3 2" xfId="19688"/>
    <cellStyle name="Note 9 3 3 2 2" xfId="19689"/>
    <cellStyle name="Note 9 3 3 2 2 2" xfId="19690"/>
    <cellStyle name="Note 9 3 3 2 3" xfId="19691"/>
    <cellStyle name="Note 9 3 3 3" xfId="19692"/>
    <cellStyle name="Note 9 3 3 3 2" xfId="19693"/>
    <cellStyle name="Note 9 3 3 3 2 2" xfId="19694"/>
    <cellStyle name="Note 9 3 3 3 3" xfId="19695"/>
    <cellStyle name="Note 9 3 3 4" xfId="19696"/>
    <cellStyle name="Note 9 3 3 4 2" xfId="19697"/>
    <cellStyle name="Note 9 3 3 5" xfId="19698"/>
    <cellStyle name="Note 9 3 3 5 2" xfId="19699"/>
    <cellStyle name="Note 9 3 3 6" xfId="19700"/>
    <cellStyle name="Note 9 3 3 6 2" xfId="19701"/>
    <cellStyle name="Note 9 3 3 7" xfId="19702"/>
    <cellStyle name="Note 9 3 4" xfId="19703"/>
    <cellStyle name="Note 9 3 4 2" xfId="19704"/>
    <cellStyle name="Note 9 3 5" xfId="19705"/>
    <cellStyle name="Note 9 3 5 2" xfId="19706"/>
    <cellStyle name="Note 9 4" xfId="19707"/>
    <cellStyle name="Note 9 4 2" xfId="19708"/>
    <cellStyle name="Note 9 4 2 2" xfId="19709"/>
    <cellStyle name="Note 9 4 2 2 2" xfId="19710"/>
    <cellStyle name="Note 9 4 2 2 2 2" xfId="19711"/>
    <cellStyle name="Note 9 4 2 2 3" xfId="19712"/>
    <cellStyle name="Note 9 4 2 3" xfId="19713"/>
    <cellStyle name="Note 9 4 2 3 2" xfId="19714"/>
    <cellStyle name="Note 9 4 2 3 2 2" xfId="19715"/>
    <cellStyle name="Note 9 4 2 3 3" xfId="19716"/>
    <cellStyle name="Note 9 4 2 4" xfId="19717"/>
    <cellStyle name="Note 9 4 2 4 2" xfId="19718"/>
    <cellStyle name="Note 9 4 2 5" xfId="19719"/>
    <cellStyle name="Note 9 4 2 5 2" xfId="19720"/>
    <cellStyle name="Note 9 4 2 6" xfId="19721"/>
    <cellStyle name="Note 9 4 2 6 2" xfId="19722"/>
    <cellStyle name="Note 9 4 2 7" xfId="19723"/>
    <cellStyle name="Note 9 4 3" xfId="19724"/>
    <cellStyle name="Note 9 4 3 2" xfId="19725"/>
    <cellStyle name="Note 9 4 3 2 2" xfId="19726"/>
    <cellStyle name="Note 9 4 3 2 2 2" xfId="19727"/>
    <cellStyle name="Note 9 4 3 2 3" xfId="19728"/>
    <cellStyle name="Note 9 4 3 3" xfId="19729"/>
    <cellStyle name="Note 9 4 3 3 2" xfId="19730"/>
    <cellStyle name="Note 9 4 3 3 2 2" xfId="19731"/>
    <cellStyle name="Note 9 4 3 3 3" xfId="19732"/>
    <cellStyle name="Note 9 4 3 4" xfId="19733"/>
    <cellStyle name="Note 9 4 3 4 2" xfId="19734"/>
    <cellStyle name="Note 9 4 3 5" xfId="19735"/>
    <cellStyle name="Note 9 4 3 5 2" xfId="19736"/>
    <cellStyle name="Note 9 4 3 6" xfId="19737"/>
    <cellStyle name="Note 9 4 3 6 2" xfId="19738"/>
    <cellStyle name="Note 9 4 3 7" xfId="19739"/>
    <cellStyle name="Note 9 4 4" xfId="19740"/>
    <cellStyle name="Note 9 4 4 2" xfId="19741"/>
    <cellStyle name="Note 9 4 5" xfId="19742"/>
    <cellStyle name="Note 9 4 5 2" xfId="19743"/>
    <cellStyle name="Note 9 5" xfId="19744"/>
    <cellStyle name="Note 9 5 2" xfId="19745"/>
    <cellStyle name="Note 9 5 2 2" xfId="19746"/>
    <cellStyle name="Note 9 5 2 2 2" xfId="19747"/>
    <cellStyle name="Note 9 5 2 3" xfId="19748"/>
    <cellStyle name="Note 9 5 3" xfId="19749"/>
    <cellStyle name="Note 9 5 3 2" xfId="19750"/>
    <cellStyle name="Note 9 5 3 2 2" xfId="19751"/>
    <cellStyle name="Note 9 5 3 3" xfId="19752"/>
    <cellStyle name="Note 9 5 4" xfId="19753"/>
    <cellStyle name="Note 9 5 4 2" xfId="19754"/>
    <cellStyle name="Note 9 5 5" xfId="19755"/>
    <cellStyle name="Note 9 5 5 2" xfId="19756"/>
    <cellStyle name="Note 9 5 6" xfId="19757"/>
    <cellStyle name="Note 9 5 6 2" xfId="19758"/>
    <cellStyle name="Note 9 5 7" xfId="19759"/>
    <cellStyle name="Note 9 6" xfId="19760"/>
    <cellStyle name="Note 9 6 2" xfId="19761"/>
    <cellStyle name="Note 9 6 2 2" xfId="19762"/>
    <cellStyle name="Note 9 6 2 2 2" xfId="19763"/>
    <cellStyle name="Note 9 6 2 3" xfId="19764"/>
    <cellStyle name="Note 9 6 3" xfId="19765"/>
    <cellStyle name="Note 9 6 3 2" xfId="19766"/>
    <cellStyle name="Note 9 6 3 2 2" xfId="19767"/>
    <cellStyle name="Note 9 6 3 3" xfId="19768"/>
    <cellStyle name="Note 9 6 4" xfId="19769"/>
    <cellStyle name="Note 9 6 4 2" xfId="19770"/>
    <cellStyle name="Note 9 6 5" xfId="19771"/>
    <cellStyle name="Note 9 6 5 2" xfId="19772"/>
    <cellStyle name="Note 9 6 6" xfId="19773"/>
    <cellStyle name="Note 9 6 6 2" xfId="19774"/>
    <cellStyle name="Note 9 6 7" xfId="19775"/>
    <cellStyle name="Note 9 7" xfId="19776"/>
    <cellStyle name="Note 9 7 2" xfId="19777"/>
    <cellStyle name="Note 9 8" xfId="19778"/>
    <cellStyle name="Note 9 8 2" xfId="19779"/>
    <cellStyle name="Note 9 9" xfId="19780"/>
    <cellStyle name="Note 9 9 2" xfId="19781"/>
    <cellStyle name="Output 2" xfId="308"/>
    <cellStyle name="Output 2 2" xfId="19782"/>
    <cellStyle name="Output 2 2 10" xfId="19783"/>
    <cellStyle name="Output 2 2 10 2" xfId="19784"/>
    <cellStyle name="Output 2 2 10 2 2" xfId="19785"/>
    <cellStyle name="Output 2 2 10 2 2 2" xfId="19786"/>
    <cellStyle name="Output 2 2 10 2 3" xfId="19787"/>
    <cellStyle name="Output 2 2 10 2 3 2" xfId="19788"/>
    <cellStyle name="Output 2 2 10 2 4" xfId="19789"/>
    <cellStyle name="Output 2 2 10 3" xfId="19790"/>
    <cellStyle name="Output 2 2 10 3 2" xfId="19791"/>
    <cellStyle name="Output 2 2 10 3 2 2" xfId="19792"/>
    <cellStyle name="Output 2 2 10 3 3" xfId="19793"/>
    <cellStyle name="Output 2 2 10 3 3 2" xfId="19794"/>
    <cellStyle name="Output 2 2 10 3 4" xfId="19795"/>
    <cellStyle name="Output 2 2 10 4" xfId="19796"/>
    <cellStyle name="Output 2 2 10 4 2" xfId="19797"/>
    <cellStyle name="Output 2 2 10 4 2 2" xfId="19798"/>
    <cellStyle name="Output 2 2 10 4 3" xfId="19799"/>
    <cellStyle name="Output 2 2 10 4 3 2" xfId="19800"/>
    <cellStyle name="Output 2 2 10 4 4" xfId="19801"/>
    <cellStyle name="Output 2 2 10 5" xfId="19802"/>
    <cellStyle name="Output 2 2 10 5 2" xfId="19803"/>
    <cellStyle name="Output 2 2 10 6" xfId="19804"/>
    <cellStyle name="Output 2 2 10 6 2" xfId="19805"/>
    <cellStyle name="Output 2 2 10 7" xfId="19806"/>
    <cellStyle name="Output 2 2 10 7 2" xfId="19807"/>
    <cellStyle name="Output 2 2 10 8" xfId="19808"/>
    <cellStyle name="Output 2 2 11" xfId="19809"/>
    <cellStyle name="Output 2 2 11 2" xfId="19810"/>
    <cellStyle name="Output 2 2 11 2 2" xfId="19811"/>
    <cellStyle name="Output 2 2 11 2 2 2" xfId="19812"/>
    <cellStyle name="Output 2 2 11 2 3" xfId="19813"/>
    <cellStyle name="Output 2 2 11 2 3 2" xfId="19814"/>
    <cellStyle name="Output 2 2 11 2 4" xfId="19815"/>
    <cellStyle name="Output 2 2 11 3" xfId="19816"/>
    <cellStyle name="Output 2 2 11 3 2" xfId="19817"/>
    <cellStyle name="Output 2 2 11 3 2 2" xfId="19818"/>
    <cellStyle name="Output 2 2 11 3 3" xfId="19819"/>
    <cellStyle name="Output 2 2 11 3 3 2" xfId="19820"/>
    <cellStyle name="Output 2 2 11 3 4" xfId="19821"/>
    <cellStyle name="Output 2 2 11 4" xfId="19822"/>
    <cellStyle name="Output 2 2 11 4 2" xfId="19823"/>
    <cellStyle name="Output 2 2 11 5" xfId="19824"/>
    <cellStyle name="Output 2 2 11 5 2" xfId="19825"/>
    <cellStyle name="Output 2 2 11 6" xfId="19826"/>
    <cellStyle name="Output 2 2 11 6 2" xfId="19827"/>
    <cellStyle name="Output 2 2 11 7" xfId="19828"/>
    <cellStyle name="Output 2 2 11 7 2" xfId="19829"/>
    <cellStyle name="Output 2 2 11 8" xfId="19830"/>
    <cellStyle name="Output 2 2 12" xfId="19831"/>
    <cellStyle name="Output 2 2 12 2" xfId="19832"/>
    <cellStyle name="Output 2 2 12 2 2" xfId="19833"/>
    <cellStyle name="Output 2 2 12 3" xfId="19834"/>
    <cellStyle name="Output 2 2 13" xfId="19835"/>
    <cellStyle name="Output 2 2 13 2" xfId="19836"/>
    <cellStyle name="Output 2 2 14" xfId="19837"/>
    <cellStyle name="Output 2 2 14 2" xfId="19838"/>
    <cellStyle name="Output 2 2 2" xfId="19839"/>
    <cellStyle name="Output 2 2 2 2" xfId="19840"/>
    <cellStyle name="Output 2 2 2 2 2" xfId="19841"/>
    <cellStyle name="Output 2 2 2 2 2 2" xfId="19842"/>
    <cellStyle name="Output 2 2 2 2 2 2 2" xfId="19843"/>
    <cellStyle name="Output 2 2 2 2 2 2 2 2" xfId="19844"/>
    <cellStyle name="Output 2 2 2 2 2 2 3" xfId="19845"/>
    <cellStyle name="Output 2 2 2 2 2 2 3 2" xfId="19846"/>
    <cellStyle name="Output 2 2 2 2 2 2 4" xfId="19847"/>
    <cellStyle name="Output 2 2 2 2 2 3" xfId="19848"/>
    <cellStyle name="Output 2 2 2 2 2 3 2" xfId="19849"/>
    <cellStyle name="Output 2 2 2 2 2 3 2 2" xfId="19850"/>
    <cellStyle name="Output 2 2 2 2 2 3 3" xfId="19851"/>
    <cellStyle name="Output 2 2 2 2 2 3 3 2" xfId="19852"/>
    <cellStyle name="Output 2 2 2 2 2 3 4" xfId="19853"/>
    <cellStyle name="Output 2 2 2 2 2 4" xfId="19854"/>
    <cellStyle name="Output 2 2 2 2 2 4 2" xfId="19855"/>
    <cellStyle name="Output 2 2 2 2 2 4 2 2" xfId="19856"/>
    <cellStyle name="Output 2 2 2 2 2 4 3" xfId="19857"/>
    <cellStyle name="Output 2 2 2 2 2 5" xfId="19858"/>
    <cellStyle name="Output 2 2 2 2 2 5 2" xfId="19859"/>
    <cellStyle name="Output 2 2 2 2 2 6" xfId="19860"/>
    <cellStyle name="Output 2 2 2 2 2 6 2" xfId="19861"/>
    <cellStyle name="Output 2 2 2 2 2 7" xfId="19862"/>
    <cellStyle name="Output 2 2 2 2 2 7 2" xfId="19863"/>
    <cellStyle name="Output 2 2 2 2 2 8" xfId="19864"/>
    <cellStyle name="Output 2 2 2 2 3" xfId="19865"/>
    <cellStyle name="Output 2 2 2 2 3 2" xfId="19866"/>
    <cellStyle name="Output 2 2 2 2 3 2 2" xfId="19867"/>
    <cellStyle name="Output 2 2 2 2 3 3" xfId="19868"/>
    <cellStyle name="Output 2 2 2 2 4" xfId="19869"/>
    <cellStyle name="Output 2 2 2 2 4 2" xfId="19870"/>
    <cellStyle name="Output 2 2 2 2 5" xfId="19871"/>
    <cellStyle name="Output 2 2 2 2 5 2" xfId="19872"/>
    <cellStyle name="Output 2 2 2 3" xfId="19873"/>
    <cellStyle name="Output 2 2 2 3 2" xfId="19874"/>
    <cellStyle name="Output 2 2 2 3 2 2" xfId="19875"/>
    <cellStyle name="Output 2 2 2 3 2 2 2" xfId="19876"/>
    <cellStyle name="Output 2 2 2 3 2 2 2 2" xfId="19877"/>
    <cellStyle name="Output 2 2 2 3 2 2 3" xfId="19878"/>
    <cellStyle name="Output 2 2 2 3 2 2 3 2" xfId="19879"/>
    <cellStyle name="Output 2 2 2 3 2 2 4" xfId="19880"/>
    <cellStyle name="Output 2 2 2 3 2 3" xfId="19881"/>
    <cellStyle name="Output 2 2 2 3 2 3 2" xfId="19882"/>
    <cellStyle name="Output 2 2 2 3 2 3 2 2" xfId="19883"/>
    <cellStyle name="Output 2 2 2 3 2 3 3" xfId="19884"/>
    <cellStyle name="Output 2 2 2 3 2 3 3 2" xfId="19885"/>
    <cellStyle name="Output 2 2 2 3 2 3 4" xfId="19886"/>
    <cellStyle name="Output 2 2 2 3 2 4" xfId="19887"/>
    <cellStyle name="Output 2 2 2 3 2 4 2" xfId="19888"/>
    <cellStyle name="Output 2 2 2 3 2 4 2 2" xfId="19889"/>
    <cellStyle name="Output 2 2 2 3 2 4 3" xfId="19890"/>
    <cellStyle name="Output 2 2 2 3 2 5" xfId="19891"/>
    <cellStyle name="Output 2 2 2 3 2 5 2" xfId="19892"/>
    <cellStyle name="Output 2 2 2 3 2 6" xfId="19893"/>
    <cellStyle name="Output 2 2 2 3 2 6 2" xfId="19894"/>
    <cellStyle name="Output 2 2 2 3 2 7" xfId="19895"/>
    <cellStyle name="Output 2 2 2 3 2 7 2" xfId="19896"/>
    <cellStyle name="Output 2 2 2 3 2 8" xfId="19897"/>
    <cellStyle name="Output 2 2 2 3 3" xfId="19898"/>
    <cellStyle name="Output 2 2 2 3 3 2" xfId="19899"/>
    <cellStyle name="Output 2 2 2 3 3 2 2" xfId="19900"/>
    <cellStyle name="Output 2 2 2 3 3 3" xfId="19901"/>
    <cellStyle name="Output 2 2 2 3 4" xfId="19902"/>
    <cellStyle name="Output 2 2 2 3 4 2" xfId="19903"/>
    <cellStyle name="Output 2 2 2 3 5" xfId="19904"/>
    <cellStyle name="Output 2 2 2 3 5 2" xfId="19905"/>
    <cellStyle name="Output 2 2 2 4" xfId="19906"/>
    <cellStyle name="Output 2 2 2 4 2" xfId="19907"/>
    <cellStyle name="Output 2 2 2 4 2 2" xfId="19908"/>
    <cellStyle name="Output 2 2 2 4 2 2 2" xfId="19909"/>
    <cellStyle name="Output 2 2 2 4 2 3" xfId="19910"/>
    <cellStyle name="Output 2 2 2 4 2 3 2" xfId="19911"/>
    <cellStyle name="Output 2 2 2 4 2 4" xfId="19912"/>
    <cellStyle name="Output 2 2 2 4 3" xfId="19913"/>
    <cellStyle name="Output 2 2 2 4 3 2" xfId="19914"/>
    <cellStyle name="Output 2 2 2 4 3 2 2" xfId="19915"/>
    <cellStyle name="Output 2 2 2 4 3 3" xfId="19916"/>
    <cellStyle name="Output 2 2 2 4 3 3 2" xfId="19917"/>
    <cellStyle name="Output 2 2 2 4 3 4" xfId="19918"/>
    <cellStyle name="Output 2 2 2 4 4" xfId="19919"/>
    <cellStyle name="Output 2 2 2 4 4 2" xfId="19920"/>
    <cellStyle name="Output 2 2 2 4 4 2 2" xfId="19921"/>
    <cellStyle name="Output 2 2 2 4 4 3" xfId="19922"/>
    <cellStyle name="Output 2 2 2 4 4 3 2" xfId="19923"/>
    <cellStyle name="Output 2 2 2 4 4 4" xfId="19924"/>
    <cellStyle name="Output 2 2 2 4 5" xfId="19925"/>
    <cellStyle name="Output 2 2 2 4 5 2" xfId="19926"/>
    <cellStyle name="Output 2 2 2 4 6" xfId="19927"/>
    <cellStyle name="Output 2 2 2 4 6 2" xfId="19928"/>
    <cellStyle name="Output 2 2 2 4 7" xfId="19929"/>
    <cellStyle name="Output 2 2 2 4 7 2" xfId="19930"/>
    <cellStyle name="Output 2 2 2 4 8" xfId="19931"/>
    <cellStyle name="Output 2 2 2 5" xfId="19932"/>
    <cellStyle name="Output 2 2 2 5 2" xfId="19933"/>
    <cellStyle name="Output 2 2 2 5 2 2" xfId="19934"/>
    <cellStyle name="Output 2 2 2 5 2 2 2" xfId="19935"/>
    <cellStyle name="Output 2 2 2 5 2 3" xfId="19936"/>
    <cellStyle name="Output 2 2 2 5 2 3 2" xfId="19937"/>
    <cellStyle name="Output 2 2 2 5 2 4" xfId="19938"/>
    <cellStyle name="Output 2 2 2 5 3" xfId="19939"/>
    <cellStyle name="Output 2 2 2 5 3 2" xfId="19940"/>
    <cellStyle name="Output 2 2 2 5 3 2 2" xfId="19941"/>
    <cellStyle name="Output 2 2 2 5 3 3" xfId="19942"/>
    <cellStyle name="Output 2 2 2 5 3 3 2" xfId="19943"/>
    <cellStyle name="Output 2 2 2 5 3 4" xfId="19944"/>
    <cellStyle name="Output 2 2 2 5 4" xfId="19945"/>
    <cellStyle name="Output 2 2 2 5 4 2" xfId="19946"/>
    <cellStyle name="Output 2 2 2 5 4 2 2" xfId="19947"/>
    <cellStyle name="Output 2 2 2 5 4 3" xfId="19948"/>
    <cellStyle name="Output 2 2 2 5 5" xfId="19949"/>
    <cellStyle name="Output 2 2 2 5 5 2" xfId="19950"/>
    <cellStyle name="Output 2 2 2 5 6" xfId="19951"/>
    <cellStyle name="Output 2 2 2 5 6 2" xfId="19952"/>
    <cellStyle name="Output 2 2 2 5 7" xfId="19953"/>
    <cellStyle name="Output 2 2 2 5 7 2" xfId="19954"/>
    <cellStyle name="Output 2 2 2 5 8" xfId="19955"/>
    <cellStyle name="Output 2 2 2 6" xfId="19956"/>
    <cellStyle name="Output 2 2 2 6 2" xfId="19957"/>
    <cellStyle name="Output 2 2 2 6 2 2" xfId="19958"/>
    <cellStyle name="Output 2 2 2 6 2 2 2" xfId="19959"/>
    <cellStyle name="Output 2 2 2 6 2 3" xfId="19960"/>
    <cellStyle name="Output 2 2 2 6 2 3 2" xfId="19961"/>
    <cellStyle name="Output 2 2 2 6 2 4" xfId="19962"/>
    <cellStyle name="Output 2 2 2 6 3" xfId="19963"/>
    <cellStyle name="Output 2 2 2 6 3 2" xfId="19964"/>
    <cellStyle name="Output 2 2 2 6 3 2 2" xfId="19965"/>
    <cellStyle name="Output 2 2 2 6 3 3" xfId="19966"/>
    <cellStyle name="Output 2 2 2 6 3 3 2" xfId="19967"/>
    <cellStyle name="Output 2 2 2 6 3 4" xfId="19968"/>
    <cellStyle name="Output 2 2 2 6 4" xfId="19969"/>
    <cellStyle name="Output 2 2 2 6 4 2" xfId="19970"/>
    <cellStyle name="Output 2 2 2 6 5" xfId="19971"/>
    <cellStyle name="Output 2 2 2 6 5 2" xfId="19972"/>
    <cellStyle name="Output 2 2 2 6 6" xfId="19973"/>
    <cellStyle name="Output 2 2 2 6 6 2" xfId="19974"/>
    <cellStyle name="Output 2 2 2 6 7" xfId="19975"/>
    <cellStyle name="Output 2 2 2 6 7 2" xfId="19976"/>
    <cellStyle name="Output 2 2 2 6 8" xfId="19977"/>
    <cellStyle name="Output 2 2 2 7" xfId="19978"/>
    <cellStyle name="Output 2 2 2 7 2" xfId="19979"/>
    <cellStyle name="Output 2 2 2 7 2 2" xfId="19980"/>
    <cellStyle name="Output 2 2 2 7 3" xfId="19981"/>
    <cellStyle name="Output 2 2 2 8" xfId="19982"/>
    <cellStyle name="Output 2 2 2 8 2" xfId="19983"/>
    <cellStyle name="Output 2 2 2 9" xfId="19984"/>
    <cellStyle name="Output 2 2 2 9 2" xfId="19985"/>
    <cellStyle name="Output 2 2 3" xfId="19986"/>
    <cellStyle name="Output 2 2 3 2" xfId="19987"/>
    <cellStyle name="Output 2 2 3 2 2" xfId="19988"/>
    <cellStyle name="Output 2 2 3 2 2 2" xfId="19989"/>
    <cellStyle name="Output 2 2 3 2 2 2 2" xfId="19990"/>
    <cellStyle name="Output 2 2 3 2 2 2 2 2" xfId="19991"/>
    <cellStyle name="Output 2 2 3 2 2 2 3" xfId="19992"/>
    <cellStyle name="Output 2 2 3 2 2 2 3 2" xfId="19993"/>
    <cellStyle name="Output 2 2 3 2 2 2 4" xfId="19994"/>
    <cellStyle name="Output 2 2 3 2 2 3" xfId="19995"/>
    <cellStyle name="Output 2 2 3 2 2 3 2" xfId="19996"/>
    <cellStyle name="Output 2 2 3 2 2 3 2 2" xfId="19997"/>
    <cellStyle name="Output 2 2 3 2 2 3 3" xfId="19998"/>
    <cellStyle name="Output 2 2 3 2 2 3 3 2" xfId="19999"/>
    <cellStyle name="Output 2 2 3 2 2 3 4" xfId="20000"/>
    <cellStyle name="Output 2 2 3 2 2 4" xfId="20001"/>
    <cellStyle name="Output 2 2 3 2 2 4 2" xfId="20002"/>
    <cellStyle name="Output 2 2 3 2 2 4 2 2" xfId="20003"/>
    <cellStyle name="Output 2 2 3 2 2 4 3" xfId="20004"/>
    <cellStyle name="Output 2 2 3 2 2 5" xfId="20005"/>
    <cellStyle name="Output 2 2 3 2 2 5 2" xfId="20006"/>
    <cellStyle name="Output 2 2 3 2 2 6" xfId="20007"/>
    <cellStyle name="Output 2 2 3 2 2 6 2" xfId="20008"/>
    <cellStyle name="Output 2 2 3 2 2 7" xfId="20009"/>
    <cellStyle name="Output 2 2 3 2 2 7 2" xfId="20010"/>
    <cellStyle name="Output 2 2 3 2 2 8" xfId="20011"/>
    <cellStyle name="Output 2 2 3 2 3" xfId="20012"/>
    <cellStyle name="Output 2 2 3 2 3 2" xfId="20013"/>
    <cellStyle name="Output 2 2 3 2 3 2 2" xfId="20014"/>
    <cellStyle name="Output 2 2 3 2 3 3" xfId="20015"/>
    <cellStyle name="Output 2 2 3 2 4" xfId="20016"/>
    <cellStyle name="Output 2 2 3 2 4 2" xfId="20017"/>
    <cellStyle name="Output 2 2 3 2 5" xfId="20018"/>
    <cellStyle name="Output 2 2 3 2 5 2" xfId="20019"/>
    <cellStyle name="Output 2 2 3 3" xfId="20020"/>
    <cellStyle name="Output 2 2 3 3 2" xfId="20021"/>
    <cellStyle name="Output 2 2 3 3 2 2" xfId="20022"/>
    <cellStyle name="Output 2 2 3 3 2 2 2" xfId="20023"/>
    <cellStyle name="Output 2 2 3 3 2 2 2 2" xfId="20024"/>
    <cellStyle name="Output 2 2 3 3 2 2 3" xfId="20025"/>
    <cellStyle name="Output 2 2 3 3 2 2 3 2" xfId="20026"/>
    <cellStyle name="Output 2 2 3 3 2 2 4" xfId="20027"/>
    <cellStyle name="Output 2 2 3 3 2 3" xfId="20028"/>
    <cellStyle name="Output 2 2 3 3 2 3 2" xfId="20029"/>
    <cellStyle name="Output 2 2 3 3 2 3 2 2" xfId="20030"/>
    <cellStyle name="Output 2 2 3 3 2 3 3" xfId="20031"/>
    <cellStyle name="Output 2 2 3 3 2 3 3 2" xfId="20032"/>
    <cellStyle name="Output 2 2 3 3 2 3 4" xfId="20033"/>
    <cellStyle name="Output 2 2 3 3 2 4" xfId="20034"/>
    <cellStyle name="Output 2 2 3 3 2 4 2" xfId="20035"/>
    <cellStyle name="Output 2 2 3 3 2 4 2 2" xfId="20036"/>
    <cellStyle name="Output 2 2 3 3 2 4 3" xfId="20037"/>
    <cellStyle name="Output 2 2 3 3 2 5" xfId="20038"/>
    <cellStyle name="Output 2 2 3 3 2 5 2" xfId="20039"/>
    <cellStyle name="Output 2 2 3 3 2 6" xfId="20040"/>
    <cellStyle name="Output 2 2 3 3 2 6 2" xfId="20041"/>
    <cellStyle name="Output 2 2 3 3 2 7" xfId="20042"/>
    <cellStyle name="Output 2 2 3 3 2 7 2" xfId="20043"/>
    <cellStyle name="Output 2 2 3 3 2 8" xfId="20044"/>
    <cellStyle name="Output 2 2 3 3 3" xfId="20045"/>
    <cellStyle name="Output 2 2 3 3 3 2" xfId="20046"/>
    <cellStyle name="Output 2 2 3 3 3 2 2" xfId="20047"/>
    <cellStyle name="Output 2 2 3 3 3 3" xfId="20048"/>
    <cellStyle name="Output 2 2 3 3 4" xfId="20049"/>
    <cellStyle name="Output 2 2 3 3 4 2" xfId="20050"/>
    <cellStyle name="Output 2 2 3 3 5" xfId="20051"/>
    <cellStyle name="Output 2 2 3 3 5 2" xfId="20052"/>
    <cellStyle name="Output 2 2 3 4" xfId="20053"/>
    <cellStyle name="Output 2 2 3 4 2" xfId="20054"/>
    <cellStyle name="Output 2 2 3 4 2 2" xfId="20055"/>
    <cellStyle name="Output 2 2 3 4 2 2 2" xfId="20056"/>
    <cellStyle name="Output 2 2 3 4 2 3" xfId="20057"/>
    <cellStyle name="Output 2 2 3 4 2 3 2" xfId="20058"/>
    <cellStyle name="Output 2 2 3 4 2 4" xfId="20059"/>
    <cellStyle name="Output 2 2 3 4 3" xfId="20060"/>
    <cellStyle name="Output 2 2 3 4 3 2" xfId="20061"/>
    <cellStyle name="Output 2 2 3 4 3 2 2" xfId="20062"/>
    <cellStyle name="Output 2 2 3 4 3 3" xfId="20063"/>
    <cellStyle name="Output 2 2 3 4 3 3 2" xfId="20064"/>
    <cellStyle name="Output 2 2 3 4 3 4" xfId="20065"/>
    <cellStyle name="Output 2 2 3 4 4" xfId="20066"/>
    <cellStyle name="Output 2 2 3 4 4 2" xfId="20067"/>
    <cellStyle name="Output 2 2 3 4 4 2 2" xfId="20068"/>
    <cellStyle name="Output 2 2 3 4 4 3" xfId="20069"/>
    <cellStyle name="Output 2 2 3 4 4 3 2" xfId="20070"/>
    <cellStyle name="Output 2 2 3 4 4 4" xfId="20071"/>
    <cellStyle name="Output 2 2 3 4 5" xfId="20072"/>
    <cellStyle name="Output 2 2 3 4 5 2" xfId="20073"/>
    <cellStyle name="Output 2 2 3 4 6" xfId="20074"/>
    <cellStyle name="Output 2 2 3 4 6 2" xfId="20075"/>
    <cellStyle name="Output 2 2 3 4 7" xfId="20076"/>
    <cellStyle name="Output 2 2 3 4 7 2" xfId="20077"/>
    <cellStyle name="Output 2 2 3 4 8" xfId="20078"/>
    <cellStyle name="Output 2 2 3 5" xfId="20079"/>
    <cellStyle name="Output 2 2 3 5 2" xfId="20080"/>
    <cellStyle name="Output 2 2 3 5 2 2" xfId="20081"/>
    <cellStyle name="Output 2 2 3 5 2 2 2" xfId="20082"/>
    <cellStyle name="Output 2 2 3 5 2 3" xfId="20083"/>
    <cellStyle name="Output 2 2 3 5 2 3 2" xfId="20084"/>
    <cellStyle name="Output 2 2 3 5 2 4" xfId="20085"/>
    <cellStyle name="Output 2 2 3 5 3" xfId="20086"/>
    <cellStyle name="Output 2 2 3 5 3 2" xfId="20087"/>
    <cellStyle name="Output 2 2 3 5 3 2 2" xfId="20088"/>
    <cellStyle name="Output 2 2 3 5 3 3" xfId="20089"/>
    <cellStyle name="Output 2 2 3 5 3 3 2" xfId="20090"/>
    <cellStyle name="Output 2 2 3 5 3 4" xfId="20091"/>
    <cellStyle name="Output 2 2 3 5 4" xfId="20092"/>
    <cellStyle name="Output 2 2 3 5 4 2" xfId="20093"/>
    <cellStyle name="Output 2 2 3 5 4 2 2" xfId="20094"/>
    <cellStyle name="Output 2 2 3 5 4 3" xfId="20095"/>
    <cellStyle name="Output 2 2 3 5 5" xfId="20096"/>
    <cellStyle name="Output 2 2 3 5 5 2" xfId="20097"/>
    <cellStyle name="Output 2 2 3 5 6" xfId="20098"/>
    <cellStyle name="Output 2 2 3 5 6 2" xfId="20099"/>
    <cellStyle name="Output 2 2 3 5 7" xfId="20100"/>
    <cellStyle name="Output 2 2 3 5 7 2" xfId="20101"/>
    <cellStyle name="Output 2 2 3 5 8" xfId="20102"/>
    <cellStyle name="Output 2 2 3 6" xfId="20103"/>
    <cellStyle name="Output 2 2 3 6 2" xfId="20104"/>
    <cellStyle name="Output 2 2 3 6 2 2" xfId="20105"/>
    <cellStyle name="Output 2 2 3 6 2 2 2" xfId="20106"/>
    <cellStyle name="Output 2 2 3 6 2 3" xfId="20107"/>
    <cellStyle name="Output 2 2 3 6 2 3 2" xfId="20108"/>
    <cellStyle name="Output 2 2 3 6 2 4" xfId="20109"/>
    <cellStyle name="Output 2 2 3 6 3" xfId="20110"/>
    <cellStyle name="Output 2 2 3 6 3 2" xfId="20111"/>
    <cellStyle name="Output 2 2 3 6 3 2 2" xfId="20112"/>
    <cellStyle name="Output 2 2 3 6 3 3" xfId="20113"/>
    <cellStyle name="Output 2 2 3 6 3 3 2" xfId="20114"/>
    <cellStyle name="Output 2 2 3 6 3 4" xfId="20115"/>
    <cellStyle name="Output 2 2 3 6 4" xfId="20116"/>
    <cellStyle name="Output 2 2 3 6 4 2" xfId="20117"/>
    <cellStyle name="Output 2 2 3 6 5" xfId="20118"/>
    <cellStyle name="Output 2 2 3 6 5 2" xfId="20119"/>
    <cellStyle name="Output 2 2 3 6 6" xfId="20120"/>
    <cellStyle name="Output 2 2 3 6 6 2" xfId="20121"/>
    <cellStyle name="Output 2 2 3 6 7" xfId="20122"/>
    <cellStyle name="Output 2 2 3 6 7 2" xfId="20123"/>
    <cellStyle name="Output 2 2 3 6 8" xfId="20124"/>
    <cellStyle name="Output 2 2 3 7" xfId="20125"/>
    <cellStyle name="Output 2 2 3 7 2" xfId="20126"/>
    <cellStyle name="Output 2 2 3 7 2 2" xfId="20127"/>
    <cellStyle name="Output 2 2 3 7 3" xfId="20128"/>
    <cellStyle name="Output 2 2 3 8" xfId="20129"/>
    <cellStyle name="Output 2 2 3 8 2" xfId="20130"/>
    <cellStyle name="Output 2 2 3 9" xfId="20131"/>
    <cellStyle name="Output 2 2 3 9 2" xfId="20132"/>
    <cellStyle name="Output 2 2 4" xfId="20133"/>
    <cellStyle name="Output 2 2 4 2" xfId="20134"/>
    <cellStyle name="Output 2 2 4 2 2" xfId="20135"/>
    <cellStyle name="Output 2 2 4 2 2 2" xfId="20136"/>
    <cellStyle name="Output 2 2 4 2 2 2 2" xfId="20137"/>
    <cellStyle name="Output 2 2 4 2 2 2 2 2" xfId="20138"/>
    <cellStyle name="Output 2 2 4 2 2 2 3" xfId="20139"/>
    <cellStyle name="Output 2 2 4 2 2 2 3 2" xfId="20140"/>
    <cellStyle name="Output 2 2 4 2 2 2 4" xfId="20141"/>
    <cellStyle name="Output 2 2 4 2 2 3" xfId="20142"/>
    <cellStyle name="Output 2 2 4 2 2 3 2" xfId="20143"/>
    <cellStyle name="Output 2 2 4 2 2 3 2 2" xfId="20144"/>
    <cellStyle name="Output 2 2 4 2 2 3 3" xfId="20145"/>
    <cellStyle name="Output 2 2 4 2 2 3 3 2" xfId="20146"/>
    <cellStyle name="Output 2 2 4 2 2 3 4" xfId="20147"/>
    <cellStyle name="Output 2 2 4 2 2 4" xfId="20148"/>
    <cellStyle name="Output 2 2 4 2 2 4 2" xfId="20149"/>
    <cellStyle name="Output 2 2 4 2 2 4 2 2" xfId="20150"/>
    <cellStyle name="Output 2 2 4 2 2 4 3" xfId="20151"/>
    <cellStyle name="Output 2 2 4 2 2 5" xfId="20152"/>
    <cellStyle name="Output 2 2 4 2 2 5 2" xfId="20153"/>
    <cellStyle name="Output 2 2 4 2 2 6" xfId="20154"/>
    <cellStyle name="Output 2 2 4 2 2 6 2" xfId="20155"/>
    <cellStyle name="Output 2 2 4 2 2 7" xfId="20156"/>
    <cellStyle name="Output 2 2 4 2 2 7 2" xfId="20157"/>
    <cellStyle name="Output 2 2 4 2 2 8" xfId="20158"/>
    <cellStyle name="Output 2 2 4 2 3" xfId="20159"/>
    <cellStyle name="Output 2 2 4 2 3 2" xfId="20160"/>
    <cellStyle name="Output 2 2 4 2 3 2 2" xfId="20161"/>
    <cellStyle name="Output 2 2 4 2 3 3" xfId="20162"/>
    <cellStyle name="Output 2 2 4 2 4" xfId="20163"/>
    <cellStyle name="Output 2 2 4 2 4 2" xfId="20164"/>
    <cellStyle name="Output 2 2 4 2 5" xfId="20165"/>
    <cellStyle name="Output 2 2 4 2 5 2" xfId="20166"/>
    <cellStyle name="Output 2 2 4 3" xfId="20167"/>
    <cellStyle name="Output 2 2 4 3 2" xfId="20168"/>
    <cellStyle name="Output 2 2 4 3 2 2" xfId="20169"/>
    <cellStyle name="Output 2 2 4 3 2 2 2" xfId="20170"/>
    <cellStyle name="Output 2 2 4 3 2 2 2 2" xfId="20171"/>
    <cellStyle name="Output 2 2 4 3 2 2 3" xfId="20172"/>
    <cellStyle name="Output 2 2 4 3 2 2 3 2" xfId="20173"/>
    <cellStyle name="Output 2 2 4 3 2 2 4" xfId="20174"/>
    <cellStyle name="Output 2 2 4 3 2 3" xfId="20175"/>
    <cellStyle name="Output 2 2 4 3 2 3 2" xfId="20176"/>
    <cellStyle name="Output 2 2 4 3 2 3 2 2" xfId="20177"/>
    <cellStyle name="Output 2 2 4 3 2 3 3" xfId="20178"/>
    <cellStyle name="Output 2 2 4 3 2 3 3 2" xfId="20179"/>
    <cellStyle name="Output 2 2 4 3 2 3 4" xfId="20180"/>
    <cellStyle name="Output 2 2 4 3 2 4" xfId="20181"/>
    <cellStyle name="Output 2 2 4 3 2 4 2" xfId="20182"/>
    <cellStyle name="Output 2 2 4 3 2 4 2 2" xfId="20183"/>
    <cellStyle name="Output 2 2 4 3 2 4 3" xfId="20184"/>
    <cellStyle name="Output 2 2 4 3 2 5" xfId="20185"/>
    <cellStyle name="Output 2 2 4 3 2 5 2" xfId="20186"/>
    <cellStyle name="Output 2 2 4 3 2 6" xfId="20187"/>
    <cellStyle name="Output 2 2 4 3 2 6 2" xfId="20188"/>
    <cellStyle name="Output 2 2 4 3 2 7" xfId="20189"/>
    <cellStyle name="Output 2 2 4 3 2 7 2" xfId="20190"/>
    <cellStyle name="Output 2 2 4 3 2 8" xfId="20191"/>
    <cellStyle name="Output 2 2 4 3 3" xfId="20192"/>
    <cellStyle name="Output 2 2 4 3 3 2" xfId="20193"/>
    <cellStyle name="Output 2 2 4 3 3 2 2" xfId="20194"/>
    <cellStyle name="Output 2 2 4 3 3 3" xfId="20195"/>
    <cellStyle name="Output 2 2 4 3 4" xfId="20196"/>
    <cellStyle name="Output 2 2 4 3 4 2" xfId="20197"/>
    <cellStyle name="Output 2 2 4 3 5" xfId="20198"/>
    <cellStyle name="Output 2 2 4 3 5 2" xfId="20199"/>
    <cellStyle name="Output 2 2 4 4" xfId="20200"/>
    <cellStyle name="Output 2 2 4 4 2" xfId="20201"/>
    <cellStyle name="Output 2 2 4 4 2 2" xfId="20202"/>
    <cellStyle name="Output 2 2 4 4 2 2 2" xfId="20203"/>
    <cellStyle name="Output 2 2 4 4 2 3" xfId="20204"/>
    <cellStyle name="Output 2 2 4 4 2 3 2" xfId="20205"/>
    <cellStyle name="Output 2 2 4 4 2 4" xfId="20206"/>
    <cellStyle name="Output 2 2 4 4 3" xfId="20207"/>
    <cellStyle name="Output 2 2 4 4 3 2" xfId="20208"/>
    <cellStyle name="Output 2 2 4 4 3 2 2" xfId="20209"/>
    <cellStyle name="Output 2 2 4 4 3 3" xfId="20210"/>
    <cellStyle name="Output 2 2 4 4 3 3 2" xfId="20211"/>
    <cellStyle name="Output 2 2 4 4 3 4" xfId="20212"/>
    <cellStyle name="Output 2 2 4 4 4" xfId="20213"/>
    <cellStyle name="Output 2 2 4 4 4 2" xfId="20214"/>
    <cellStyle name="Output 2 2 4 4 4 2 2" xfId="20215"/>
    <cellStyle name="Output 2 2 4 4 4 3" xfId="20216"/>
    <cellStyle name="Output 2 2 4 4 4 3 2" xfId="20217"/>
    <cellStyle name="Output 2 2 4 4 4 4" xfId="20218"/>
    <cellStyle name="Output 2 2 4 4 5" xfId="20219"/>
    <cellStyle name="Output 2 2 4 4 5 2" xfId="20220"/>
    <cellStyle name="Output 2 2 4 4 6" xfId="20221"/>
    <cellStyle name="Output 2 2 4 4 6 2" xfId="20222"/>
    <cellStyle name="Output 2 2 4 4 7" xfId="20223"/>
    <cellStyle name="Output 2 2 4 4 7 2" xfId="20224"/>
    <cellStyle name="Output 2 2 4 4 8" xfId="20225"/>
    <cellStyle name="Output 2 2 4 5" xfId="20226"/>
    <cellStyle name="Output 2 2 4 5 2" xfId="20227"/>
    <cellStyle name="Output 2 2 4 5 2 2" xfId="20228"/>
    <cellStyle name="Output 2 2 4 5 2 2 2" xfId="20229"/>
    <cellStyle name="Output 2 2 4 5 2 3" xfId="20230"/>
    <cellStyle name="Output 2 2 4 5 2 3 2" xfId="20231"/>
    <cellStyle name="Output 2 2 4 5 2 4" xfId="20232"/>
    <cellStyle name="Output 2 2 4 5 3" xfId="20233"/>
    <cellStyle name="Output 2 2 4 5 3 2" xfId="20234"/>
    <cellStyle name="Output 2 2 4 5 3 2 2" xfId="20235"/>
    <cellStyle name="Output 2 2 4 5 3 3" xfId="20236"/>
    <cellStyle name="Output 2 2 4 5 3 3 2" xfId="20237"/>
    <cellStyle name="Output 2 2 4 5 3 4" xfId="20238"/>
    <cellStyle name="Output 2 2 4 5 4" xfId="20239"/>
    <cellStyle name="Output 2 2 4 5 4 2" xfId="20240"/>
    <cellStyle name="Output 2 2 4 5 4 2 2" xfId="20241"/>
    <cellStyle name="Output 2 2 4 5 4 3" xfId="20242"/>
    <cellStyle name="Output 2 2 4 5 5" xfId="20243"/>
    <cellStyle name="Output 2 2 4 5 5 2" xfId="20244"/>
    <cellStyle name="Output 2 2 4 5 6" xfId="20245"/>
    <cellStyle name="Output 2 2 4 5 6 2" xfId="20246"/>
    <cellStyle name="Output 2 2 4 5 7" xfId="20247"/>
    <cellStyle name="Output 2 2 4 5 7 2" xfId="20248"/>
    <cellStyle name="Output 2 2 4 5 8" xfId="20249"/>
    <cellStyle name="Output 2 2 4 6" xfId="20250"/>
    <cellStyle name="Output 2 2 4 6 2" xfId="20251"/>
    <cellStyle name="Output 2 2 4 6 2 2" xfId="20252"/>
    <cellStyle name="Output 2 2 4 6 2 2 2" xfId="20253"/>
    <cellStyle name="Output 2 2 4 6 2 3" xfId="20254"/>
    <cellStyle name="Output 2 2 4 6 2 3 2" xfId="20255"/>
    <cellStyle name="Output 2 2 4 6 2 4" xfId="20256"/>
    <cellStyle name="Output 2 2 4 6 3" xfId="20257"/>
    <cellStyle name="Output 2 2 4 6 3 2" xfId="20258"/>
    <cellStyle name="Output 2 2 4 6 3 2 2" xfId="20259"/>
    <cellStyle name="Output 2 2 4 6 3 3" xfId="20260"/>
    <cellStyle name="Output 2 2 4 6 3 3 2" xfId="20261"/>
    <cellStyle name="Output 2 2 4 6 3 4" xfId="20262"/>
    <cellStyle name="Output 2 2 4 6 4" xfId="20263"/>
    <cellStyle name="Output 2 2 4 6 4 2" xfId="20264"/>
    <cellStyle name="Output 2 2 4 6 5" xfId="20265"/>
    <cellStyle name="Output 2 2 4 6 5 2" xfId="20266"/>
    <cellStyle name="Output 2 2 4 6 6" xfId="20267"/>
    <cellStyle name="Output 2 2 4 6 6 2" xfId="20268"/>
    <cellStyle name="Output 2 2 4 6 7" xfId="20269"/>
    <cellStyle name="Output 2 2 4 6 7 2" xfId="20270"/>
    <cellStyle name="Output 2 2 4 6 8" xfId="20271"/>
    <cellStyle name="Output 2 2 4 7" xfId="20272"/>
    <cellStyle name="Output 2 2 4 7 2" xfId="20273"/>
    <cellStyle name="Output 2 2 4 7 2 2" xfId="20274"/>
    <cellStyle name="Output 2 2 4 7 3" xfId="20275"/>
    <cellStyle name="Output 2 2 4 8" xfId="20276"/>
    <cellStyle name="Output 2 2 4 8 2" xfId="20277"/>
    <cellStyle name="Output 2 2 4 9" xfId="20278"/>
    <cellStyle name="Output 2 2 4 9 2" xfId="20279"/>
    <cellStyle name="Output 2 2 5" xfId="20280"/>
    <cellStyle name="Output 2 2 5 2" xfId="20281"/>
    <cellStyle name="Output 2 2 5 2 2" xfId="20282"/>
    <cellStyle name="Output 2 2 5 2 2 2" xfId="20283"/>
    <cellStyle name="Output 2 2 5 2 2 2 2" xfId="20284"/>
    <cellStyle name="Output 2 2 5 2 2 2 2 2" xfId="20285"/>
    <cellStyle name="Output 2 2 5 2 2 2 3" xfId="20286"/>
    <cellStyle name="Output 2 2 5 2 2 2 3 2" xfId="20287"/>
    <cellStyle name="Output 2 2 5 2 2 2 4" xfId="20288"/>
    <cellStyle name="Output 2 2 5 2 2 3" xfId="20289"/>
    <cellStyle name="Output 2 2 5 2 2 3 2" xfId="20290"/>
    <cellStyle name="Output 2 2 5 2 2 3 2 2" xfId="20291"/>
    <cellStyle name="Output 2 2 5 2 2 3 3" xfId="20292"/>
    <cellStyle name="Output 2 2 5 2 2 3 3 2" xfId="20293"/>
    <cellStyle name="Output 2 2 5 2 2 3 4" xfId="20294"/>
    <cellStyle name="Output 2 2 5 2 2 4" xfId="20295"/>
    <cellStyle name="Output 2 2 5 2 2 4 2" xfId="20296"/>
    <cellStyle name="Output 2 2 5 2 2 4 2 2" xfId="20297"/>
    <cellStyle name="Output 2 2 5 2 2 4 3" xfId="20298"/>
    <cellStyle name="Output 2 2 5 2 2 5" xfId="20299"/>
    <cellStyle name="Output 2 2 5 2 2 5 2" xfId="20300"/>
    <cellStyle name="Output 2 2 5 2 2 6" xfId="20301"/>
    <cellStyle name="Output 2 2 5 2 2 6 2" xfId="20302"/>
    <cellStyle name="Output 2 2 5 2 2 7" xfId="20303"/>
    <cellStyle name="Output 2 2 5 2 2 7 2" xfId="20304"/>
    <cellStyle name="Output 2 2 5 2 2 8" xfId="20305"/>
    <cellStyle name="Output 2 2 5 2 3" xfId="20306"/>
    <cellStyle name="Output 2 2 5 2 3 2" xfId="20307"/>
    <cellStyle name="Output 2 2 5 2 3 2 2" xfId="20308"/>
    <cellStyle name="Output 2 2 5 2 3 3" xfId="20309"/>
    <cellStyle name="Output 2 2 5 2 4" xfId="20310"/>
    <cellStyle name="Output 2 2 5 2 4 2" xfId="20311"/>
    <cellStyle name="Output 2 2 5 2 5" xfId="20312"/>
    <cellStyle name="Output 2 2 5 2 5 2" xfId="20313"/>
    <cellStyle name="Output 2 2 5 3" xfId="20314"/>
    <cellStyle name="Output 2 2 5 3 2" xfId="20315"/>
    <cellStyle name="Output 2 2 5 3 2 2" xfId="20316"/>
    <cellStyle name="Output 2 2 5 3 2 2 2" xfId="20317"/>
    <cellStyle name="Output 2 2 5 3 2 2 2 2" xfId="20318"/>
    <cellStyle name="Output 2 2 5 3 2 2 3" xfId="20319"/>
    <cellStyle name="Output 2 2 5 3 2 2 3 2" xfId="20320"/>
    <cellStyle name="Output 2 2 5 3 2 2 4" xfId="20321"/>
    <cellStyle name="Output 2 2 5 3 2 3" xfId="20322"/>
    <cellStyle name="Output 2 2 5 3 2 3 2" xfId="20323"/>
    <cellStyle name="Output 2 2 5 3 2 3 2 2" xfId="20324"/>
    <cellStyle name="Output 2 2 5 3 2 3 3" xfId="20325"/>
    <cellStyle name="Output 2 2 5 3 2 3 3 2" xfId="20326"/>
    <cellStyle name="Output 2 2 5 3 2 3 4" xfId="20327"/>
    <cellStyle name="Output 2 2 5 3 2 4" xfId="20328"/>
    <cellStyle name="Output 2 2 5 3 2 4 2" xfId="20329"/>
    <cellStyle name="Output 2 2 5 3 2 4 2 2" xfId="20330"/>
    <cellStyle name="Output 2 2 5 3 2 4 3" xfId="20331"/>
    <cellStyle name="Output 2 2 5 3 2 5" xfId="20332"/>
    <cellStyle name="Output 2 2 5 3 2 5 2" xfId="20333"/>
    <cellStyle name="Output 2 2 5 3 2 6" xfId="20334"/>
    <cellStyle name="Output 2 2 5 3 2 6 2" xfId="20335"/>
    <cellStyle name="Output 2 2 5 3 2 7" xfId="20336"/>
    <cellStyle name="Output 2 2 5 3 2 7 2" xfId="20337"/>
    <cellStyle name="Output 2 2 5 3 2 8" xfId="20338"/>
    <cellStyle name="Output 2 2 5 3 3" xfId="20339"/>
    <cellStyle name="Output 2 2 5 3 3 2" xfId="20340"/>
    <cellStyle name="Output 2 2 5 3 3 2 2" xfId="20341"/>
    <cellStyle name="Output 2 2 5 3 3 3" xfId="20342"/>
    <cellStyle name="Output 2 2 5 3 4" xfId="20343"/>
    <cellStyle name="Output 2 2 5 3 4 2" xfId="20344"/>
    <cellStyle name="Output 2 2 5 3 5" xfId="20345"/>
    <cellStyle name="Output 2 2 5 3 5 2" xfId="20346"/>
    <cellStyle name="Output 2 2 5 4" xfId="20347"/>
    <cellStyle name="Output 2 2 5 4 2" xfId="20348"/>
    <cellStyle name="Output 2 2 5 4 2 2" xfId="20349"/>
    <cellStyle name="Output 2 2 5 4 2 2 2" xfId="20350"/>
    <cellStyle name="Output 2 2 5 4 2 3" xfId="20351"/>
    <cellStyle name="Output 2 2 5 4 2 3 2" xfId="20352"/>
    <cellStyle name="Output 2 2 5 4 2 4" xfId="20353"/>
    <cellStyle name="Output 2 2 5 4 3" xfId="20354"/>
    <cellStyle name="Output 2 2 5 4 3 2" xfId="20355"/>
    <cellStyle name="Output 2 2 5 4 3 2 2" xfId="20356"/>
    <cellStyle name="Output 2 2 5 4 3 3" xfId="20357"/>
    <cellStyle name="Output 2 2 5 4 3 3 2" xfId="20358"/>
    <cellStyle name="Output 2 2 5 4 3 4" xfId="20359"/>
    <cellStyle name="Output 2 2 5 4 4" xfId="20360"/>
    <cellStyle name="Output 2 2 5 4 4 2" xfId="20361"/>
    <cellStyle name="Output 2 2 5 4 4 2 2" xfId="20362"/>
    <cellStyle name="Output 2 2 5 4 4 3" xfId="20363"/>
    <cellStyle name="Output 2 2 5 4 4 3 2" xfId="20364"/>
    <cellStyle name="Output 2 2 5 4 4 4" xfId="20365"/>
    <cellStyle name="Output 2 2 5 4 5" xfId="20366"/>
    <cellStyle name="Output 2 2 5 4 5 2" xfId="20367"/>
    <cellStyle name="Output 2 2 5 4 6" xfId="20368"/>
    <cellStyle name="Output 2 2 5 4 6 2" xfId="20369"/>
    <cellStyle name="Output 2 2 5 4 7" xfId="20370"/>
    <cellStyle name="Output 2 2 5 4 7 2" xfId="20371"/>
    <cellStyle name="Output 2 2 5 4 8" xfId="20372"/>
    <cellStyle name="Output 2 2 5 5" xfId="20373"/>
    <cellStyle name="Output 2 2 5 5 2" xfId="20374"/>
    <cellStyle name="Output 2 2 5 5 2 2" xfId="20375"/>
    <cellStyle name="Output 2 2 5 5 2 2 2" xfId="20376"/>
    <cellStyle name="Output 2 2 5 5 2 3" xfId="20377"/>
    <cellStyle name="Output 2 2 5 5 2 3 2" xfId="20378"/>
    <cellStyle name="Output 2 2 5 5 2 4" xfId="20379"/>
    <cellStyle name="Output 2 2 5 5 3" xfId="20380"/>
    <cellStyle name="Output 2 2 5 5 3 2" xfId="20381"/>
    <cellStyle name="Output 2 2 5 5 3 2 2" xfId="20382"/>
    <cellStyle name="Output 2 2 5 5 3 3" xfId="20383"/>
    <cellStyle name="Output 2 2 5 5 3 3 2" xfId="20384"/>
    <cellStyle name="Output 2 2 5 5 3 4" xfId="20385"/>
    <cellStyle name="Output 2 2 5 5 4" xfId="20386"/>
    <cellStyle name="Output 2 2 5 5 4 2" xfId="20387"/>
    <cellStyle name="Output 2 2 5 5 4 2 2" xfId="20388"/>
    <cellStyle name="Output 2 2 5 5 4 3" xfId="20389"/>
    <cellStyle name="Output 2 2 5 5 5" xfId="20390"/>
    <cellStyle name="Output 2 2 5 5 5 2" xfId="20391"/>
    <cellStyle name="Output 2 2 5 5 6" xfId="20392"/>
    <cellStyle name="Output 2 2 5 5 6 2" xfId="20393"/>
    <cellStyle name="Output 2 2 5 5 7" xfId="20394"/>
    <cellStyle name="Output 2 2 5 5 7 2" xfId="20395"/>
    <cellStyle name="Output 2 2 5 5 8" xfId="20396"/>
    <cellStyle name="Output 2 2 5 6" xfId="20397"/>
    <cellStyle name="Output 2 2 5 6 2" xfId="20398"/>
    <cellStyle name="Output 2 2 5 6 2 2" xfId="20399"/>
    <cellStyle name="Output 2 2 5 6 2 2 2" xfId="20400"/>
    <cellStyle name="Output 2 2 5 6 2 3" xfId="20401"/>
    <cellStyle name="Output 2 2 5 6 2 3 2" xfId="20402"/>
    <cellStyle name="Output 2 2 5 6 2 4" xfId="20403"/>
    <cellStyle name="Output 2 2 5 6 3" xfId="20404"/>
    <cellStyle name="Output 2 2 5 6 3 2" xfId="20405"/>
    <cellStyle name="Output 2 2 5 6 3 2 2" xfId="20406"/>
    <cellStyle name="Output 2 2 5 6 3 3" xfId="20407"/>
    <cellStyle name="Output 2 2 5 6 3 3 2" xfId="20408"/>
    <cellStyle name="Output 2 2 5 6 3 4" xfId="20409"/>
    <cellStyle name="Output 2 2 5 6 4" xfId="20410"/>
    <cellStyle name="Output 2 2 5 6 4 2" xfId="20411"/>
    <cellStyle name="Output 2 2 5 6 5" xfId="20412"/>
    <cellStyle name="Output 2 2 5 6 5 2" xfId="20413"/>
    <cellStyle name="Output 2 2 5 6 6" xfId="20414"/>
    <cellStyle name="Output 2 2 5 6 6 2" xfId="20415"/>
    <cellStyle name="Output 2 2 5 6 7" xfId="20416"/>
    <cellStyle name="Output 2 2 5 6 7 2" xfId="20417"/>
    <cellStyle name="Output 2 2 5 6 8" xfId="20418"/>
    <cellStyle name="Output 2 2 5 7" xfId="20419"/>
    <cellStyle name="Output 2 2 5 7 2" xfId="20420"/>
    <cellStyle name="Output 2 2 5 7 2 2" xfId="20421"/>
    <cellStyle name="Output 2 2 5 7 3" xfId="20422"/>
    <cellStyle name="Output 2 2 5 8" xfId="20423"/>
    <cellStyle name="Output 2 2 5 8 2" xfId="20424"/>
    <cellStyle name="Output 2 2 5 9" xfId="20425"/>
    <cellStyle name="Output 2 2 5 9 2" xfId="20426"/>
    <cellStyle name="Output 2 2 6" xfId="20427"/>
    <cellStyle name="Output 2 2 6 2" xfId="20428"/>
    <cellStyle name="Output 2 2 6 2 2" xfId="20429"/>
    <cellStyle name="Output 2 2 6 2 2 2" xfId="20430"/>
    <cellStyle name="Output 2 2 6 2 2 2 2" xfId="20431"/>
    <cellStyle name="Output 2 2 6 2 2 2 2 2" xfId="20432"/>
    <cellStyle name="Output 2 2 6 2 2 2 3" xfId="20433"/>
    <cellStyle name="Output 2 2 6 2 2 2 3 2" xfId="20434"/>
    <cellStyle name="Output 2 2 6 2 2 2 4" xfId="20435"/>
    <cellStyle name="Output 2 2 6 2 2 3" xfId="20436"/>
    <cellStyle name="Output 2 2 6 2 2 3 2" xfId="20437"/>
    <cellStyle name="Output 2 2 6 2 2 3 2 2" xfId="20438"/>
    <cellStyle name="Output 2 2 6 2 2 3 3" xfId="20439"/>
    <cellStyle name="Output 2 2 6 2 2 3 3 2" xfId="20440"/>
    <cellStyle name="Output 2 2 6 2 2 3 4" xfId="20441"/>
    <cellStyle name="Output 2 2 6 2 2 4" xfId="20442"/>
    <cellStyle name="Output 2 2 6 2 2 4 2" xfId="20443"/>
    <cellStyle name="Output 2 2 6 2 2 4 2 2" xfId="20444"/>
    <cellStyle name="Output 2 2 6 2 2 4 3" xfId="20445"/>
    <cellStyle name="Output 2 2 6 2 2 5" xfId="20446"/>
    <cellStyle name="Output 2 2 6 2 2 5 2" xfId="20447"/>
    <cellStyle name="Output 2 2 6 2 2 6" xfId="20448"/>
    <cellStyle name="Output 2 2 6 2 2 6 2" xfId="20449"/>
    <cellStyle name="Output 2 2 6 2 2 7" xfId="20450"/>
    <cellStyle name="Output 2 2 6 2 2 7 2" xfId="20451"/>
    <cellStyle name="Output 2 2 6 2 2 8" xfId="20452"/>
    <cellStyle name="Output 2 2 6 2 3" xfId="20453"/>
    <cellStyle name="Output 2 2 6 2 3 2" xfId="20454"/>
    <cellStyle name="Output 2 2 6 2 3 2 2" xfId="20455"/>
    <cellStyle name="Output 2 2 6 2 3 3" xfId="20456"/>
    <cellStyle name="Output 2 2 6 2 4" xfId="20457"/>
    <cellStyle name="Output 2 2 6 2 4 2" xfId="20458"/>
    <cellStyle name="Output 2 2 6 2 5" xfId="20459"/>
    <cellStyle name="Output 2 2 6 2 5 2" xfId="20460"/>
    <cellStyle name="Output 2 2 6 3" xfId="20461"/>
    <cellStyle name="Output 2 2 6 3 2" xfId="20462"/>
    <cellStyle name="Output 2 2 6 3 2 2" xfId="20463"/>
    <cellStyle name="Output 2 2 6 3 2 2 2" xfId="20464"/>
    <cellStyle name="Output 2 2 6 3 2 2 2 2" xfId="20465"/>
    <cellStyle name="Output 2 2 6 3 2 2 3" xfId="20466"/>
    <cellStyle name="Output 2 2 6 3 2 2 3 2" xfId="20467"/>
    <cellStyle name="Output 2 2 6 3 2 2 4" xfId="20468"/>
    <cellStyle name="Output 2 2 6 3 2 3" xfId="20469"/>
    <cellStyle name="Output 2 2 6 3 2 3 2" xfId="20470"/>
    <cellStyle name="Output 2 2 6 3 2 3 2 2" xfId="20471"/>
    <cellStyle name="Output 2 2 6 3 2 3 3" xfId="20472"/>
    <cellStyle name="Output 2 2 6 3 2 3 3 2" xfId="20473"/>
    <cellStyle name="Output 2 2 6 3 2 3 4" xfId="20474"/>
    <cellStyle name="Output 2 2 6 3 2 4" xfId="20475"/>
    <cellStyle name="Output 2 2 6 3 2 4 2" xfId="20476"/>
    <cellStyle name="Output 2 2 6 3 2 4 2 2" xfId="20477"/>
    <cellStyle name="Output 2 2 6 3 2 4 3" xfId="20478"/>
    <cellStyle name="Output 2 2 6 3 2 5" xfId="20479"/>
    <cellStyle name="Output 2 2 6 3 2 5 2" xfId="20480"/>
    <cellStyle name="Output 2 2 6 3 2 6" xfId="20481"/>
    <cellStyle name="Output 2 2 6 3 2 6 2" xfId="20482"/>
    <cellStyle name="Output 2 2 6 3 2 7" xfId="20483"/>
    <cellStyle name="Output 2 2 6 3 2 7 2" xfId="20484"/>
    <cellStyle name="Output 2 2 6 3 2 8" xfId="20485"/>
    <cellStyle name="Output 2 2 6 3 3" xfId="20486"/>
    <cellStyle name="Output 2 2 6 3 3 2" xfId="20487"/>
    <cellStyle name="Output 2 2 6 3 3 2 2" xfId="20488"/>
    <cellStyle name="Output 2 2 6 3 3 3" xfId="20489"/>
    <cellStyle name="Output 2 2 6 3 4" xfId="20490"/>
    <cellStyle name="Output 2 2 6 3 4 2" xfId="20491"/>
    <cellStyle name="Output 2 2 6 3 5" xfId="20492"/>
    <cellStyle name="Output 2 2 6 3 5 2" xfId="20493"/>
    <cellStyle name="Output 2 2 6 4" xfId="20494"/>
    <cellStyle name="Output 2 2 6 4 2" xfId="20495"/>
    <cellStyle name="Output 2 2 6 4 2 2" xfId="20496"/>
    <cellStyle name="Output 2 2 6 4 2 2 2" xfId="20497"/>
    <cellStyle name="Output 2 2 6 4 2 3" xfId="20498"/>
    <cellStyle name="Output 2 2 6 4 2 3 2" xfId="20499"/>
    <cellStyle name="Output 2 2 6 4 2 4" xfId="20500"/>
    <cellStyle name="Output 2 2 6 4 3" xfId="20501"/>
    <cellStyle name="Output 2 2 6 4 3 2" xfId="20502"/>
    <cellStyle name="Output 2 2 6 4 3 2 2" xfId="20503"/>
    <cellStyle name="Output 2 2 6 4 3 3" xfId="20504"/>
    <cellStyle name="Output 2 2 6 4 3 3 2" xfId="20505"/>
    <cellStyle name="Output 2 2 6 4 3 4" xfId="20506"/>
    <cellStyle name="Output 2 2 6 4 4" xfId="20507"/>
    <cellStyle name="Output 2 2 6 4 4 2" xfId="20508"/>
    <cellStyle name="Output 2 2 6 4 4 2 2" xfId="20509"/>
    <cellStyle name="Output 2 2 6 4 4 3" xfId="20510"/>
    <cellStyle name="Output 2 2 6 4 4 3 2" xfId="20511"/>
    <cellStyle name="Output 2 2 6 4 4 4" xfId="20512"/>
    <cellStyle name="Output 2 2 6 4 5" xfId="20513"/>
    <cellStyle name="Output 2 2 6 4 5 2" xfId="20514"/>
    <cellStyle name="Output 2 2 6 4 6" xfId="20515"/>
    <cellStyle name="Output 2 2 6 4 6 2" xfId="20516"/>
    <cellStyle name="Output 2 2 6 4 7" xfId="20517"/>
    <cellStyle name="Output 2 2 6 4 7 2" xfId="20518"/>
    <cellStyle name="Output 2 2 6 4 8" xfId="20519"/>
    <cellStyle name="Output 2 2 6 5" xfId="20520"/>
    <cellStyle name="Output 2 2 6 5 2" xfId="20521"/>
    <cellStyle name="Output 2 2 6 5 2 2" xfId="20522"/>
    <cellStyle name="Output 2 2 6 5 2 2 2" xfId="20523"/>
    <cellStyle name="Output 2 2 6 5 2 3" xfId="20524"/>
    <cellStyle name="Output 2 2 6 5 2 3 2" xfId="20525"/>
    <cellStyle name="Output 2 2 6 5 2 4" xfId="20526"/>
    <cellStyle name="Output 2 2 6 5 3" xfId="20527"/>
    <cellStyle name="Output 2 2 6 5 3 2" xfId="20528"/>
    <cellStyle name="Output 2 2 6 5 3 2 2" xfId="20529"/>
    <cellStyle name="Output 2 2 6 5 3 3" xfId="20530"/>
    <cellStyle name="Output 2 2 6 5 3 3 2" xfId="20531"/>
    <cellStyle name="Output 2 2 6 5 3 4" xfId="20532"/>
    <cellStyle name="Output 2 2 6 5 4" xfId="20533"/>
    <cellStyle name="Output 2 2 6 5 4 2" xfId="20534"/>
    <cellStyle name="Output 2 2 6 5 4 2 2" xfId="20535"/>
    <cellStyle name="Output 2 2 6 5 4 3" xfId="20536"/>
    <cellStyle name="Output 2 2 6 5 5" xfId="20537"/>
    <cellStyle name="Output 2 2 6 5 5 2" xfId="20538"/>
    <cellStyle name="Output 2 2 6 5 6" xfId="20539"/>
    <cellStyle name="Output 2 2 6 5 6 2" xfId="20540"/>
    <cellStyle name="Output 2 2 6 5 7" xfId="20541"/>
    <cellStyle name="Output 2 2 6 5 7 2" xfId="20542"/>
    <cellStyle name="Output 2 2 6 5 8" xfId="20543"/>
    <cellStyle name="Output 2 2 6 6" xfId="20544"/>
    <cellStyle name="Output 2 2 6 6 2" xfId="20545"/>
    <cellStyle name="Output 2 2 6 6 2 2" xfId="20546"/>
    <cellStyle name="Output 2 2 6 6 2 2 2" xfId="20547"/>
    <cellStyle name="Output 2 2 6 6 2 3" xfId="20548"/>
    <cellStyle name="Output 2 2 6 6 2 3 2" xfId="20549"/>
    <cellStyle name="Output 2 2 6 6 2 4" xfId="20550"/>
    <cellStyle name="Output 2 2 6 6 3" xfId="20551"/>
    <cellStyle name="Output 2 2 6 6 3 2" xfId="20552"/>
    <cellStyle name="Output 2 2 6 6 3 2 2" xfId="20553"/>
    <cellStyle name="Output 2 2 6 6 3 3" xfId="20554"/>
    <cellStyle name="Output 2 2 6 6 3 3 2" xfId="20555"/>
    <cellStyle name="Output 2 2 6 6 3 4" xfId="20556"/>
    <cellStyle name="Output 2 2 6 6 4" xfId="20557"/>
    <cellStyle name="Output 2 2 6 6 4 2" xfId="20558"/>
    <cellStyle name="Output 2 2 6 6 5" xfId="20559"/>
    <cellStyle name="Output 2 2 6 6 5 2" xfId="20560"/>
    <cellStyle name="Output 2 2 6 6 6" xfId="20561"/>
    <cellStyle name="Output 2 2 6 6 6 2" xfId="20562"/>
    <cellStyle name="Output 2 2 6 6 7" xfId="20563"/>
    <cellStyle name="Output 2 2 6 6 7 2" xfId="20564"/>
    <cellStyle name="Output 2 2 6 6 8" xfId="20565"/>
    <cellStyle name="Output 2 2 6 7" xfId="20566"/>
    <cellStyle name="Output 2 2 6 7 2" xfId="20567"/>
    <cellStyle name="Output 2 2 6 7 2 2" xfId="20568"/>
    <cellStyle name="Output 2 2 6 7 3" xfId="20569"/>
    <cellStyle name="Output 2 2 6 8" xfId="20570"/>
    <cellStyle name="Output 2 2 6 8 2" xfId="20571"/>
    <cellStyle name="Output 2 2 6 9" xfId="20572"/>
    <cellStyle name="Output 2 2 6 9 2" xfId="20573"/>
    <cellStyle name="Output 2 2 7" xfId="20574"/>
    <cellStyle name="Output 2 2 7 2" xfId="20575"/>
    <cellStyle name="Output 2 2 7 2 2" xfId="20576"/>
    <cellStyle name="Output 2 2 7 2 2 2" xfId="20577"/>
    <cellStyle name="Output 2 2 7 2 2 2 2" xfId="20578"/>
    <cellStyle name="Output 2 2 7 2 2 2 2 2" xfId="20579"/>
    <cellStyle name="Output 2 2 7 2 2 2 3" xfId="20580"/>
    <cellStyle name="Output 2 2 7 2 2 2 3 2" xfId="20581"/>
    <cellStyle name="Output 2 2 7 2 2 2 4" xfId="20582"/>
    <cellStyle name="Output 2 2 7 2 2 3" xfId="20583"/>
    <cellStyle name="Output 2 2 7 2 2 3 2" xfId="20584"/>
    <cellStyle name="Output 2 2 7 2 2 3 2 2" xfId="20585"/>
    <cellStyle name="Output 2 2 7 2 2 3 3" xfId="20586"/>
    <cellStyle name="Output 2 2 7 2 2 3 3 2" xfId="20587"/>
    <cellStyle name="Output 2 2 7 2 2 3 4" xfId="20588"/>
    <cellStyle name="Output 2 2 7 2 2 4" xfId="20589"/>
    <cellStyle name="Output 2 2 7 2 2 4 2" xfId="20590"/>
    <cellStyle name="Output 2 2 7 2 2 4 2 2" xfId="20591"/>
    <cellStyle name="Output 2 2 7 2 2 4 3" xfId="20592"/>
    <cellStyle name="Output 2 2 7 2 2 5" xfId="20593"/>
    <cellStyle name="Output 2 2 7 2 2 5 2" xfId="20594"/>
    <cellStyle name="Output 2 2 7 2 2 6" xfId="20595"/>
    <cellStyle name="Output 2 2 7 2 2 6 2" xfId="20596"/>
    <cellStyle name="Output 2 2 7 2 2 7" xfId="20597"/>
    <cellStyle name="Output 2 2 7 2 2 7 2" xfId="20598"/>
    <cellStyle name="Output 2 2 7 2 2 8" xfId="20599"/>
    <cellStyle name="Output 2 2 7 2 3" xfId="20600"/>
    <cellStyle name="Output 2 2 7 2 3 2" xfId="20601"/>
    <cellStyle name="Output 2 2 7 2 3 2 2" xfId="20602"/>
    <cellStyle name="Output 2 2 7 2 3 3" xfId="20603"/>
    <cellStyle name="Output 2 2 7 2 4" xfId="20604"/>
    <cellStyle name="Output 2 2 7 2 4 2" xfId="20605"/>
    <cellStyle name="Output 2 2 7 2 5" xfId="20606"/>
    <cellStyle name="Output 2 2 7 2 5 2" xfId="20607"/>
    <cellStyle name="Output 2 2 7 3" xfId="20608"/>
    <cellStyle name="Output 2 2 7 3 2" xfId="20609"/>
    <cellStyle name="Output 2 2 7 3 2 2" xfId="20610"/>
    <cellStyle name="Output 2 2 7 3 2 2 2" xfId="20611"/>
    <cellStyle name="Output 2 2 7 3 2 2 2 2" xfId="20612"/>
    <cellStyle name="Output 2 2 7 3 2 2 3" xfId="20613"/>
    <cellStyle name="Output 2 2 7 3 2 2 3 2" xfId="20614"/>
    <cellStyle name="Output 2 2 7 3 2 2 4" xfId="20615"/>
    <cellStyle name="Output 2 2 7 3 2 3" xfId="20616"/>
    <cellStyle name="Output 2 2 7 3 2 3 2" xfId="20617"/>
    <cellStyle name="Output 2 2 7 3 2 3 2 2" xfId="20618"/>
    <cellStyle name="Output 2 2 7 3 2 3 3" xfId="20619"/>
    <cellStyle name="Output 2 2 7 3 2 3 3 2" xfId="20620"/>
    <cellStyle name="Output 2 2 7 3 2 3 4" xfId="20621"/>
    <cellStyle name="Output 2 2 7 3 2 4" xfId="20622"/>
    <cellStyle name="Output 2 2 7 3 2 4 2" xfId="20623"/>
    <cellStyle name="Output 2 2 7 3 2 4 2 2" xfId="20624"/>
    <cellStyle name="Output 2 2 7 3 2 4 3" xfId="20625"/>
    <cellStyle name="Output 2 2 7 3 2 5" xfId="20626"/>
    <cellStyle name="Output 2 2 7 3 2 5 2" xfId="20627"/>
    <cellStyle name="Output 2 2 7 3 2 6" xfId="20628"/>
    <cellStyle name="Output 2 2 7 3 2 6 2" xfId="20629"/>
    <cellStyle name="Output 2 2 7 3 2 7" xfId="20630"/>
    <cellStyle name="Output 2 2 7 3 2 7 2" xfId="20631"/>
    <cellStyle name="Output 2 2 7 3 2 8" xfId="20632"/>
    <cellStyle name="Output 2 2 7 3 3" xfId="20633"/>
    <cellStyle name="Output 2 2 7 3 3 2" xfId="20634"/>
    <cellStyle name="Output 2 2 7 3 3 2 2" xfId="20635"/>
    <cellStyle name="Output 2 2 7 3 3 3" xfId="20636"/>
    <cellStyle name="Output 2 2 7 3 4" xfId="20637"/>
    <cellStyle name="Output 2 2 7 3 4 2" xfId="20638"/>
    <cellStyle name="Output 2 2 7 3 5" xfId="20639"/>
    <cellStyle name="Output 2 2 7 3 5 2" xfId="20640"/>
    <cellStyle name="Output 2 2 7 4" xfId="20641"/>
    <cellStyle name="Output 2 2 7 4 2" xfId="20642"/>
    <cellStyle name="Output 2 2 7 4 2 2" xfId="20643"/>
    <cellStyle name="Output 2 2 7 4 2 2 2" xfId="20644"/>
    <cellStyle name="Output 2 2 7 4 2 3" xfId="20645"/>
    <cellStyle name="Output 2 2 7 4 2 3 2" xfId="20646"/>
    <cellStyle name="Output 2 2 7 4 2 4" xfId="20647"/>
    <cellStyle name="Output 2 2 7 4 3" xfId="20648"/>
    <cellStyle name="Output 2 2 7 4 3 2" xfId="20649"/>
    <cellStyle name="Output 2 2 7 4 3 2 2" xfId="20650"/>
    <cellStyle name="Output 2 2 7 4 3 3" xfId="20651"/>
    <cellStyle name="Output 2 2 7 4 3 3 2" xfId="20652"/>
    <cellStyle name="Output 2 2 7 4 3 4" xfId="20653"/>
    <cellStyle name="Output 2 2 7 4 4" xfId="20654"/>
    <cellStyle name="Output 2 2 7 4 4 2" xfId="20655"/>
    <cellStyle name="Output 2 2 7 4 4 2 2" xfId="20656"/>
    <cellStyle name="Output 2 2 7 4 4 3" xfId="20657"/>
    <cellStyle name="Output 2 2 7 4 4 3 2" xfId="20658"/>
    <cellStyle name="Output 2 2 7 4 4 4" xfId="20659"/>
    <cellStyle name="Output 2 2 7 4 5" xfId="20660"/>
    <cellStyle name="Output 2 2 7 4 5 2" xfId="20661"/>
    <cellStyle name="Output 2 2 7 4 6" xfId="20662"/>
    <cellStyle name="Output 2 2 7 4 6 2" xfId="20663"/>
    <cellStyle name="Output 2 2 7 4 7" xfId="20664"/>
    <cellStyle name="Output 2 2 7 4 7 2" xfId="20665"/>
    <cellStyle name="Output 2 2 7 4 8" xfId="20666"/>
    <cellStyle name="Output 2 2 7 5" xfId="20667"/>
    <cellStyle name="Output 2 2 7 5 2" xfId="20668"/>
    <cellStyle name="Output 2 2 7 5 2 2" xfId="20669"/>
    <cellStyle name="Output 2 2 7 5 2 2 2" xfId="20670"/>
    <cellStyle name="Output 2 2 7 5 2 3" xfId="20671"/>
    <cellStyle name="Output 2 2 7 5 2 3 2" xfId="20672"/>
    <cellStyle name="Output 2 2 7 5 2 4" xfId="20673"/>
    <cellStyle name="Output 2 2 7 5 3" xfId="20674"/>
    <cellStyle name="Output 2 2 7 5 3 2" xfId="20675"/>
    <cellStyle name="Output 2 2 7 5 3 2 2" xfId="20676"/>
    <cellStyle name="Output 2 2 7 5 3 3" xfId="20677"/>
    <cellStyle name="Output 2 2 7 5 3 3 2" xfId="20678"/>
    <cellStyle name="Output 2 2 7 5 3 4" xfId="20679"/>
    <cellStyle name="Output 2 2 7 5 4" xfId="20680"/>
    <cellStyle name="Output 2 2 7 5 4 2" xfId="20681"/>
    <cellStyle name="Output 2 2 7 5 5" xfId="20682"/>
    <cellStyle name="Output 2 2 7 5 5 2" xfId="20683"/>
    <cellStyle name="Output 2 2 7 5 6" xfId="20684"/>
    <cellStyle name="Output 2 2 7 5 6 2" xfId="20685"/>
    <cellStyle name="Output 2 2 7 5 7" xfId="20686"/>
    <cellStyle name="Output 2 2 7 5 7 2" xfId="20687"/>
    <cellStyle name="Output 2 2 7 5 8" xfId="20688"/>
    <cellStyle name="Output 2 2 7 6" xfId="20689"/>
    <cellStyle name="Output 2 2 7 6 2" xfId="20690"/>
    <cellStyle name="Output 2 2 7 6 2 2" xfId="20691"/>
    <cellStyle name="Output 2 2 7 6 3" xfId="20692"/>
    <cellStyle name="Output 2 2 7 7" xfId="20693"/>
    <cellStyle name="Output 2 2 7 7 2" xfId="20694"/>
    <cellStyle name="Output 2 2 7 8" xfId="20695"/>
    <cellStyle name="Output 2 2 7 8 2" xfId="20696"/>
    <cellStyle name="Output 2 2 8" xfId="20697"/>
    <cellStyle name="Output 2 2 8 2" xfId="20698"/>
    <cellStyle name="Output 2 2 8 2 2" xfId="20699"/>
    <cellStyle name="Output 2 2 8 2 2 2" xfId="20700"/>
    <cellStyle name="Output 2 2 8 2 2 2 2" xfId="20701"/>
    <cellStyle name="Output 2 2 8 2 2 3" xfId="20702"/>
    <cellStyle name="Output 2 2 8 2 2 3 2" xfId="20703"/>
    <cellStyle name="Output 2 2 8 2 2 4" xfId="20704"/>
    <cellStyle name="Output 2 2 8 2 3" xfId="20705"/>
    <cellStyle name="Output 2 2 8 2 3 2" xfId="20706"/>
    <cellStyle name="Output 2 2 8 2 3 2 2" xfId="20707"/>
    <cellStyle name="Output 2 2 8 2 3 3" xfId="20708"/>
    <cellStyle name="Output 2 2 8 2 3 3 2" xfId="20709"/>
    <cellStyle name="Output 2 2 8 2 3 4" xfId="20710"/>
    <cellStyle name="Output 2 2 8 2 4" xfId="20711"/>
    <cellStyle name="Output 2 2 8 2 4 2" xfId="20712"/>
    <cellStyle name="Output 2 2 8 2 4 2 2" xfId="20713"/>
    <cellStyle name="Output 2 2 8 2 4 3" xfId="20714"/>
    <cellStyle name="Output 2 2 8 2 5" xfId="20715"/>
    <cellStyle name="Output 2 2 8 2 5 2" xfId="20716"/>
    <cellStyle name="Output 2 2 8 2 6" xfId="20717"/>
    <cellStyle name="Output 2 2 8 2 6 2" xfId="20718"/>
    <cellStyle name="Output 2 2 8 2 7" xfId="20719"/>
    <cellStyle name="Output 2 2 8 2 7 2" xfId="20720"/>
    <cellStyle name="Output 2 2 8 2 8" xfId="20721"/>
    <cellStyle name="Output 2 2 8 3" xfId="20722"/>
    <cellStyle name="Output 2 2 8 3 2" xfId="20723"/>
    <cellStyle name="Output 2 2 8 3 2 2" xfId="20724"/>
    <cellStyle name="Output 2 2 8 3 3" xfId="20725"/>
    <cellStyle name="Output 2 2 8 4" xfId="20726"/>
    <cellStyle name="Output 2 2 8 4 2" xfId="20727"/>
    <cellStyle name="Output 2 2 8 5" xfId="20728"/>
    <cellStyle name="Output 2 2 8 5 2" xfId="20729"/>
    <cellStyle name="Output 2 2 9" xfId="20730"/>
    <cellStyle name="Output 2 2 9 2" xfId="20731"/>
    <cellStyle name="Output 2 2 9 2 2" xfId="20732"/>
    <cellStyle name="Output 2 2 9 2 2 2" xfId="20733"/>
    <cellStyle name="Output 2 2 9 2 2 2 2" xfId="20734"/>
    <cellStyle name="Output 2 2 9 2 2 3" xfId="20735"/>
    <cellStyle name="Output 2 2 9 2 2 3 2" xfId="20736"/>
    <cellStyle name="Output 2 2 9 2 2 4" xfId="20737"/>
    <cellStyle name="Output 2 2 9 2 3" xfId="20738"/>
    <cellStyle name="Output 2 2 9 2 3 2" xfId="20739"/>
    <cellStyle name="Output 2 2 9 2 3 2 2" xfId="20740"/>
    <cellStyle name="Output 2 2 9 2 3 3" xfId="20741"/>
    <cellStyle name="Output 2 2 9 2 3 3 2" xfId="20742"/>
    <cellStyle name="Output 2 2 9 2 3 4" xfId="20743"/>
    <cellStyle name="Output 2 2 9 2 4" xfId="20744"/>
    <cellStyle name="Output 2 2 9 2 4 2" xfId="20745"/>
    <cellStyle name="Output 2 2 9 2 4 2 2" xfId="20746"/>
    <cellStyle name="Output 2 2 9 2 4 3" xfId="20747"/>
    <cellStyle name="Output 2 2 9 2 5" xfId="20748"/>
    <cellStyle name="Output 2 2 9 2 5 2" xfId="20749"/>
    <cellStyle name="Output 2 2 9 2 6" xfId="20750"/>
    <cellStyle name="Output 2 2 9 2 6 2" xfId="20751"/>
    <cellStyle name="Output 2 2 9 2 7" xfId="20752"/>
    <cellStyle name="Output 2 2 9 2 7 2" xfId="20753"/>
    <cellStyle name="Output 2 2 9 2 8" xfId="20754"/>
    <cellStyle name="Output 2 2 9 3" xfId="20755"/>
    <cellStyle name="Output 2 2 9 3 2" xfId="20756"/>
    <cellStyle name="Output 2 2 9 3 2 2" xfId="20757"/>
    <cellStyle name="Output 2 2 9 3 3" xfId="20758"/>
    <cellStyle name="Output 2 2 9 4" xfId="20759"/>
    <cellStyle name="Output 2 2 9 4 2" xfId="20760"/>
    <cellStyle name="Output 2 2 9 5" xfId="20761"/>
    <cellStyle name="Output 2 2 9 5 2" xfId="20762"/>
    <cellStyle name="Output 2 3" xfId="20763"/>
    <cellStyle name="Output 2 3 2" xfId="20764"/>
    <cellStyle name="Output 2 3 2 2" xfId="20765"/>
    <cellStyle name="Output 2 3 2 2 2" xfId="20766"/>
    <cellStyle name="Output 2 3 2 2 2 2" xfId="20767"/>
    <cellStyle name="Output 2 3 2 2 3" xfId="20768"/>
    <cellStyle name="Output 2 3 2 2 3 2" xfId="20769"/>
    <cellStyle name="Output 2 3 2 2 4" xfId="20770"/>
    <cellStyle name="Output 2 3 2 3" xfId="20771"/>
    <cellStyle name="Output 2 3 2 3 2" xfId="20772"/>
    <cellStyle name="Output 2 3 2 3 2 2" xfId="20773"/>
    <cellStyle name="Output 2 3 2 3 3" xfId="20774"/>
    <cellStyle name="Output 2 3 2 3 3 2" xfId="20775"/>
    <cellStyle name="Output 2 3 2 3 4" xfId="20776"/>
    <cellStyle name="Output 2 3 2 4" xfId="20777"/>
    <cellStyle name="Output 2 3 2 4 2" xfId="20778"/>
    <cellStyle name="Output 2 3 2 4 2 2" xfId="20779"/>
    <cellStyle name="Output 2 3 2 4 3" xfId="20780"/>
    <cellStyle name="Output 2 3 2 5" xfId="20781"/>
    <cellStyle name="Output 2 3 2 5 2" xfId="20782"/>
    <cellStyle name="Output 2 3 2 6" xfId="20783"/>
    <cellStyle name="Output 2 3 2 6 2" xfId="20784"/>
    <cellStyle name="Output 2 3 2 7" xfId="20785"/>
    <cellStyle name="Output 2 3 2 7 2" xfId="20786"/>
    <cellStyle name="Output 2 3 2 8" xfId="20787"/>
    <cellStyle name="Output 2 3 3" xfId="20788"/>
    <cellStyle name="Output 2 3 3 2" xfId="20789"/>
    <cellStyle name="Output 2 3 3 2 2" xfId="20790"/>
    <cellStyle name="Output 2 3 3 3" xfId="20791"/>
    <cellStyle name="Output 2 3 4" xfId="20792"/>
    <cellStyle name="Output 2 3 4 2" xfId="20793"/>
    <cellStyle name="Output 2 3 5" xfId="20794"/>
    <cellStyle name="Output 2 3 5 2" xfId="20795"/>
    <cellStyle name="Output 2 4" xfId="20796"/>
    <cellStyle name="Output 2 4 2" xfId="20797"/>
    <cellStyle name="Output 2 4 2 2" xfId="20798"/>
    <cellStyle name="Output 2 4 2 2 2" xfId="20799"/>
    <cellStyle name="Output 2 4 2 2 2 2" xfId="20800"/>
    <cellStyle name="Output 2 4 2 2 3" xfId="20801"/>
    <cellStyle name="Output 2 4 2 2 3 2" xfId="20802"/>
    <cellStyle name="Output 2 4 2 2 4" xfId="20803"/>
    <cellStyle name="Output 2 4 2 3" xfId="20804"/>
    <cellStyle name="Output 2 4 2 3 2" xfId="20805"/>
    <cellStyle name="Output 2 4 2 3 2 2" xfId="20806"/>
    <cellStyle name="Output 2 4 2 3 3" xfId="20807"/>
    <cellStyle name="Output 2 4 2 3 3 2" xfId="20808"/>
    <cellStyle name="Output 2 4 2 3 4" xfId="20809"/>
    <cellStyle name="Output 2 4 2 4" xfId="20810"/>
    <cellStyle name="Output 2 4 2 4 2" xfId="20811"/>
    <cellStyle name="Output 2 4 2 4 2 2" xfId="20812"/>
    <cellStyle name="Output 2 4 2 4 3" xfId="20813"/>
    <cellStyle name="Output 2 4 2 5" xfId="20814"/>
    <cellStyle name="Output 2 4 2 5 2" xfId="20815"/>
    <cellStyle name="Output 2 4 2 6" xfId="20816"/>
    <cellStyle name="Output 2 4 2 6 2" xfId="20817"/>
    <cellStyle name="Output 2 4 2 7" xfId="20818"/>
    <cellStyle name="Output 2 4 2 7 2" xfId="20819"/>
    <cellStyle name="Output 2 4 2 8" xfId="20820"/>
    <cellStyle name="Output 2 4 3" xfId="20821"/>
    <cellStyle name="Output 2 4 3 2" xfId="20822"/>
    <cellStyle name="Output 2 4 3 2 2" xfId="20823"/>
    <cellStyle name="Output 2 4 3 3" xfId="20824"/>
    <cellStyle name="Output 2 4 4" xfId="20825"/>
    <cellStyle name="Output 2 4 4 2" xfId="20826"/>
    <cellStyle name="Output 2 4 5" xfId="20827"/>
    <cellStyle name="Output 2 4 5 2" xfId="20828"/>
    <cellStyle name="Output 2 5" xfId="20829"/>
    <cellStyle name="Output 2 5 2" xfId="20830"/>
    <cellStyle name="Output 2 5 2 2" xfId="20831"/>
    <cellStyle name="Output 2 5 2 2 2" xfId="20832"/>
    <cellStyle name="Output 2 5 2 3" xfId="20833"/>
    <cellStyle name="Output 2 5 2 3 2" xfId="20834"/>
    <cellStyle name="Output 2 5 2 4" xfId="20835"/>
    <cellStyle name="Output 2 5 3" xfId="20836"/>
    <cellStyle name="Output 2 5 3 2" xfId="20837"/>
    <cellStyle name="Output 2 5 3 2 2" xfId="20838"/>
    <cellStyle name="Output 2 5 3 3" xfId="20839"/>
    <cellStyle name="Output 2 5 3 3 2" xfId="20840"/>
    <cellStyle name="Output 2 5 3 4" xfId="20841"/>
    <cellStyle name="Output 2 5 4" xfId="20842"/>
    <cellStyle name="Output 2 5 4 2" xfId="20843"/>
    <cellStyle name="Output 2 5 4 2 2" xfId="20844"/>
    <cellStyle name="Output 2 5 4 3" xfId="20845"/>
    <cellStyle name="Output 2 5 4 3 2" xfId="20846"/>
    <cellStyle name="Output 2 5 4 4" xfId="20847"/>
    <cellStyle name="Output 2 5 5" xfId="20848"/>
    <cellStyle name="Output 2 5 5 2" xfId="20849"/>
    <cellStyle name="Output 2 5 6" xfId="20850"/>
    <cellStyle name="Output 2 5 6 2" xfId="20851"/>
    <cellStyle name="Output 2 5 7" xfId="20852"/>
    <cellStyle name="Output 2 5 7 2" xfId="20853"/>
    <cellStyle name="Output 2 5 8" xfId="20854"/>
    <cellStyle name="Output 2 6" xfId="20855"/>
    <cellStyle name="Output 2 6 2" xfId="20856"/>
    <cellStyle name="Output 2 6 2 2" xfId="20857"/>
    <cellStyle name="Output 2 6 2 2 2" xfId="20858"/>
    <cellStyle name="Output 2 6 2 3" xfId="20859"/>
    <cellStyle name="Output 2 6 2 3 2" xfId="20860"/>
    <cellStyle name="Output 2 6 2 4" xfId="20861"/>
    <cellStyle name="Output 2 6 3" xfId="20862"/>
    <cellStyle name="Output 2 6 3 2" xfId="20863"/>
    <cellStyle name="Output 2 6 3 2 2" xfId="20864"/>
    <cellStyle name="Output 2 6 3 3" xfId="20865"/>
    <cellStyle name="Output 2 6 3 3 2" xfId="20866"/>
    <cellStyle name="Output 2 6 3 4" xfId="20867"/>
    <cellStyle name="Output 2 6 4" xfId="20868"/>
    <cellStyle name="Output 2 6 4 2" xfId="20869"/>
    <cellStyle name="Output 2 6 5" xfId="20870"/>
    <cellStyle name="Output 2 6 5 2" xfId="20871"/>
    <cellStyle name="Output 2 6 6" xfId="20872"/>
    <cellStyle name="Output 2 6 6 2" xfId="20873"/>
    <cellStyle name="Output 2 6 7" xfId="20874"/>
    <cellStyle name="Output 2 6 7 2" xfId="20875"/>
    <cellStyle name="Output 2 6 8" xfId="20876"/>
    <cellStyle name="Output 2 7" xfId="20877"/>
    <cellStyle name="Output 2 7 2" xfId="20878"/>
    <cellStyle name="Output 2 7 2 2" xfId="20879"/>
    <cellStyle name="Output 2 7 3" xfId="20880"/>
    <cellStyle name="Output 2 8" xfId="20881"/>
    <cellStyle name="Output 2 8 2" xfId="20882"/>
    <cellStyle name="Output 2 9" xfId="20883"/>
    <cellStyle name="Output 2 9 2" xfId="20884"/>
    <cellStyle name="Output 3" xfId="20885"/>
    <cellStyle name="Output 3 2" xfId="20886"/>
    <cellStyle name="Output 4" xfId="20887"/>
    <cellStyle name="Output 4 2" xfId="20888"/>
    <cellStyle name="Output 5" xfId="20889"/>
    <cellStyle name="Percent" xfId="3" builtinId="5"/>
    <cellStyle name="Percent 2" xfId="15"/>
    <cellStyle name="Percent 2 2" xfId="20890"/>
    <cellStyle name="Percent 2 3" xfId="20891"/>
    <cellStyle name="Percent 3" xfId="20892"/>
    <cellStyle name="Percent 3 2" xfId="20893"/>
    <cellStyle name="Percent 3 3" xfId="20894"/>
    <cellStyle name="Percent 3 3 2" xfId="20895"/>
    <cellStyle name="Title 2" xfId="309"/>
    <cellStyle name="Title 3" xfId="20896"/>
    <cellStyle name="Title 4" xfId="20897"/>
    <cellStyle name="Total 2" xfId="310"/>
    <cellStyle name="Total 2 2" xfId="20898"/>
    <cellStyle name="Total 2 2 10" xfId="20899"/>
    <cellStyle name="Total 2 2 10 2" xfId="20900"/>
    <cellStyle name="Total 2 2 10 2 2" xfId="20901"/>
    <cellStyle name="Total 2 2 10 2 2 2" xfId="20902"/>
    <cellStyle name="Total 2 2 10 2 3" xfId="20903"/>
    <cellStyle name="Total 2 2 10 2 3 2" xfId="20904"/>
    <cellStyle name="Total 2 2 10 2 4" xfId="20905"/>
    <cellStyle name="Total 2 2 10 3" xfId="20906"/>
    <cellStyle name="Total 2 2 10 3 2" xfId="20907"/>
    <cellStyle name="Total 2 2 10 3 2 2" xfId="20908"/>
    <cellStyle name="Total 2 2 10 3 3" xfId="20909"/>
    <cellStyle name="Total 2 2 10 3 3 2" xfId="20910"/>
    <cellStyle name="Total 2 2 10 3 4" xfId="20911"/>
    <cellStyle name="Total 2 2 10 4" xfId="20912"/>
    <cellStyle name="Total 2 2 10 4 2" xfId="20913"/>
    <cellStyle name="Total 2 2 10 4 2 2" xfId="20914"/>
    <cellStyle name="Total 2 2 10 4 3" xfId="20915"/>
    <cellStyle name="Total 2 2 10 5" xfId="20916"/>
    <cellStyle name="Total 2 2 10 5 2" xfId="20917"/>
    <cellStyle name="Total 2 2 10 6" xfId="20918"/>
    <cellStyle name="Total 2 2 10 6 2" xfId="20919"/>
    <cellStyle name="Total 2 2 10 7" xfId="20920"/>
    <cellStyle name="Total 2 2 10 7 2" xfId="20921"/>
    <cellStyle name="Total 2 2 10 8" xfId="20922"/>
    <cellStyle name="Total 2 2 11" xfId="20923"/>
    <cellStyle name="Total 2 2 11 2" xfId="20924"/>
    <cellStyle name="Total 2 2 11 2 2" xfId="20925"/>
    <cellStyle name="Total 2 2 11 2 2 2" xfId="20926"/>
    <cellStyle name="Total 2 2 11 2 3" xfId="20927"/>
    <cellStyle name="Total 2 2 11 2 3 2" xfId="20928"/>
    <cellStyle name="Total 2 2 11 2 4" xfId="20929"/>
    <cellStyle name="Total 2 2 11 3" xfId="20930"/>
    <cellStyle name="Total 2 2 11 3 2" xfId="20931"/>
    <cellStyle name="Total 2 2 11 3 2 2" xfId="20932"/>
    <cellStyle name="Total 2 2 11 3 3" xfId="20933"/>
    <cellStyle name="Total 2 2 11 3 3 2" xfId="20934"/>
    <cellStyle name="Total 2 2 11 3 4" xfId="20935"/>
    <cellStyle name="Total 2 2 11 4" xfId="20936"/>
    <cellStyle name="Total 2 2 11 4 2" xfId="20937"/>
    <cellStyle name="Total 2 2 11 5" xfId="20938"/>
    <cellStyle name="Total 2 2 11 5 2" xfId="20939"/>
    <cellStyle name="Total 2 2 11 6" xfId="20940"/>
    <cellStyle name="Total 2 2 11 6 2" xfId="20941"/>
    <cellStyle name="Total 2 2 11 7" xfId="20942"/>
    <cellStyle name="Total 2 2 11 7 2" xfId="20943"/>
    <cellStyle name="Total 2 2 11 8" xfId="20944"/>
    <cellStyle name="Total 2 2 12" xfId="20945"/>
    <cellStyle name="Total 2 2 12 2" xfId="20946"/>
    <cellStyle name="Total 2 2 12 2 2" xfId="20947"/>
    <cellStyle name="Total 2 2 12 3" xfId="20948"/>
    <cellStyle name="Total 2 2 13" xfId="20949"/>
    <cellStyle name="Total 2 2 13 2" xfId="20950"/>
    <cellStyle name="Total 2 2 14" xfId="20951"/>
    <cellStyle name="Total 2 2 14 2" xfId="20952"/>
    <cellStyle name="Total 2 2 2" xfId="20953"/>
    <cellStyle name="Total 2 2 2 2" xfId="20954"/>
    <cellStyle name="Total 2 2 2 2 2" xfId="20955"/>
    <cellStyle name="Total 2 2 2 2 2 2" xfId="20956"/>
    <cellStyle name="Total 2 2 2 2 2 2 2" xfId="20957"/>
    <cellStyle name="Total 2 2 2 2 2 2 2 2" xfId="20958"/>
    <cellStyle name="Total 2 2 2 2 2 2 3" xfId="20959"/>
    <cellStyle name="Total 2 2 2 2 2 2 3 2" xfId="20960"/>
    <cellStyle name="Total 2 2 2 2 2 2 4" xfId="20961"/>
    <cellStyle name="Total 2 2 2 2 2 3" xfId="20962"/>
    <cellStyle name="Total 2 2 2 2 2 3 2" xfId="20963"/>
    <cellStyle name="Total 2 2 2 2 2 3 2 2" xfId="20964"/>
    <cellStyle name="Total 2 2 2 2 2 3 3" xfId="20965"/>
    <cellStyle name="Total 2 2 2 2 2 3 3 2" xfId="20966"/>
    <cellStyle name="Total 2 2 2 2 2 3 4" xfId="20967"/>
    <cellStyle name="Total 2 2 2 2 2 4" xfId="20968"/>
    <cellStyle name="Total 2 2 2 2 2 4 2" xfId="20969"/>
    <cellStyle name="Total 2 2 2 2 2 4 2 2" xfId="20970"/>
    <cellStyle name="Total 2 2 2 2 2 4 3" xfId="20971"/>
    <cellStyle name="Total 2 2 2 2 2 5" xfId="20972"/>
    <cellStyle name="Total 2 2 2 2 2 5 2" xfId="20973"/>
    <cellStyle name="Total 2 2 2 2 2 6" xfId="20974"/>
    <cellStyle name="Total 2 2 2 2 2 6 2" xfId="20975"/>
    <cellStyle name="Total 2 2 2 2 2 7" xfId="20976"/>
    <cellStyle name="Total 2 2 2 2 2 7 2" xfId="20977"/>
    <cellStyle name="Total 2 2 2 2 2 8" xfId="20978"/>
    <cellStyle name="Total 2 2 2 2 3" xfId="20979"/>
    <cellStyle name="Total 2 2 2 2 3 2" xfId="20980"/>
    <cellStyle name="Total 2 2 2 2 3 2 2" xfId="20981"/>
    <cellStyle name="Total 2 2 2 2 3 2 2 2" xfId="20982"/>
    <cellStyle name="Total 2 2 2 2 3 2 3" xfId="20983"/>
    <cellStyle name="Total 2 2 2 2 3 2 3 2" xfId="20984"/>
    <cellStyle name="Total 2 2 2 2 3 2 4" xfId="20985"/>
    <cellStyle name="Total 2 2 2 2 3 3" xfId="20986"/>
    <cellStyle name="Total 2 2 2 2 3 3 2" xfId="20987"/>
    <cellStyle name="Total 2 2 2 2 3 3 2 2" xfId="20988"/>
    <cellStyle name="Total 2 2 2 2 3 3 3" xfId="20989"/>
    <cellStyle name="Total 2 2 2 2 3 3 3 2" xfId="20990"/>
    <cellStyle name="Total 2 2 2 2 3 3 4" xfId="20991"/>
    <cellStyle name="Total 2 2 2 2 3 4" xfId="20992"/>
    <cellStyle name="Total 2 2 2 2 3 4 2" xfId="20993"/>
    <cellStyle name="Total 2 2 2 2 3 5" xfId="20994"/>
    <cellStyle name="Total 2 2 2 2 3 5 2" xfId="20995"/>
    <cellStyle name="Total 2 2 2 2 3 6" xfId="20996"/>
    <cellStyle name="Total 2 2 2 2 3 6 2" xfId="20997"/>
    <cellStyle name="Total 2 2 2 2 3 7" xfId="20998"/>
    <cellStyle name="Total 2 2 2 2 3 7 2" xfId="20999"/>
    <cellStyle name="Total 2 2 2 2 3 8" xfId="21000"/>
    <cellStyle name="Total 2 2 2 2 4" xfId="21001"/>
    <cellStyle name="Total 2 2 2 2 4 2" xfId="21002"/>
    <cellStyle name="Total 2 2 2 2 4 2 2" xfId="21003"/>
    <cellStyle name="Total 2 2 2 2 4 3" xfId="21004"/>
    <cellStyle name="Total 2 2 2 2 5" xfId="21005"/>
    <cellStyle name="Total 2 2 2 2 5 2" xfId="21006"/>
    <cellStyle name="Total 2 2 2 2 6" xfId="21007"/>
    <cellStyle name="Total 2 2 2 2 6 2" xfId="21008"/>
    <cellStyle name="Total 2 2 2 3" xfId="21009"/>
    <cellStyle name="Total 2 2 2 3 2" xfId="21010"/>
    <cellStyle name="Total 2 2 2 3 2 2" xfId="21011"/>
    <cellStyle name="Total 2 2 2 3 2 2 2" xfId="21012"/>
    <cellStyle name="Total 2 2 2 3 2 2 2 2" xfId="21013"/>
    <cellStyle name="Total 2 2 2 3 2 2 3" xfId="21014"/>
    <cellStyle name="Total 2 2 2 3 2 2 3 2" xfId="21015"/>
    <cellStyle name="Total 2 2 2 3 2 2 4" xfId="21016"/>
    <cellStyle name="Total 2 2 2 3 2 3" xfId="21017"/>
    <cellStyle name="Total 2 2 2 3 2 3 2" xfId="21018"/>
    <cellStyle name="Total 2 2 2 3 2 3 2 2" xfId="21019"/>
    <cellStyle name="Total 2 2 2 3 2 3 3" xfId="21020"/>
    <cellStyle name="Total 2 2 2 3 2 3 3 2" xfId="21021"/>
    <cellStyle name="Total 2 2 2 3 2 3 4" xfId="21022"/>
    <cellStyle name="Total 2 2 2 3 2 4" xfId="21023"/>
    <cellStyle name="Total 2 2 2 3 2 4 2" xfId="21024"/>
    <cellStyle name="Total 2 2 2 3 2 4 2 2" xfId="21025"/>
    <cellStyle name="Total 2 2 2 3 2 4 3" xfId="21026"/>
    <cellStyle name="Total 2 2 2 3 2 5" xfId="21027"/>
    <cellStyle name="Total 2 2 2 3 2 5 2" xfId="21028"/>
    <cellStyle name="Total 2 2 2 3 2 6" xfId="21029"/>
    <cellStyle name="Total 2 2 2 3 2 6 2" xfId="21030"/>
    <cellStyle name="Total 2 2 2 3 2 7" xfId="21031"/>
    <cellStyle name="Total 2 2 2 3 2 7 2" xfId="21032"/>
    <cellStyle name="Total 2 2 2 3 2 8" xfId="21033"/>
    <cellStyle name="Total 2 2 2 3 3" xfId="21034"/>
    <cellStyle name="Total 2 2 2 3 3 2" xfId="21035"/>
    <cellStyle name="Total 2 2 2 3 3 2 2" xfId="21036"/>
    <cellStyle name="Total 2 2 2 3 3 2 2 2" xfId="21037"/>
    <cellStyle name="Total 2 2 2 3 3 2 3" xfId="21038"/>
    <cellStyle name="Total 2 2 2 3 3 2 3 2" xfId="21039"/>
    <cellStyle name="Total 2 2 2 3 3 2 4" xfId="21040"/>
    <cellStyle name="Total 2 2 2 3 3 3" xfId="21041"/>
    <cellStyle name="Total 2 2 2 3 3 3 2" xfId="21042"/>
    <cellStyle name="Total 2 2 2 3 3 3 2 2" xfId="21043"/>
    <cellStyle name="Total 2 2 2 3 3 3 3" xfId="21044"/>
    <cellStyle name="Total 2 2 2 3 3 3 3 2" xfId="21045"/>
    <cellStyle name="Total 2 2 2 3 3 3 4" xfId="21046"/>
    <cellStyle name="Total 2 2 2 3 3 4" xfId="21047"/>
    <cellStyle name="Total 2 2 2 3 3 4 2" xfId="21048"/>
    <cellStyle name="Total 2 2 2 3 3 5" xfId="21049"/>
    <cellStyle name="Total 2 2 2 3 3 5 2" xfId="21050"/>
    <cellStyle name="Total 2 2 2 3 3 6" xfId="21051"/>
    <cellStyle name="Total 2 2 2 3 3 6 2" xfId="21052"/>
    <cellStyle name="Total 2 2 2 3 3 7" xfId="21053"/>
    <cellStyle name="Total 2 2 2 3 3 7 2" xfId="21054"/>
    <cellStyle name="Total 2 2 2 3 3 8" xfId="21055"/>
    <cellStyle name="Total 2 2 2 3 4" xfId="21056"/>
    <cellStyle name="Total 2 2 2 3 4 2" xfId="21057"/>
    <cellStyle name="Total 2 2 2 3 4 2 2" xfId="21058"/>
    <cellStyle name="Total 2 2 2 3 4 3" xfId="21059"/>
    <cellStyle name="Total 2 2 2 3 5" xfId="21060"/>
    <cellStyle name="Total 2 2 2 3 5 2" xfId="21061"/>
    <cellStyle name="Total 2 2 2 3 6" xfId="21062"/>
    <cellStyle name="Total 2 2 2 3 6 2" xfId="21063"/>
    <cellStyle name="Total 2 2 2 4" xfId="21064"/>
    <cellStyle name="Total 2 2 2 4 2" xfId="21065"/>
    <cellStyle name="Total 2 2 2 4 2 2" xfId="21066"/>
    <cellStyle name="Total 2 2 2 4 2 2 2" xfId="21067"/>
    <cellStyle name="Total 2 2 2 4 2 3" xfId="21068"/>
    <cellStyle name="Total 2 2 2 4 2 3 2" xfId="21069"/>
    <cellStyle name="Total 2 2 2 4 2 4" xfId="21070"/>
    <cellStyle name="Total 2 2 2 4 3" xfId="21071"/>
    <cellStyle name="Total 2 2 2 4 3 2" xfId="21072"/>
    <cellStyle name="Total 2 2 2 4 3 2 2" xfId="21073"/>
    <cellStyle name="Total 2 2 2 4 3 3" xfId="21074"/>
    <cellStyle name="Total 2 2 2 4 3 3 2" xfId="21075"/>
    <cellStyle name="Total 2 2 2 4 3 4" xfId="21076"/>
    <cellStyle name="Total 2 2 2 4 4" xfId="21077"/>
    <cellStyle name="Total 2 2 2 4 4 2" xfId="21078"/>
    <cellStyle name="Total 2 2 2 4 4 2 2" xfId="21079"/>
    <cellStyle name="Total 2 2 2 4 4 3" xfId="21080"/>
    <cellStyle name="Total 2 2 2 4 5" xfId="21081"/>
    <cellStyle name="Total 2 2 2 4 5 2" xfId="21082"/>
    <cellStyle name="Total 2 2 2 4 6" xfId="21083"/>
    <cellStyle name="Total 2 2 2 4 6 2" xfId="21084"/>
    <cellStyle name="Total 2 2 2 4 7" xfId="21085"/>
    <cellStyle name="Total 2 2 2 4 7 2" xfId="21086"/>
    <cellStyle name="Total 2 2 2 4 8" xfId="21087"/>
    <cellStyle name="Total 2 2 2 5" xfId="21088"/>
    <cellStyle name="Total 2 2 2 5 2" xfId="21089"/>
    <cellStyle name="Total 2 2 2 5 2 2" xfId="21090"/>
    <cellStyle name="Total 2 2 2 5 2 2 2" xfId="21091"/>
    <cellStyle name="Total 2 2 2 5 2 3" xfId="21092"/>
    <cellStyle name="Total 2 2 2 5 2 3 2" xfId="21093"/>
    <cellStyle name="Total 2 2 2 5 2 4" xfId="21094"/>
    <cellStyle name="Total 2 2 2 5 3" xfId="21095"/>
    <cellStyle name="Total 2 2 2 5 3 2" xfId="21096"/>
    <cellStyle name="Total 2 2 2 5 3 2 2" xfId="21097"/>
    <cellStyle name="Total 2 2 2 5 3 3" xfId="21098"/>
    <cellStyle name="Total 2 2 2 5 3 3 2" xfId="21099"/>
    <cellStyle name="Total 2 2 2 5 3 4" xfId="21100"/>
    <cellStyle name="Total 2 2 2 5 4" xfId="21101"/>
    <cellStyle name="Total 2 2 2 5 4 2" xfId="21102"/>
    <cellStyle name="Total 2 2 2 5 4 2 2" xfId="21103"/>
    <cellStyle name="Total 2 2 2 5 4 3" xfId="21104"/>
    <cellStyle name="Total 2 2 2 5 5" xfId="21105"/>
    <cellStyle name="Total 2 2 2 5 5 2" xfId="21106"/>
    <cellStyle name="Total 2 2 2 5 6" xfId="21107"/>
    <cellStyle name="Total 2 2 2 5 6 2" xfId="21108"/>
    <cellStyle name="Total 2 2 2 5 7" xfId="21109"/>
    <cellStyle name="Total 2 2 2 5 7 2" xfId="21110"/>
    <cellStyle name="Total 2 2 2 5 8" xfId="21111"/>
    <cellStyle name="Total 2 2 2 6" xfId="21112"/>
    <cellStyle name="Total 2 2 2 6 2" xfId="21113"/>
    <cellStyle name="Total 2 2 2 6 2 2" xfId="21114"/>
    <cellStyle name="Total 2 2 2 6 2 2 2" xfId="21115"/>
    <cellStyle name="Total 2 2 2 6 2 3" xfId="21116"/>
    <cellStyle name="Total 2 2 2 6 2 3 2" xfId="21117"/>
    <cellStyle name="Total 2 2 2 6 2 4" xfId="21118"/>
    <cellStyle name="Total 2 2 2 6 3" xfId="21119"/>
    <cellStyle name="Total 2 2 2 6 3 2" xfId="21120"/>
    <cellStyle name="Total 2 2 2 6 3 2 2" xfId="21121"/>
    <cellStyle name="Total 2 2 2 6 3 3" xfId="21122"/>
    <cellStyle name="Total 2 2 2 6 3 3 2" xfId="21123"/>
    <cellStyle name="Total 2 2 2 6 3 4" xfId="21124"/>
    <cellStyle name="Total 2 2 2 6 4" xfId="21125"/>
    <cellStyle name="Total 2 2 2 6 4 2" xfId="21126"/>
    <cellStyle name="Total 2 2 2 6 5" xfId="21127"/>
    <cellStyle name="Total 2 2 2 6 5 2" xfId="21128"/>
    <cellStyle name="Total 2 2 2 6 6" xfId="21129"/>
    <cellStyle name="Total 2 2 2 6 6 2" xfId="21130"/>
    <cellStyle name="Total 2 2 2 6 7" xfId="21131"/>
    <cellStyle name="Total 2 2 2 6 7 2" xfId="21132"/>
    <cellStyle name="Total 2 2 2 6 8" xfId="21133"/>
    <cellStyle name="Total 2 2 2 7" xfId="21134"/>
    <cellStyle name="Total 2 2 2 7 2" xfId="21135"/>
    <cellStyle name="Total 2 2 2 7 2 2" xfId="21136"/>
    <cellStyle name="Total 2 2 2 7 3" xfId="21137"/>
    <cellStyle name="Total 2 2 2 8" xfId="21138"/>
    <cellStyle name="Total 2 2 2 8 2" xfId="21139"/>
    <cellStyle name="Total 2 2 2 9" xfId="21140"/>
    <cellStyle name="Total 2 2 2 9 2" xfId="21141"/>
    <cellStyle name="Total 2 2 3" xfId="21142"/>
    <cellStyle name="Total 2 2 3 2" xfId="21143"/>
    <cellStyle name="Total 2 2 3 2 2" xfId="21144"/>
    <cellStyle name="Total 2 2 3 2 2 2" xfId="21145"/>
    <cellStyle name="Total 2 2 3 2 2 2 2" xfId="21146"/>
    <cellStyle name="Total 2 2 3 2 2 2 2 2" xfId="21147"/>
    <cellStyle name="Total 2 2 3 2 2 2 3" xfId="21148"/>
    <cellStyle name="Total 2 2 3 2 2 2 3 2" xfId="21149"/>
    <cellStyle name="Total 2 2 3 2 2 2 4" xfId="21150"/>
    <cellStyle name="Total 2 2 3 2 2 3" xfId="21151"/>
    <cellStyle name="Total 2 2 3 2 2 3 2" xfId="21152"/>
    <cellStyle name="Total 2 2 3 2 2 3 2 2" xfId="21153"/>
    <cellStyle name="Total 2 2 3 2 2 3 3" xfId="21154"/>
    <cellStyle name="Total 2 2 3 2 2 3 3 2" xfId="21155"/>
    <cellStyle name="Total 2 2 3 2 2 3 4" xfId="21156"/>
    <cellStyle name="Total 2 2 3 2 2 4" xfId="21157"/>
    <cellStyle name="Total 2 2 3 2 2 4 2" xfId="21158"/>
    <cellStyle name="Total 2 2 3 2 2 4 2 2" xfId="21159"/>
    <cellStyle name="Total 2 2 3 2 2 4 3" xfId="21160"/>
    <cellStyle name="Total 2 2 3 2 2 5" xfId="21161"/>
    <cellStyle name="Total 2 2 3 2 2 5 2" xfId="21162"/>
    <cellStyle name="Total 2 2 3 2 2 6" xfId="21163"/>
    <cellStyle name="Total 2 2 3 2 2 6 2" xfId="21164"/>
    <cellStyle name="Total 2 2 3 2 2 7" xfId="21165"/>
    <cellStyle name="Total 2 2 3 2 2 7 2" xfId="21166"/>
    <cellStyle name="Total 2 2 3 2 2 8" xfId="21167"/>
    <cellStyle name="Total 2 2 3 2 3" xfId="21168"/>
    <cellStyle name="Total 2 2 3 2 3 2" xfId="21169"/>
    <cellStyle name="Total 2 2 3 2 3 2 2" xfId="21170"/>
    <cellStyle name="Total 2 2 3 2 3 2 2 2" xfId="21171"/>
    <cellStyle name="Total 2 2 3 2 3 2 3" xfId="21172"/>
    <cellStyle name="Total 2 2 3 2 3 2 3 2" xfId="21173"/>
    <cellStyle name="Total 2 2 3 2 3 2 4" xfId="21174"/>
    <cellStyle name="Total 2 2 3 2 3 3" xfId="21175"/>
    <cellStyle name="Total 2 2 3 2 3 3 2" xfId="21176"/>
    <cellStyle name="Total 2 2 3 2 3 3 2 2" xfId="21177"/>
    <cellStyle name="Total 2 2 3 2 3 3 3" xfId="21178"/>
    <cellStyle name="Total 2 2 3 2 3 3 3 2" xfId="21179"/>
    <cellStyle name="Total 2 2 3 2 3 3 4" xfId="21180"/>
    <cellStyle name="Total 2 2 3 2 3 4" xfId="21181"/>
    <cellStyle name="Total 2 2 3 2 3 4 2" xfId="21182"/>
    <cellStyle name="Total 2 2 3 2 3 5" xfId="21183"/>
    <cellStyle name="Total 2 2 3 2 3 5 2" xfId="21184"/>
    <cellStyle name="Total 2 2 3 2 3 6" xfId="21185"/>
    <cellStyle name="Total 2 2 3 2 3 6 2" xfId="21186"/>
    <cellStyle name="Total 2 2 3 2 3 7" xfId="21187"/>
    <cellStyle name="Total 2 2 3 2 3 7 2" xfId="21188"/>
    <cellStyle name="Total 2 2 3 2 3 8" xfId="21189"/>
    <cellStyle name="Total 2 2 3 2 4" xfId="21190"/>
    <cellStyle name="Total 2 2 3 2 4 2" xfId="21191"/>
    <cellStyle name="Total 2 2 3 2 4 2 2" xfId="21192"/>
    <cellStyle name="Total 2 2 3 2 4 3" xfId="21193"/>
    <cellStyle name="Total 2 2 3 2 5" xfId="21194"/>
    <cellStyle name="Total 2 2 3 2 5 2" xfId="21195"/>
    <cellStyle name="Total 2 2 3 2 6" xfId="21196"/>
    <cellStyle name="Total 2 2 3 2 6 2" xfId="21197"/>
    <cellStyle name="Total 2 2 3 3" xfId="21198"/>
    <cellStyle name="Total 2 2 3 3 2" xfId="21199"/>
    <cellStyle name="Total 2 2 3 3 2 2" xfId="21200"/>
    <cellStyle name="Total 2 2 3 3 2 2 2" xfId="21201"/>
    <cellStyle name="Total 2 2 3 3 2 2 2 2" xfId="21202"/>
    <cellStyle name="Total 2 2 3 3 2 2 3" xfId="21203"/>
    <cellStyle name="Total 2 2 3 3 2 2 3 2" xfId="21204"/>
    <cellStyle name="Total 2 2 3 3 2 2 4" xfId="21205"/>
    <cellStyle name="Total 2 2 3 3 2 3" xfId="21206"/>
    <cellStyle name="Total 2 2 3 3 2 3 2" xfId="21207"/>
    <cellStyle name="Total 2 2 3 3 2 3 2 2" xfId="21208"/>
    <cellStyle name="Total 2 2 3 3 2 3 3" xfId="21209"/>
    <cellStyle name="Total 2 2 3 3 2 3 3 2" xfId="21210"/>
    <cellStyle name="Total 2 2 3 3 2 3 4" xfId="21211"/>
    <cellStyle name="Total 2 2 3 3 2 4" xfId="21212"/>
    <cellStyle name="Total 2 2 3 3 2 4 2" xfId="21213"/>
    <cellStyle name="Total 2 2 3 3 2 4 2 2" xfId="21214"/>
    <cellStyle name="Total 2 2 3 3 2 4 3" xfId="21215"/>
    <cellStyle name="Total 2 2 3 3 2 5" xfId="21216"/>
    <cellStyle name="Total 2 2 3 3 2 5 2" xfId="21217"/>
    <cellStyle name="Total 2 2 3 3 2 6" xfId="21218"/>
    <cellStyle name="Total 2 2 3 3 2 6 2" xfId="21219"/>
    <cellStyle name="Total 2 2 3 3 2 7" xfId="21220"/>
    <cellStyle name="Total 2 2 3 3 2 7 2" xfId="21221"/>
    <cellStyle name="Total 2 2 3 3 2 8" xfId="21222"/>
    <cellStyle name="Total 2 2 3 3 3" xfId="21223"/>
    <cellStyle name="Total 2 2 3 3 3 2" xfId="21224"/>
    <cellStyle name="Total 2 2 3 3 3 2 2" xfId="21225"/>
    <cellStyle name="Total 2 2 3 3 3 2 2 2" xfId="21226"/>
    <cellStyle name="Total 2 2 3 3 3 2 3" xfId="21227"/>
    <cellStyle name="Total 2 2 3 3 3 2 3 2" xfId="21228"/>
    <cellStyle name="Total 2 2 3 3 3 2 4" xfId="21229"/>
    <cellStyle name="Total 2 2 3 3 3 3" xfId="21230"/>
    <cellStyle name="Total 2 2 3 3 3 3 2" xfId="21231"/>
    <cellStyle name="Total 2 2 3 3 3 3 2 2" xfId="21232"/>
    <cellStyle name="Total 2 2 3 3 3 3 3" xfId="21233"/>
    <cellStyle name="Total 2 2 3 3 3 3 3 2" xfId="21234"/>
    <cellStyle name="Total 2 2 3 3 3 3 4" xfId="21235"/>
    <cellStyle name="Total 2 2 3 3 3 4" xfId="21236"/>
    <cellStyle name="Total 2 2 3 3 3 4 2" xfId="21237"/>
    <cellStyle name="Total 2 2 3 3 3 5" xfId="21238"/>
    <cellStyle name="Total 2 2 3 3 3 5 2" xfId="21239"/>
    <cellStyle name="Total 2 2 3 3 3 6" xfId="21240"/>
    <cellStyle name="Total 2 2 3 3 3 6 2" xfId="21241"/>
    <cellStyle name="Total 2 2 3 3 3 7" xfId="21242"/>
    <cellStyle name="Total 2 2 3 3 3 7 2" xfId="21243"/>
    <cellStyle name="Total 2 2 3 3 3 8" xfId="21244"/>
    <cellStyle name="Total 2 2 3 3 4" xfId="21245"/>
    <cellStyle name="Total 2 2 3 3 4 2" xfId="21246"/>
    <cellStyle name="Total 2 2 3 3 4 2 2" xfId="21247"/>
    <cellStyle name="Total 2 2 3 3 4 3" xfId="21248"/>
    <cellStyle name="Total 2 2 3 3 5" xfId="21249"/>
    <cellStyle name="Total 2 2 3 3 5 2" xfId="21250"/>
    <cellStyle name="Total 2 2 3 3 6" xfId="21251"/>
    <cellStyle name="Total 2 2 3 3 6 2" xfId="21252"/>
    <cellStyle name="Total 2 2 3 4" xfId="21253"/>
    <cellStyle name="Total 2 2 3 4 2" xfId="21254"/>
    <cellStyle name="Total 2 2 3 4 2 2" xfId="21255"/>
    <cellStyle name="Total 2 2 3 4 2 2 2" xfId="21256"/>
    <cellStyle name="Total 2 2 3 4 2 3" xfId="21257"/>
    <cellStyle name="Total 2 2 3 4 2 3 2" xfId="21258"/>
    <cellStyle name="Total 2 2 3 4 2 4" xfId="21259"/>
    <cellStyle name="Total 2 2 3 4 3" xfId="21260"/>
    <cellStyle name="Total 2 2 3 4 3 2" xfId="21261"/>
    <cellStyle name="Total 2 2 3 4 3 2 2" xfId="21262"/>
    <cellStyle name="Total 2 2 3 4 3 3" xfId="21263"/>
    <cellStyle name="Total 2 2 3 4 3 3 2" xfId="21264"/>
    <cellStyle name="Total 2 2 3 4 3 4" xfId="21265"/>
    <cellStyle name="Total 2 2 3 4 4" xfId="21266"/>
    <cellStyle name="Total 2 2 3 4 4 2" xfId="21267"/>
    <cellStyle name="Total 2 2 3 4 4 2 2" xfId="21268"/>
    <cellStyle name="Total 2 2 3 4 4 3" xfId="21269"/>
    <cellStyle name="Total 2 2 3 4 5" xfId="21270"/>
    <cellStyle name="Total 2 2 3 4 5 2" xfId="21271"/>
    <cellStyle name="Total 2 2 3 4 6" xfId="21272"/>
    <cellStyle name="Total 2 2 3 4 6 2" xfId="21273"/>
    <cellStyle name="Total 2 2 3 4 7" xfId="21274"/>
    <cellStyle name="Total 2 2 3 4 7 2" xfId="21275"/>
    <cellStyle name="Total 2 2 3 4 8" xfId="21276"/>
    <cellStyle name="Total 2 2 3 5" xfId="21277"/>
    <cellStyle name="Total 2 2 3 5 2" xfId="21278"/>
    <cellStyle name="Total 2 2 3 5 2 2" xfId="21279"/>
    <cellStyle name="Total 2 2 3 5 2 2 2" xfId="21280"/>
    <cellStyle name="Total 2 2 3 5 2 3" xfId="21281"/>
    <cellStyle name="Total 2 2 3 5 2 3 2" xfId="21282"/>
    <cellStyle name="Total 2 2 3 5 2 4" xfId="21283"/>
    <cellStyle name="Total 2 2 3 5 3" xfId="21284"/>
    <cellStyle name="Total 2 2 3 5 3 2" xfId="21285"/>
    <cellStyle name="Total 2 2 3 5 3 2 2" xfId="21286"/>
    <cellStyle name="Total 2 2 3 5 3 3" xfId="21287"/>
    <cellStyle name="Total 2 2 3 5 3 3 2" xfId="21288"/>
    <cellStyle name="Total 2 2 3 5 3 4" xfId="21289"/>
    <cellStyle name="Total 2 2 3 5 4" xfId="21290"/>
    <cellStyle name="Total 2 2 3 5 4 2" xfId="21291"/>
    <cellStyle name="Total 2 2 3 5 4 2 2" xfId="21292"/>
    <cellStyle name="Total 2 2 3 5 4 3" xfId="21293"/>
    <cellStyle name="Total 2 2 3 5 5" xfId="21294"/>
    <cellStyle name="Total 2 2 3 5 5 2" xfId="21295"/>
    <cellStyle name="Total 2 2 3 5 6" xfId="21296"/>
    <cellStyle name="Total 2 2 3 5 6 2" xfId="21297"/>
    <cellStyle name="Total 2 2 3 5 7" xfId="21298"/>
    <cellStyle name="Total 2 2 3 5 7 2" xfId="21299"/>
    <cellStyle name="Total 2 2 3 5 8" xfId="21300"/>
    <cellStyle name="Total 2 2 3 6" xfId="21301"/>
    <cellStyle name="Total 2 2 3 6 2" xfId="21302"/>
    <cellStyle name="Total 2 2 3 6 2 2" xfId="21303"/>
    <cellStyle name="Total 2 2 3 6 2 2 2" xfId="21304"/>
    <cellStyle name="Total 2 2 3 6 2 3" xfId="21305"/>
    <cellStyle name="Total 2 2 3 6 2 3 2" xfId="21306"/>
    <cellStyle name="Total 2 2 3 6 2 4" xfId="21307"/>
    <cellStyle name="Total 2 2 3 6 3" xfId="21308"/>
    <cellStyle name="Total 2 2 3 6 3 2" xfId="21309"/>
    <cellStyle name="Total 2 2 3 6 3 2 2" xfId="21310"/>
    <cellStyle name="Total 2 2 3 6 3 3" xfId="21311"/>
    <cellStyle name="Total 2 2 3 6 3 3 2" xfId="21312"/>
    <cellStyle name="Total 2 2 3 6 3 4" xfId="21313"/>
    <cellStyle name="Total 2 2 3 6 4" xfId="21314"/>
    <cellStyle name="Total 2 2 3 6 4 2" xfId="21315"/>
    <cellStyle name="Total 2 2 3 6 5" xfId="21316"/>
    <cellStyle name="Total 2 2 3 6 5 2" xfId="21317"/>
    <cellStyle name="Total 2 2 3 6 6" xfId="21318"/>
    <cellStyle name="Total 2 2 3 6 6 2" xfId="21319"/>
    <cellStyle name="Total 2 2 3 6 7" xfId="21320"/>
    <cellStyle name="Total 2 2 3 6 7 2" xfId="21321"/>
    <cellStyle name="Total 2 2 3 6 8" xfId="21322"/>
    <cellStyle name="Total 2 2 3 7" xfId="21323"/>
    <cellStyle name="Total 2 2 3 7 2" xfId="21324"/>
    <cellStyle name="Total 2 2 3 7 2 2" xfId="21325"/>
    <cellStyle name="Total 2 2 3 7 3" xfId="21326"/>
    <cellStyle name="Total 2 2 3 8" xfId="21327"/>
    <cellStyle name="Total 2 2 3 8 2" xfId="21328"/>
    <cellStyle name="Total 2 2 3 9" xfId="21329"/>
    <cellStyle name="Total 2 2 3 9 2" xfId="21330"/>
    <cellStyle name="Total 2 2 4" xfId="21331"/>
    <cellStyle name="Total 2 2 4 2" xfId="21332"/>
    <cellStyle name="Total 2 2 4 2 2" xfId="21333"/>
    <cellStyle name="Total 2 2 4 2 2 2" xfId="21334"/>
    <cellStyle name="Total 2 2 4 2 2 2 2" xfId="21335"/>
    <cellStyle name="Total 2 2 4 2 2 2 2 2" xfId="21336"/>
    <cellStyle name="Total 2 2 4 2 2 2 3" xfId="21337"/>
    <cellStyle name="Total 2 2 4 2 2 2 3 2" xfId="21338"/>
    <cellStyle name="Total 2 2 4 2 2 2 4" xfId="21339"/>
    <cellStyle name="Total 2 2 4 2 2 3" xfId="21340"/>
    <cellStyle name="Total 2 2 4 2 2 3 2" xfId="21341"/>
    <cellStyle name="Total 2 2 4 2 2 3 2 2" xfId="21342"/>
    <cellStyle name="Total 2 2 4 2 2 3 3" xfId="21343"/>
    <cellStyle name="Total 2 2 4 2 2 3 3 2" xfId="21344"/>
    <cellStyle name="Total 2 2 4 2 2 3 4" xfId="21345"/>
    <cellStyle name="Total 2 2 4 2 2 4" xfId="21346"/>
    <cellStyle name="Total 2 2 4 2 2 4 2" xfId="21347"/>
    <cellStyle name="Total 2 2 4 2 2 4 2 2" xfId="21348"/>
    <cellStyle name="Total 2 2 4 2 2 4 3" xfId="21349"/>
    <cellStyle name="Total 2 2 4 2 2 5" xfId="21350"/>
    <cellStyle name="Total 2 2 4 2 2 5 2" xfId="21351"/>
    <cellStyle name="Total 2 2 4 2 2 6" xfId="21352"/>
    <cellStyle name="Total 2 2 4 2 2 6 2" xfId="21353"/>
    <cellStyle name="Total 2 2 4 2 2 7" xfId="21354"/>
    <cellStyle name="Total 2 2 4 2 2 7 2" xfId="21355"/>
    <cellStyle name="Total 2 2 4 2 2 8" xfId="21356"/>
    <cellStyle name="Total 2 2 4 2 3" xfId="21357"/>
    <cellStyle name="Total 2 2 4 2 3 2" xfId="21358"/>
    <cellStyle name="Total 2 2 4 2 3 2 2" xfId="21359"/>
    <cellStyle name="Total 2 2 4 2 3 2 2 2" xfId="21360"/>
    <cellStyle name="Total 2 2 4 2 3 2 3" xfId="21361"/>
    <cellStyle name="Total 2 2 4 2 3 2 3 2" xfId="21362"/>
    <cellStyle name="Total 2 2 4 2 3 2 4" xfId="21363"/>
    <cellStyle name="Total 2 2 4 2 3 3" xfId="21364"/>
    <cellStyle name="Total 2 2 4 2 3 3 2" xfId="21365"/>
    <cellStyle name="Total 2 2 4 2 3 3 2 2" xfId="21366"/>
    <cellStyle name="Total 2 2 4 2 3 3 3" xfId="21367"/>
    <cellStyle name="Total 2 2 4 2 3 3 3 2" xfId="21368"/>
    <cellStyle name="Total 2 2 4 2 3 3 4" xfId="21369"/>
    <cellStyle name="Total 2 2 4 2 3 4" xfId="21370"/>
    <cellStyle name="Total 2 2 4 2 3 4 2" xfId="21371"/>
    <cellStyle name="Total 2 2 4 2 3 5" xfId="21372"/>
    <cellStyle name="Total 2 2 4 2 3 5 2" xfId="21373"/>
    <cellStyle name="Total 2 2 4 2 3 6" xfId="21374"/>
    <cellStyle name="Total 2 2 4 2 3 6 2" xfId="21375"/>
    <cellStyle name="Total 2 2 4 2 3 7" xfId="21376"/>
    <cellStyle name="Total 2 2 4 2 3 7 2" xfId="21377"/>
    <cellStyle name="Total 2 2 4 2 3 8" xfId="21378"/>
    <cellStyle name="Total 2 2 4 2 4" xfId="21379"/>
    <cellStyle name="Total 2 2 4 2 4 2" xfId="21380"/>
    <cellStyle name="Total 2 2 4 2 4 2 2" xfId="21381"/>
    <cellStyle name="Total 2 2 4 2 4 3" xfId="21382"/>
    <cellStyle name="Total 2 2 4 2 5" xfId="21383"/>
    <cellStyle name="Total 2 2 4 2 5 2" xfId="21384"/>
    <cellStyle name="Total 2 2 4 2 6" xfId="21385"/>
    <cellStyle name="Total 2 2 4 2 6 2" xfId="21386"/>
    <cellStyle name="Total 2 2 4 3" xfId="21387"/>
    <cellStyle name="Total 2 2 4 3 2" xfId="21388"/>
    <cellStyle name="Total 2 2 4 3 2 2" xfId="21389"/>
    <cellStyle name="Total 2 2 4 3 2 2 2" xfId="21390"/>
    <cellStyle name="Total 2 2 4 3 2 2 2 2" xfId="21391"/>
    <cellStyle name="Total 2 2 4 3 2 2 3" xfId="21392"/>
    <cellStyle name="Total 2 2 4 3 2 2 3 2" xfId="21393"/>
    <cellStyle name="Total 2 2 4 3 2 2 4" xfId="21394"/>
    <cellStyle name="Total 2 2 4 3 2 3" xfId="21395"/>
    <cellStyle name="Total 2 2 4 3 2 3 2" xfId="21396"/>
    <cellStyle name="Total 2 2 4 3 2 3 2 2" xfId="21397"/>
    <cellStyle name="Total 2 2 4 3 2 3 3" xfId="21398"/>
    <cellStyle name="Total 2 2 4 3 2 3 3 2" xfId="21399"/>
    <cellStyle name="Total 2 2 4 3 2 3 4" xfId="21400"/>
    <cellStyle name="Total 2 2 4 3 2 4" xfId="21401"/>
    <cellStyle name="Total 2 2 4 3 2 4 2" xfId="21402"/>
    <cellStyle name="Total 2 2 4 3 2 4 2 2" xfId="21403"/>
    <cellStyle name="Total 2 2 4 3 2 4 3" xfId="21404"/>
    <cellStyle name="Total 2 2 4 3 2 5" xfId="21405"/>
    <cellStyle name="Total 2 2 4 3 2 5 2" xfId="21406"/>
    <cellStyle name="Total 2 2 4 3 2 6" xfId="21407"/>
    <cellStyle name="Total 2 2 4 3 2 6 2" xfId="21408"/>
    <cellStyle name="Total 2 2 4 3 2 7" xfId="21409"/>
    <cellStyle name="Total 2 2 4 3 2 7 2" xfId="21410"/>
    <cellStyle name="Total 2 2 4 3 2 8" xfId="21411"/>
    <cellStyle name="Total 2 2 4 3 3" xfId="21412"/>
    <cellStyle name="Total 2 2 4 3 3 2" xfId="21413"/>
    <cellStyle name="Total 2 2 4 3 3 2 2" xfId="21414"/>
    <cellStyle name="Total 2 2 4 3 3 2 2 2" xfId="21415"/>
    <cellStyle name="Total 2 2 4 3 3 2 3" xfId="21416"/>
    <cellStyle name="Total 2 2 4 3 3 2 3 2" xfId="21417"/>
    <cellStyle name="Total 2 2 4 3 3 2 4" xfId="21418"/>
    <cellStyle name="Total 2 2 4 3 3 3" xfId="21419"/>
    <cellStyle name="Total 2 2 4 3 3 3 2" xfId="21420"/>
    <cellStyle name="Total 2 2 4 3 3 3 2 2" xfId="21421"/>
    <cellStyle name="Total 2 2 4 3 3 3 3" xfId="21422"/>
    <cellStyle name="Total 2 2 4 3 3 3 3 2" xfId="21423"/>
    <cellStyle name="Total 2 2 4 3 3 3 4" xfId="21424"/>
    <cellStyle name="Total 2 2 4 3 3 4" xfId="21425"/>
    <cellStyle name="Total 2 2 4 3 3 4 2" xfId="21426"/>
    <cellStyle name="Total 2 2 4 3 3 5" xfId="21427"/>
    <cellStyle name="Total 2 2 4 3 3 5 2" xfId="21428"/>
    <cellStyle name="Total 2 2 4 3 3 6" xfId="21429"/>
    <cellStyle name="Total 2 2 4 3 3 6 2" xfId="21430"/>
    <cellStyle name="Total 2 2 4 3 3 7" xfId="21431"/>
    <cellStyle name="Total 2 2 4 3 3 7 2" xfId="21432"/>
    <cellStyle name="Total 2 2 4 3 3 8" xfId="21433"/>
    <cellStyle name="Total 2 2 4 3 4" xfId="21434"/>
    <cellStyle name="Total 2 2 4 3 4 2" xfId="21435"/>
    <cellStyle name="Total 2 2 4 3 4 2 2" xfId="21436"/>
    <cellStyle name="Total 2 2 4 3 4 3" xfId="21437"/>
    <cellStyle name="Total 2 2 4 3 5" xfId="21438"/>
    <cellStyle name="Total 2 2 4 3 5 2" xfId="21439"/>
    <cellStyle name="Total 2 2 4 3 6" xfId="21440"/>
    <cellStyle name="Total 2 2 4 3 6 2" xfId="21441"/>
    <cellStyle name="Total 2 2 4 4" xfId="21442"/>
    <cellStyle name="Total 2 2 4 4 2" xfId="21443"/>
    <cellStyle name="Total 2 2 4 4 2 2" xfId="21444"/>
    <cellStyle name="Total 2 2 4 4 2 2 2" xfId="21445"/>
    <cellStyle name="Total 2 2 4 4 2 3" xfId="21446"/>
    <cellStyle name="Total 2 2 4 4 2 3 2" xfId="21447"/>
    <cellStyle name="Total 2 2 4 4 2 4" xfId="21448"/>
    <cellStyle name="Total 2 2 4 4 3" xfId="21449"/>
    <cellStyle name="Total 2 2 4 4 3 2" xfId="21450"/>
    <cellStyle name="Total 2 2 4 4 3 2 2" xfId="21451"/>
    <cellStyle name="Total 2 2 4 4 3 3" xfId="21452"/>
    <cellStyle name="Total 2 2 4 4 3 3 2" xfId="21453"/>
    <cellStyle name="Total 2 2 4 4 3 4" xfId="21454"/>
    <cellStyle name="Total 2 2 4 4 4" xfId="21455"/>
    <cellStyle name="Total 2 2 4 4 4 2" xfId="21456"/>
    <cellStyle name="Total 2 2 4 4 4 2 2" xfId="21457"/>
    <cellStyle name="Total 2 2 4 4 4 3" xfId="21458"/>
    <cellStyle name="Total 2 2 4 4 5" xfId="21459"/>
    <cellStyle name="Total 2 2 4 4 5 2" xfId="21460"/>
    <cellStyle name="Total 2 2 4 4 6" xfId="21461"/>
    <cellStyle name="Total 2 2 4 4 6 2" xfId="21462"/>
    <cellStyle name="Total 2 2 4 4 7" xfId="21463"/>
    <cellStyle name="Total 2 2 4 4 7 2" xfId="21464"/>
    <cellStyle name="Total 2 2 4 4 8" xfId="21465"/>
    <cellStyle name="Total 2 2 4 5" xfId="21466"/>
    <cellStyle name="Total 2 2 4 5 2" xfId="21467"/>
    <cellStyle name="Total 2 2 4 5 2 2" xfId="21468"/>
    <cellStyle name="Total 2 2 4 5 2 2 2" xfId="21469"/>
    <cellStyle name="Total 2 2 4 5 2 3" xfId="21470"/>
    <cellStyle name="Total 2 2 4 5 2 3 2" xfId="21471"/>
    <cellStyle name="Total 2 2 4 5 2 4" xfId="21472"/>
    <cellStyle name="Total 2 2 4 5 3" xfId="21473"/>
    <cellStyle name="Total 2 2 4 5 3 2" xfId="21474"/>
    <cellStyle name="Total 2 2 4 5 3 2 2" xfId="21475"/>
    <cellStyle name="Total 2 2 4 5 3 3" xfId="21476"/>
    <cellStyle name="Total 2 2 4 5 3 3 2" xfId="21477"/>
    <cellStyle name="Total 2 2 4 5 3 4" xfId="21478"/>
    <cellStyle name="Total 2 2 4 5 4" xfId="21479"/>
    <cellStyle name="Total 2 2 4 5 4 2" xfId="21480"/>
    <cellStyle name="Total 2 2 4 5 4 2 2" xfId="21481"/>
    <cellStyle name="Total 2 2 4 5 4 3" xfId="21482"/>
    <cellStyle name="Total 2 2 4 5 5" xfId="21483"/>
    <cellStyle name="Total 2 2 4 5 5 2" xfId="21484"/>
    <cellStyle name="Total 2 2 4 5 6" xfId="21485"/>
    <cellStyle name="Total 2 2 4 5 6 2" xfId="21486"/>
    <cellStyle name="Total 2 2 4 5 7" xfId="21487"/>
    <cellStyle name="Total 2 2 4 5 7 2" xfId="21488"/>
    <cellStyle name="Total 2 2 4 5 8" xfId="21489"/>
    <cellStyle name="Total 2 2 4 6" xfId="21490"/>
    <cellStyle name="Total 2 2 4 6 2" xfId="21491"/>
    <cellStyle name="Total 2 2 4 6 2 2" xfId="21492"/>
    <cellStyle name="Total 2 2 4 6 2 2 2" xfId="21493"/>
    <cellStyle name="Total 2 2 4 6 2 3" xfId="21494"/>
    <cellStyle name="Total 2 2 4 6 2 3 2" xfId="21495"/>
    <cellStyle name="Total 2 2 4 6 2 4" xfId="21496"/>
    <cellStyle name="Total 2 2 4 6 3" xfId="21497"/>
    <cellStyle name="Total 2 2 4 6 3 2" xfId="21498"/>
    <cellStyle name="Total 2 2 4 6 3 2 2" xfId="21499"/>
    <cellStyle name="Total 2 2 4 6 3 3" xfId="21500"/>
    <cellStyle name="Total 2 2 4 6 3 3 2" xfId="21501"/>
    <cellStyle name="Total 2 2 4 6 3 4" xfId="21502"/>
    <cellStyle name="Total 2 2 4 6 4" xfId="21503"/>
    <cellStyle name="Total 2 2 4 6 4 2" xfId="21504"/>
    <cellStyle name="Total 2 2 4 6 5" xfId="21505"/>
    <cellStyle name="Total 2 2 4 6 5 2" xfId="21506"/>
    <cellStyle name="Total 2 2 4 6 6" xfId="21507"/>
    <cellStyle name="Total 2 2 4 6 6 2" xfId="21508"/>
    <cellStyle name="Total 2 2 4 6 7" xfId="21509"/>
    <cellStyle name="Total 2 2 4 6 7 2" xfId="21510"/>
    <cellStyle name="Total 2 2 4 6 8" xfId="21511"/>
    <cellStyle name="Total 2 2 4 7" xfId="21512"/>
    <cellStyle name="Total 2 2 4 7 2" xfId="21513"/>
    <cellStyle name="Total 2 2 4 7 2 2" xfId="21514"/>
    <cellStyle name="Total 2 2 4 7 3" xfId="21515"/>
    <cellStyle name="Total 2 2 4 8" xfId="21516"/>
    <cellStyle name="Total 2 2 4 8 2" xfId="21517"/>
    <cellStyle name="Total 2 2 4 9" xfId="21518"/>
    <cellStyle name="Total 2 2 4 9 2" xfId="21519"/>
    <cellStyle name="Total 2 2 5" xfId="21520"/>
    <cellStyle name="Total 2 2 5 2" xfId="21521"/>
    <cellStyle name="Total 2 2 5 2 2" xfId="21522"/>
    <cellStyle name="Total 2 2 5 2 2 2" xfId="21523"/>
    <cellStyle name="Total 2 2 5 2 2 2 2" xfId="21524"/>
    <cellStyle name="Total 2 2 5 2 2 2 2 2" xfId="21525"/>
    <cellStyle name="Total 2 2 5 2 2 2 3" xfId="21526"/>
    <cellStyle name="Total 2 2 5 2 2 2 3 2" xfId="21527"/>
    <cellStyle name="Total 2 2 5 2 2 2 4" xfId="21528"/>
    <cellStyle name="Total 2 2 5 2 2 3" xfId="21529"/>
    <cellStyle name="Total 2 2 5 2 2 3 2" xfId="21530"/>
    <cellStyle name="Total 2 2 5 2 2 3 2 2" xfId="21531"/>
    <cellStyle name="Total 2 2 5 2 2 3 3" xfId="21532"/>
    <cellStyle name="Total 2 2 5 2 2 3 3 2" xfId="21533"/>
    <cellStyle name="Total 2 2 5 2 2 3 4" xfId="21534"/>
    <cellStyle name="Total 2 2 5 2 2 4" xfId="21535"/>
    <cellStyle name="Total 2 2 5 2 2 4 2" xfId="21536"/>
    <cellStyle name="Total 2 2 5 2 2 4 2 2" xfId="21537"/>
    <cellStyle name="Total 2 2 5 2 2 4 3" xfId="21538"/>
    <cellStyle name="Total 2 2 5 2 2 5" xfId="21539"/>
    <cellStyle name="Total 2 2 5 2 2 5 2" xfId="21540"/>
    <cellStyle name="Total 2 2 5 2 2 6" xfId="21541"/>
    <cellStyle name="Total 2 2 5 2 2 6 2" xfId="21542"/>
    <cellStyle name="Total 2 2 5 2 2 7" xfId="21543"/>
    <cellStyle name="Total 2 2 5 2 2 7 2" xfId="21544"/>
    <cellStyle name="Total 2 2 5 2 2 8" xfId="21545"/>
    <cellStyle name="Total 2 2 5 2 3" xfId="21546"/>
    <cellStyle name="Total 2 2 5 2 3 2" xfId="21547"/>
    <cellStyle name="Total 2 2 5 2 3 2 2" xfId="21548"/>
    <cellStyle name="Total 2 2 5 2 3 2 2 2" xfId="21549"/>
    <cellStyle name="Total 2 2 5 2 3 2 3" xfId="21550"/>
    <cellStyle name="Total 2 2 5 2 3 2 3 2" xfId="21551"/>
    <cellStyle name="Total 2 2 5 2 3 2 4" xfId="21552"/>
    <cellStyle name="Total 2 2 5 2 3 3" xfId="21553"/>
    <cellStyle name="Total 2 2 5 2 3 3 2" xfId="21554"/>
    <cellStyle name="Total 2 2 5 2 3 3 2 2" xfId="21555"/>
    <cellStyle name="Total 2 2 5 2 3 3 3" xfId="21556"/>
    <cellStyle name="Total 2 2 5 2 3 3 3 2" xfId="21557"/>
    <cellStyle name="Total 2 2 5 2 3 3 4" xfId="21558"/>
    <cellStyle name="Total 2 2 5 2 3 4" xfId="21559"/>
    <cellStyle name="Total 2 2 5 2 3 4 2" xfId="21560"/>
    <cellStyle name="Total 2 2 5 2 3 5" xfId="21561"/>
    <cellStyle name="Total 2 2 5 2 3 5 2" xfId="21562"/>
    <cellStyle name="Total 2 2 5 2 3 6" xfId="21563"/>
    <cellStyle name="Total 2 2 5 2 3 6 2" xfId="21564"/>
    <cellStyle name="Total 2 2 5 2 3 7" xfId="21565"/>
    <cellStyle name="Total 2 2 5 2 3 7 2" xfId="21566"/>
    <cellStyle name="Total 2 2 5 2 3 8" xfId="21567"/>
    <cellStyle name="Total 2 2 5 2 4" xfId="21568"/>
    <cellStyle name="Total 2 2 5 2 4 2" xfId="21569"/>
    <cellStyle name="Total 2 2 5 2 4 2 2" xfId="21570"/>
    <cellStyle name="Total 2 2 5 2 4 3" xfId="21571"/>
    <cellStyle name="Total 2 2 5 2 5" xfId="21572"/>
    <cellStyle name="Total 2 2 5 2 5 2" xfId="21573"/>
    <cellStyle name="Total 2 2 5 2 6" xfId="21574"/>
    <cellStyle name="Total 2 2 5 2 6 2" xfId="21575"/>
    <cellStyle name="Total 2 2 5 3" xfId="21576"/>
    <cellStyle name="Total 2 2 5 3 2" xfId="21577"/>
    <cellStyle name="Total 2 2 5 3 2 2" xfId="21578"/>
    <cellStyle name="Total 2 2 5 3 2 2 2" xfId="21579"/>
    <cellStyle name="Total 2 2 5 3 2 2 2 2" xfId="21580"/>
    <cellStyle name="Total 2 2 5 3 2 2 3" xfId="21581"/>
    <cellStyle name="Total 2 2 5 3 2 2 3 2" xfId="21582"/>
    <cellStyle name="Total 2 2 5 3 2 2 4" xfId="21583"/>
    <cellStyle name="Total 2 2 5 3 2 3" xfId="21584"/>
    <cellStyle name="Total 2 2 5 3 2 3 2" xfId="21585"/>
    <cellStyle name="Total 2 2 5 3 2 3 2 2" xfId="21586"/>
    <cellStyle name="Total 2 2 5 3 2 3 3" xfId="21587"/>
    <cellStyle name="Total 2 2 5 3 2 3 3 2" xfId="21588"/>
    <cellStyle name="Total 2 2 5 3 2 3 4" xfId="21589"/>
    <cellStyle name="Total 2 2 5 3 2 4" xfId="21590"/>
    <cellStyle name="Total 2 2 5 3 2 4 2" xfId="21591"/>
    <cellStyle name="Total 2 2 5 3 2 4 2 2" xfId="21592"/>
    <cellStyle name="Total 2 2 5 3 2 4 3" xfId="21593"/>
    <cellStyle name="Total 2 2 5 3 2 5" xfId="21594"/>
    <cellStyle name="Total 2 2 5 3 2 5 2" xfId="21595"/>
    <cellStyle name="Total 2 2 5 3 2 6" xfId="21596"/>
    <cellStyle name="Total 2 2 5 3 2 6 2" xfId="21597"/>
    <cellStyle name="Total 2 2 5 3 2 7" xfId="21598"/>
    <cellStyle name="Total 2 2 5 3 2 7 2" xfId="21599"/>
    <cellStyle name="Total 2 2 5 3 2 8" xfId="21600"/>
    <cellStyle name="Total 2 2 5 3 3" xfId="21601"/>
    <cellStyle name="Total 2 2 5 3 3 2" xfId="21602"/>
    <cellStyle name="Total 2 2 5 3 3 2 2" xfId="21603"/>
    <cellStyle name="Total 2 2 5 3 3 2 2 2" xfId="21604"/>
    <cellStyle name="Total 2 2 5 3 3 2 3" xfId="21605"/>
    <cellStyle name="Total 2 2 5 3 3 2 3 2" xfId="21606"/>
    <cellStyle name="Total 2 2 5 3 3 2 4" xfId="21607"/>
    <cellStyle name="Total 2 2 5 3 3 3" xfId="21608"/>
    <cellStyle name="Total 2 2 5 3 3 3 2" xfId="21609"/>
    <cellStyle name="Total 2 2 5 3 3 3 2 2" xfId="21610"/>
    <cellStyle name="Total 2 2 5 3 3 3 3" xfId="21611"/>
    <cellStyle name="Total 2 2 5 3 3 3 3 2" xfId="21612"/>
    <cellStyle name="Total 2 2 5 3 3 3 4" xfId="21613"/>
    <cellStyle name="Total 2 2 5 3 3 4" xfId="21614"/>
    <cellStyle name="Total 2 2 5 3 3 4 2" xfId="21615"/>
    <cellStyle name="Total 2 2 5 3 3 5" xfId="21616"/>
    <cellStyle name="Total 2 2 5 3 3 5 2" xfId="21617"/>
    <cellStyle name="Total 2 2 5 3 3 6" xfId="21618"/>
    <cellStyle name="Total 2 2 5 3 3 6 2" xfId="21619"/>
    <cellStyle name="Total 2 2 5 3 3 7" xfId="21620"/>
    <cellStyle name="Total 2 2 5 3 3 7 2" xfId="21621"/>
    <cellStyle name="Total 2 2 5 3 3 8" xfId="21622"/>
    <cellStyle name="Total 2 2 5 3 4" xfId="21623"/>
    <cellStyle name="Total 2 2 5 3 4 2" xfId="21624"/>
    <cellStyle name="Total 2 2 5 3 4 2 2" xfId="21625"/>
    <cellStyle name="Total 2 2 5 3 4 3" xfId="21626"/>
    <cellStyle name="Total 2 2 5 3 5" xfId="21627"/>
    <cellStyle name="Total 2 2 5 3 5 2" xfId="21628"/>
    <cellStyle name="Total 2 2 5 3 6" xfId="21629"/>
    <cellStyle name="Total 2 2 5 3 6 2" xfId="21630"/>
    <cellStyle name="Total 2 2 5 4" xfId="21631"/>
    <cellStyle name="Total 2 2 5 4 2" xfId="21632"/>
    <cellStyle name="Total 2 2 5 4 2 2" xfId="21633"/>
    <cellStyle name="Total 2 2 5 4 2 2 2" xfId="21634"/>
    <cellStyle name="Total 2 2 5 4 2 3" xfId="21635"/>
    <cellStyle name="Total 2 2 5 4 2 3 2" xfId="21636"/>
    <cellStyle name="Total 2 2 5 4 2 4" xfId="21637"/>
    <cellStyle name="Total 2 2 5 4 3" xfId="21638"/>
    <cellStyle name="Total 2 2 5 4 3 2" xfId="21639"/>
    <cellStyle name="Total 2 2 5 4 3 2 2" xfId="21640"/>
    <cellStyle name="Total 2 2 5 4 3 3" xfId="21641"/>
    <cellStyle name="Total 2 2 5 4 3 3 2" xfId="21642"/>
    <cellStyle name="Total 2 2 5 4 3 4" xfId="21643"/>
    <cellStyle name="Total 2 2 5 4 4" xfId="21644"/>
    <cellStyle name="Total 2 2 5 4 4 2" xfId="21645"/>
    <cellStyle name="Total 2 2 5 4 4 2 2" xfId="21646"/>
    <cellStyle name="Total 2 2 5 4 4 3" xfId="21647"/>
    <cellStyle name="Total 2 2 5 4 5" xfId="21648"/>
    <cellStyle name="Total 2 2 5 4 5 2" xfId="21649"/>
    <cellStyle name="Total 2 2 5 4 6" xfId="21650"/>
    <cellStyle name="Total 2 2 5 4 6 2" xfId="21651"/>
    <cellStyle name="Total 2 2 5 4 7" xfId="21652"/>
    <cellStyle name="Total 2 2 5 4 7 2" xfId="21653"/>
    <cellStyle name="Total 2 2 5 4 8" xfId="21654"/>
    <cellStyle name="Total 2 2 5 5" xfId="21655"/>
    <cellStyle name="Total 2 2 5 5 2" xfId="21656"/>
    <cellStyle name="Total 2 2 5 5 2 2" xfId="21657"/>
    <cellStyle name="Total 2 2 5 5 2 2 2" xfId="21658"/>
    <cellStyle name="Total 2 2 5 5 2 3" xfId="21659"/>
    <cellStyle name="Total 2 2 5 5 2 3 2" xfId="21660"/>
    <cellStyle name="Total 2 2 5 5 2 4" xfId="21661"/>
    <cellStyle name="Total 2 2 5 5 3" xfId="21662"/>
    <cellStyle name="Total 2 2 5 5 3 2" xfId="21663"/>
    <cellStyle name="Total 2 2 5 5 3 2 2" xfId="21664"/>
    <cellStyle name="Total 2 2 5 5 3 3" xfId="21665"/>
    <cellStyle name="Total 2 2 5 5 3 3 2" xfId="21666"/>
    <cellStyle name="Total 2 2 5 5 3 4" xfId="21667"/>
    <cellStyle name="Total 2 2 5 5 4" xfId="21668"/>
    <cellStyle name="Total 2 2 5 5 4 2" xfId="21669"/>
    <cellStyle name="Total 2 2 5 5 4 2 2" xfId="21670"/>
    <cellStyle name="Total 2 2 5 5 4 3" xfId="21671"/>
    <cellStyle name="Total 2 2 5 5 5" xfId="21672"/>
    <cellStyle name="Total 2 2 5 5 5 2" xfId="21673"/>
    <cellStyle name="Total 2 2 5 5 6" xfId="21674"/>
    <cellStyle name="Total 2 2 5 5 6 2" xfId="21675"/>
    <cellStyle name="Total 2 2 5 5 7" xfId="21676"/>
    <cellStyle name="Total 2 2 5 5 7 2" xfId="21677"/>
    <cellStyle name="Total 2 2 5 5 8" xfId="21678"/>
    <cellStyle name="Total 2 2 5 6" xfId="21679"/>
    <cellStyle name="Total 2 2 5 6 2" xfId="21680"/>
    <cellStyle name="Total 2 2 5 6 2 2" xfId="21681"/>
    <cellStyle name="Total 2 2 5 6 2 2 2" xfId="21682"/>
    <cellStyle name="Total 2 2 5 6 2 3" xfId="21683"/>
    <cellStyle name="Total 2 2 5 6 2 3 2" xfId="21684"/>
    <cellStyle name="Total 2 2 5 6 2 4" xfId="21685"/>
    <cellStyle name="Total 2 2 5 6 3" xfId="21686"/>
    <cellStyle name="Total 2 2 5 6 3 2" xfId="21687"/>
    <cellStyle name="Total 2 2 5 6 3 2 2" xfId="21688"/>
    <cellStyle name="Total 2 2 5 6 3 3" xfId="21689"/>
    <cellStyle name="Total 2 2 5 6 3 3 2" xfId="21690"/>
    <cellStyle name="Total 2 2 5 6 3 4" xfId="21691"/>
    <cellStyle name="Total 2 2 5 6 4" xfId="21692"/>
    <cellStyle name="Total 2 2 5 6 4 2" xfId="21693"/>
    <cellStyle name="Total 2 2 5 6 5" xfId="21694"/>
    <cellStyle name="Total 2 2 5 6 5 2" xfId="21695"/>
    <cellStyle name="Total 2 2 5 6 6" xfId="21696"/>
    <cellStyle name="Total 2 2 5 6 6 2" xfId="21697"/>
    <cellStyle name="Total 2 2 5 6 7" xfId="21698"/>
    <cellStyle name="Total 2 2 5 6 7 2" xfId="21699"/>
    <cellStyle name="Total 2 2 5 6 8" xfId="21700"/>
    <cellStyle name="Total 2 2 5 7" xfId="21701"/>
    <cellStyle name="Total 2 2 5 7 2" xfId="21702"/>
    <cellStyle name="Total 2 2 5 7 2 2" xfId="21703"/>
    <cellStyle name="Total 2 2 5 7 3" xfId="21704"/>
    <cellStyle name="Total 2 2 5 8" xfId="21705"/>
    <cellStyle name="Total 2 2 5 8 2" xfId="21706"/>
    <cellStyle name="Total 2 2 5 9" xfId="21707"/>
    <cellStyle name="Total 2 2 5 9 2" xfId="21708"/>
    <cellStyle name="Total 2 2 6" xfId="21709"/>
    <cellStyle name="Total 2 2 6 2" xfId="21710"/>
    <cellStyle name="Total 2 2 6 2 2" xfId="21711"/>
    <cellStyle name="Total 2 2 6 2 2 2" xfId="21712"/>
    <cellStyle name="Total 2 2 6 2 2 2 2" xfId="21713"/>
    <cellStyle name="Total 2 2 6 2 2 2 2 2" xfId="21714"/>
    <cellStyle name="Total 2 2 6 2 2 2 3" xfId="21715"/>
    <cellStyle name="Total 2 2 6 2 2 2 3 2" xfId="21716"/>
    <cellStyle name="Total 2 2 6 2 2 2 4" xfId="21717"/>
    <cellStyle name="Total 2 2 6 2 2 3" xfId="21718"/>
    <cellStyle name="Total 2 2 6 2 2 3 2" xfId="21719"/>
    <cellStyle name="Total 2 2 6 2 2 3 2 2" xfId="21720"/>
    <cellStyle name="Total 2 2 6 2 2 3 3" xfId="21721"/>
    <cellStyle name="Total 2 2 6 2 2 3 3 2" xfId="21722"/>
    <cellStyle name="Total 2 2 6 2 2 3 4" xfId="21723"/>
    <cellStyle name="Total 2 2 6 2 2 4" xfId="21724"/>
    <cellStyle name="Total 2 2 6 2 2 4 2" xfId="21725"/>
    <cellStyle name="Total 2 2 6 2 2 4 2 2" xfId="21726"/>
    <cellStyle name="Total 2 2 6 2 2 4 3" xfId="21727"/>
    <cellStyle name="Total 2 2 6 2 2 5" xfId="21728"/>
    <cellStyle name="Total 2 2 6 2 2 5 2" xfId="21729"/>
    <cellStyle name="Total 2 2 6 2 2 6" xfId="21730"/>
    <cellStyle name="Total 2 2 6 2 2 6 2" xfId="21731"/>
    <cellStyle name="Total 2 2 6 2 2 7" xfId="21732"/>
    <cellStyle name="Total 2 2 6 2 2 7 2" xfId="21733"/>
    <cellStyle name="Total 2 2 6 2 2 8" xfId="21734"/>
    <cellStyle name="Total 2 2 6 2 3" xfId="21735"/>
    <cellStyle name="Total 2 2 6 2 3 2" xfId="21736"/>
    <cellStyle name="Total 2 2 6 2 3 2 2" xfId="21737"/>
    <cellStyle name="Total 2 2 6 2 3 2 2 2" xfId="21738"/>
    <cellStyle name="Total 2 2 6 2 3 2 3" xfId="21739"/>
    <cellStyle name="Total 2 2 6 2 3 2 3 2" xfId="21740"/>
    <cellStyle name="Total 2 2 6 2 3 2 4" xfId="21741"/>
    <cellStyle name="Total 2 2 6 2 3 3" xfId="21742"/>
    <cellStyle name="Total 2 2 6 2 3 3 2" xfId="21743"/>
    <cellStyle name="Total 2 2 6 2 3 3 2 2" xfId="21744"/>
    <cellStyle name="Total 2 2 6 2 3 3 3" xfId="21745"/>
    <cellStyle name="Total 2 2 6 2 3 3 3 2" xfId="21746"/>
    <cellStyle name="Total 2 2 6 2 3 3 4" xfId="21747"/>
    <cellStyle name="Total 2 2 6 2 3 4" xfId="21748"/>
    <cellStyle name="Total 2 2 6 2 3 4 2" xfId="21749"/>
    <cellStyle name="Total 2 2 6 2 3 5" xfId="21750"/>
    <cellStyle name="Total 2 2 6 2 3 5 2" xfId="21751"/>
    <cellStyle name="Total 2 2 6 2 3 6" xfId="21752"/>
    <cellStyle name="Total 2 2 6 2 3 6 2" xfId="21753"/>
    <cellStyle name="Total 2 2 6 2 3 7" xfId="21754"/>
    <cellStyle name="Total 2 2 6 2 3 7 2" xfId="21755"/>
    <cellStyle name="Total 2 2 6 2 3 8" xfId="21756"/>
    <cellStyle name="Total 2 2 6 2 4" xfId="21757"/>
    <cellStyle name="Total 2 2 6 2 4 2" xfId="21758"/>
    <cellStyle name="Total 2 2 6 2 4 2 2" xfId="21759"/>
    <cellStyle name="Total 2 2 6 2 4 3" xfId="21760"/>
    <cellStyle name="Total 2 2 6 2 5" xfId="21761"/>
    <cellStyle name="Total 2 2 6 2 5 2" xfId="21762"/>
    <cellStyle name="Total 2 2 6 2 6" xfId="21763"/>
    <cellStyle name="Total 2 2 6 2 6 2" xfId="21764"/>
    <cellStyle name="Total 2 2 6 3" xfId="21765"/>
    <cellStyle name="Total 2 2 6 3 2" xfId="21766"/>
    <cellStyle name="Total 2 2 6 3 2 2" xfId="21767"/>
    <cellStyle name="Total 2 2 6 3 2 2 2" xfId="21768"/>
    <cellStyle name="Total 2 2 6 3 2 2 2 2" xfId="21769"/>
    <cellStyle name="Total 2 2 6 3 2 2 3" xfId="21770"/>
    <cellStyle name="Total 2 2 6 3 2 2 3 2" xfId="21771"/>
    <cellStyle name="Total 2 2 6 3 2 2 4" xfId="21772"/>
    <cellStyle name="Total 2 2 6 3 2 3" xfId="21773"/>
    <cellStyle name="Total 2 2 6 3 2 3 2" xfId="21774"/>
    <cellStyle name="Total 2 2 6 3 2 3 2 2" xfId="21775"/>
    <cellStyle name="Total 2 2 6 3 2 3 3" xfId="21776"/>
    <cellStyle name="Total 2 2 6 3 2 3 3 2" xfId="21777"/>
    <cellStyle name="Total 2 2 6 3 2 3 4" xfId="21778"/>
    <cellStyle name="Total 2 2 6 3 2 4" xfId="21779"/>
    <cellStyle name="Total 2 2 6 3 2 4 2" xfId="21780"/>
    <cellStyle name="Total 2 2 6 3 2 4 2 2" xfId="21781"/>
    <cellStyle name="Total 2 2 6 3 2 4 3" xfId="21782"/>
    <cellStyle name="Total 2 2 6 3 2 5" xfId="21783"/>
    <cellStyle name="Total 2 2 6 3 2 5 2" xfId="21784"/>
    <cellStyle name="Total 2 2 6 3 2 6" xfId="21785"/>
    <cellStyle name="Total 2 2 6 3 2 6 2" xfId="21786"/>
    <cellStyle name="Total 2 2 6 3 2 7" xfId="21787"/>
    <cellStyle name="Total 2 2 6 3 2 7 2" xfId="21788"/>
    <cellStyle name="Total 2 2 6 3 2 8" xfId="21789"/>
    <cellStyle name="Total 2 2 6 3 3" xfId="21790"/>
    <cellStyle name="Total 2 2 6 3 3 2" xfId="21791"/>
    <cellStyle name="Total 2 2 6 3 3 2 2" xfId="21792"/>
    <cellStyle name="Total 2 2 6 3 3 2 2 2" xfId="21793"/>
    <cellStyle name="Total 2 2 6 3 3 2 3" xfId="21794"/>
    <cellStyle name="Total 2 2 6 3 3 2 3 2" xfId="21795"/>
    <cellStyle name="Total 2 2 6 3 3 2 4" xfId="21796"/>
    <cellStyle name="Total 2 2 6 3 3 3" xfId="21797"/>
    <cellStyle name="Total 2 2 6 3 3 3 2" xfId="21798"/>
    <cellStyle name="Total 2 2 6 3 3 3 2 2" xfId="21799"/>
    <cellStyle name="Total 2 2 6 3 3 3 3" xfId="21800"/>
    <cellStyle name="Total 2 2 6 3 3 3 3 2" xfId="21801"/>
    <cellStyle name="Total 2 2 6 3 3 3 4" xfId="21802"/>
    <cellStyle name="Total 2 2 6 3 3 4" xfId="21803"/>
    <cellStyle name="Total 2 2 6 3 3 4 2" xfId="21804"/>
    <cellStyle name="Total 2 2 6 3 3 5" xfId="21805"/>
    <cellStyle name="Total 2 2 6 3 3 5 2" xfId="21806"/>
    <cellStyle name="Total 2 2 6 3 3 6" xfId="21807"/>
    <cellStyle name="Total 2 2 6 3 3 6 2" xfId="21808"/>
    <cellStyle name="Total 2 2 6 3 3 7" xfId="21809"/>
    <cellStyle name="Total 2 2 6 3 3 7 2" xfId="21810"/>
    <cellStyle name="Total 2 2 6 3 3 8" xfId="21811"/>
    <cellStyle name="Total 2 2 6 3 4" xfId="21812"/>
    <cellStyle name="Total 2 2 6 3 4 2" xfId="21813"/>
    <cellStyle name="Total 2 2 6 3 4 2 2" xfId="21814"/>
    <cellStyle name="Total 2 2 6 3 4 3" xfId="21815"/>
    <cellStyle name="Total 2 2 6 3 5" xfId="21816"/>
    <cellStyle name="Total 2 2 6 3 5 2" xfId="21817"/>
    <cellStyle name="Total 2 2 6 3 6" xfId="21818"/>
    <cellStyle name="Total 2 2 6 3 6 2" xfId="21819"/>
    <cellStyle name="Total 2 2 6 4" xfId="21820"/>
    <cellStyle name="Total 2 2 6 4 2" xfId="21821"/>
    <cellStyle name="Total 2 2 6 4 2 2" xfId="21822"/>
    <cellStyle name="Total 2 2 6 4 2 2 2" xfId="21823"/>
    <cellStyle name="Total 2 2 6 4 2 3" xfId="21824"/>
    <cellStyle name="Total 2 2 6 4 2 3 2" xfId="21825"/>
    <cellStyle name="Total 2 2 6 4 2 4" xfId="21826"/>
    <cellStyle name="Total 2 2 6 4 3" xfId="21827"/>
    <cellStyle name="Total 2 2 6 4 3 2" xfId="21828"/>
    <cellStyle name="Total 2 2 6 4 3 2 2" xfId="21829"/>
    <cellStyle name="Total 2 2 6 4 3 3" xfId="21830"/>
    <cellStyle name="Total 2 2 6 4 3 3 2" xfId="21831"/>
    <cellStyle name="Total 2 2 6 4 3 4" xfId="21832"/>
    <cellStyle name="Total 2 2 6 4 4" xfId="21833"/>
    <cellStyle name="Total 2 2 6 4 4 2" xfId="21834"/>
    <cellStyle name="Total 2 2 6 4 4 2 2" xfId="21835"/>
    <cellStyle name="Total 2 2 6 4 4 3" xfId="21836"/>
    <cellStyle name="Total 2 2 6 4 5" xfId="21837"/>
    <cellStyle name="Total 2 2 6 4 5 2" xfId="21838"/>
    <cellStyle name="Total 2 2 6 4 6" xfId="21839"/>
    <cellStyle name="Total 2 2 6 4 6 2" xfId="21840"/>
    <cellStyle name="Total 2 2 6 4 7" xfId="21841"/>
    <cellStyle name="Total 2 2 6 4 7 2" xfId="21842"/>
    <cellStyle name="Total 2 2 6 4 8" xfId="21843"/>
    <cellStyle name="Total 2 2 6 5" xfId="21844"/>
    <cellStyle name="Total 2 2 6 5 2" xfId="21845"/>
    <cellStyle name="Total 2 2 6 5 2 2" xfId="21846"/>
    <cellStyle name="Total 2 2 6 5 2 2 2" xfId="21847"/>
    <cellStyle name="Total 2 2 6 5 2 3" xfId="21848"/>
    <cellStyle name="Total 2 2 6 5 2 3 2" xfId="21849"/>
    <cellStyle name="Total 2 2 6 5 2 4" xfId="21850"/>
    <cellStyle name="Total 2 2 6 5 3" xfId="21851"/>
    <cellStyle name="Total 2 2 6 5 3 2" xfId="21852"/>
    <cellStyle name="Total 2 2 6 5 3 2 2" xfId="21853"/>
    <cellStyle name="Total 2 2 6 5 3 3" xfId="21854"/>
    <cellStyle name="Total 2 2 6 5 3 3 2" xfId="21855"/>
    <cellStyle name="Total 2 2 6 5 3 4" xfId="21856"/>
    <cellStyle name="Total 2 2 6 5 4" xfId="21857"/>
    <cellStyle name="Total 2 2 6 5 4 2" xfId="21858"/>
    <cellStyle name="Total 2 2 6 5 4 2 2" xfId="21859"/>
    <cellStyle name="Total 2 2 6 5 4 3" xfId="21860"/>
    <cellStyle name="Total 2 2 6 5 5" xfId="21861"/>
    <cellStyle name="Total 2 2 6 5 5 2" xfId="21862"/>
    <cellStyle name="Total 2 2 6 5 6" xfId="21863"/>
    <cellStyle name="Total 2 2 6 5 6 2" xfId="21864"/>
    <cellStyle name="Total 2 2 6 5 7" xfId="21865"/>
    <cellStyle name="Total 2 2 6 5 7 2" xfId="21866"/>
    <cellStyle name="Total 2 2 6 5 8" xfId="21867"/>
    <cellStyle name="Total 2 2 6 6" xfId="21868"/>
    <cellStyle name="Total 2 2 6 6 2" xfId="21869"/>
    <cellStyle name="Total 2 2 6 6 2 2" xfId="21870"/>
    <cellStyle name="Total 2 2 6 6 2 2 2" xfId="21871"/>
    <cellStyle name="Total 2 2 6 6 2 3" xfId="21872"/>
    <cellStyle name="Total 2 2 6 6 2 3 2" xfId="21873"/>
    <cellStyle name="Total 2 2 6 6 2 4" xfId="21874"/>
    <cellStyle name="Total 2 2 6 6 3" xfId="21875"/>
    <cellStyle name="Total 2 2 6 6 3 2" xfId="21876"/>
    <cellStyle name="Total 2 2 6 6 3 2 2" xfId="21877"/>
    <cellStyle name="Total 2 2 6 6 3 3" xfId="21878"/>
    <cellStyle name="Total 2 2 6 6 3 3 2" xfId="21879"/>
    <cellStyle name="Total 2 2 6 6 3 4" xfId="21880"/>
    <cellStyle name="Total 2 2 6 6 4" xfId="21881"/>
    <cellStyle name="Total 2 2 6 6 4 2" xfId="21882"/>
    <cellStyle name="Total 2 2 6 6 5" xfId="21883"/>
    <cellStyle name="Total 2 2 6 6 5 2" xfId="21884"/>
    <cellStyle name="Total 2 2 6 6 6" xfId="21885"/>
    <cellStyle name="Total 2 2 6 6 6 2" xfId="21886"/>
    <cellStyle name="Total 2 2 6 6 7" xfId="21887"/>
    <cellStyle name="Total 2 2 6 6 7 2" xfId="21888"/>
    <cellStyle name="Total 2 2 6 6 8" xfId="21889"/>
    <cellStyle name="Total 2 2 6 7" xfId="21890"/>
    <cellStyle name="Total 2 2 6 7 2" xfId="21891"/>
    <cellStyle name="Total 2 2 6 7 2 2" xfId="21892"/>
    <cellStyle name="Total 2 2 6 7 3" xfId="21893"/>
    <cellStyle name="Total 2 2 6 8" xfId="21894"/>
    <cellStyle name="Total 2 2 6 8 2" xfId="21895"/>
    <cellStyle name="Total 2 2 6 9" xfId="21896"/>
    <cellStyle name="Total 2 2 6 9 2" xfId="21897"/>
    <cellStyle name="Total 2 2 7" xfId="21898"/>
    <cellStyle name="Total 2 2 7 2" xfId="21899"/>
    <cellStyle name="Total 2 2 7 2 2" xfId="21900"/>
    <cellStyle name="Total 2 2 7 2 2 2" xfId="21901"/>
    <cellStyle name="Total 2 2 7 2 2 2 2" xfId="21902"/>
    <cellStyle name="Total 2 2 7 2 2 2 2 2" xfId="21903"/>
    <cellStyle name="Total 2 2 7 2 2 2 3" xfId="21904"/>
    <cellStyle name="Total 2 2 7 2 2 2 3 2" xfId="21905"/>
    <cellStyle name="Total 2 2 7 2 2 2 4" xfId="21906"/>
    <cellStyle name="Total 2 2 7 2 2 3" xfId="21907"/>
    <cellStyle name="Total 2 2 7 2 2 3 2" xfId="21908"/>
    <cellStyle name="Total 2 2 7 2 2 3 2 2" xfId="21909"/>
    <cellStyle name="Total 2 2 7 2 2 3 3" xfId="21910"/>
    <cellStyle name="Total 2 2 7 2 2 3 3 2" xfId="21911"/>
    <cellStyle name="Total 2 2 7 2 2 3 4" xfId="21912"/>
    <cellStyle name="Total 2 2 7 2 2 4" xfId="21913"/>
    <cellStyle name="Total 2 2 7 2 2 4 2" xfId="21914"/>
    <cellStyle name="Total 2 2 7 2 2 4 2 2" xfId="21915"/>
    <cellStyle name="Total 2 2 7 2 2 4 3" xfId="21916"/>
    <cellStyle name="Total 2 2 7 2 2 5" xfId="21917"/>
    <cellStyle name="Total 2 2 7 2 2 5 2" xfId="21918"/>
    <cellStyle name="Total 2 2 7 2 2 6" xfId="21919"/>
    <cellStyle name="Total 2 2 7 2 2 6 2" xfId="21920"/>
    <cellStyle name="Total 2 2 7 2 2 7" xfId="21921"/>
    <cellStyle name="Total 2 2 7 2 2 7 2" xfId="21922"/>
    <cellStyle name="Total 2 2 7 2 2 8" xfId="21923"/>
    <cellStyle name="Total 2 2 7 2 3" xfId="21924"/>
    <cellStyle name="Total 2 2 7 2 3 2" xfId="21925"/>
    <cellStyle name="Total 2 2 7 2 3 2 2" xfId="21926"/>
    <cellStyle name="Total 2 2 7 2 3 2 2 2" xfId="21927"/>
    <cellStyle name="Total 2 2 7 2 3 2 3" xfId="21928"/>
    <cellStyle name="Total 2 2 7 2 3 2 3 2" xfId="21929"/>
    <cellStyle name="Total 2 2 7 2 3 2 4" xfId="21930"/>
    <cellStyle name="Total 2 2 7 2 3 3" xfId="21931"/>
    <cellStyle name="Total 2 2 7 2 3 3 2" xfId="21932"/>
    <cellStyle name="Total 2 2 7 2 3 3 2 2" xfId="21933"/>
    <cellStyle name="Total 2 2 7 2 3 3 3" xfId="21934"/>
    <cellStyle name="Total 2 2 7 2 3 3 3 2" xfId="21935"/>
    <cellStyle name="Total 2 2 7 2 3 3 4" xfId="21936"/>
    <cellStyle name="Total 2 2 7 2 3 4" xfId="21937"/>
    <cellStyle name="Total 2 2 7 2 3 4 2" xfId="21938"/>
    <cellStyle name="Total 2 2 7 2 3 5" xfId="21939"/>
    <cellStyle name="Total 2 2 7 2 3 5 2" xfId="21940"/>
    <cellStyle name="Total 2 2 7 2 3 6" xfId="21941"/>
    <cellStyle name="Total 2 2 7 2 3 6 2" xfId="21942"/>
    <cellStyle name="Total 2 2 7 2 3 7" xfId="21943"/>
    <cellStyle name="Total 2 2 7 2 3 7 2" xfId="21944"/>
    <cellStyle name="Total 2 2 7 2 3 8" xfId="21945"/>
    <cellStyle name="Total 2 2 7 2 4" xfId="21946"/>
    <cellStyle name="Total 2 2 7 2 4 2" xfId="21947"/>
    <cellStyle name="Total 2 2 7 2 4 2 2" xfId="21948"/>
    <cellStyle name="Total 2 2 7 2 4 3" xfId="21949"/>
    <cellStyle name="Total 2 2 7 2 5" xfId="21950"/>
    <cellStyle name="Total 2 2 7 2 5 2" xfId="21951"/>
    <cellStyle name="Total 2 2 7 2 6" xfId="21952"/>
    <cellStyle name="Total 2 2 7 2 6 2" xfId="21953"/>
    <cellStyle name="Total 2 2 7 3" xfId="21954"/>
    <cellStyle name="Total 2 2 7 3 2" xfId="21955"/>
    <cellStyle name="Total 2 2 7 3 2 2" xfId="21956"/>
    <cellStyle name="Total 2 2 7 3 2 2 2" xfId="21957"/>
    <cellStyle name="Total 2 2 7 3 2 2 2 2" xfId="21958"/>
    <cellStyle name="Total 2 2 7 3 2 2 3" xfId="21959"/>
    <cellStyle name="Total 2 2 7 3 2 2 3 2" xfId="21960"/>
    <cellStyle name="Total 2 2 7 3 2 2 4" xfId="21961"/>
    <cellStyle name="Total 2 2 7 3 2 3" xfId="21962"/>
    <cellStyle name="Total 2 2 7 3 2 3 2" xfId="21963"/>
    <cellStyle name="Total 2 2 7 3 2 3 2 2" xfId="21964"/>
    <cellStyle name="Total 2 2 7 3 2 3 3" xfId="21965"/>
    <cellStyle name="Total 2 2 7 3 2 3 3 2" xfId="21966"/>
    <cellStyle name="Total 2 2 7 3 2 3 4" xfId="21967"/>
    <cellStyle name="Total 2 2 7 3 2 4" xfId="21968"/>
    <cellStyle name="Total 2 2 7 3 2 4 2" xfId="21969"/>
    <cellStyle name="Total 2 2 7 3 2 4 2 2" xfId="21970"/>
    <cellStyle name="Total 2 2 7 3 2 4 3" xfId="21971"/>
    <cellStyle name="Total 2 2 7 3 2 5" xfId="21972"/>
    <cellStyle name="Total 2 2 7 3 2 5 2" xfId="21973"/>
    <cellStyle name="Total 2 2 7 3 2 6" xfId="21974"/>
    <cellStyle name="Total 2 2 7 3 2 6 2" xfId="21975"/>
    <cellStyle name="Total 2 2 7 3 2 7" xfId="21976"/>
    <cellStyle name="Total 2 2 7 3 2 7 2" xfId="21977"/>
    <cellStyle name="Total 2 2 7 3 2 8" xfId="21978"/>
    <cellStyle name="Total 2 2 7 3 3" xfId="21979"/>
    <cellStyle name="Total 2 2 7 3 3 2" xfId="21980"/>
    <cellStyle name="Total 2 2 7 3 3 2 2" xfId="21981"/>
    <cellStyle name="Total 2 2 7 3 3 2 2 2" xfId="21982"/>
    <cellStyle name="Total 2 2 7 3 3 2 3" xfId="21983"/>
    <cellStyle name="Total 2 2 7 3 3 2 3 2" xfId="21984"/>
    <cellStyle name="Total 2 2 7 3 3 2 4" xfId="21985"/>
    <cellStyle name="Total 2 2 7 3 3 3" xfId="21986"/>
    <cellStyle name="Total 2 2 7 3 3 3 2" xfId="21987"/>
    <cellStyle name="Total 2 2 7 3 3 3 2 2" xfId="21988"/>
    <cellStyle name="Total 2 2 7 3 3 3 3" xfId="21989"/>
    <cellStyle name="Total 2 2 7 3 3 3 3 2" xfId="21990"/>
    <cellStyle name="Total 2 2 7 3 3 3 4" xfId="21991"/>
    <cellStyle name="Total 2 2 7 3 3 4" xfId="21992"/>
    <cellStyle name="Total 2 2 7 3 3 4 2" xfId="21993"/>
    <cellStyle name="Total 2 2 7 3 3 5" xfId="21994"/>
    <cellStyle name="Total 2 2 7 3 3 5 2" xfId="21995"/>
    <cellStyle name="Total 2 2 7 3 3 6" xfId="21996"/>
    <cellStyle name="Total 2 2 7 3 3 6 2" xfId="21997"/>
    <cellStyle name="Total 2 2 7 3 3 7" xfId="21998"/>
    <cellStyle name="Total 2 2 7 3 3 7 2" xfId="21999"/>
    <cellStyle name="Total 2 2 7 3 3 8" xfId="22000"/>
    <cellStyle name="Total 2 2 7 3 4" xfId="22001"/>
    <cellStyle name="Total 2 2 7 3 4 2" xfId="22002"/>
    <cellStyle name="Total 2 2 7 3 4 2 2" xfId="22003"/>
    <cellStyle name="Total 2 2 7 3 4 3" xfId="22004"/>
    <cellStyle name="Total 2 2 7 3 5" xfId="22005"/>
    <cellStyle name="Total 2 2 7 3 5 2" xfId="22006"/>
    <cellStyle name="Total 2 2 7 3 6" xfId="22007"/>
    <cellStyle name="Total 2 2 7 3 6 2" xfId="22008"/>
    <cellStyle name="Total 2 2 7 4" xfId="22009"/>
    <cellStyle name="Total 2 2 7 4 2" xfId="22010"/>
    <cellStyle name="Total 2 2 7 4 2 2" xfId="22011"/>
    <cellStyle name="Total 2 2 7 4 2 2 2" xfId="22012"/>
    <cellStyle name="Total 2 2 7 4 2 3" xfId="22013"/>
    <cellStyle name="Total 2 2 7 4 2 3 2" xfId="22014"/>
    <cellStyle name="Total 2 2 7 4 2 4" xfId="22015"/>
    <cellStyle name="Total 2 2 7 4 3" xfId="22016"/>
    <cellStyle name="Total 2 2 7 4 3 2" xfId="22017"/>
    <cellStyle name="Total 2 2 7 4 3 2 2" xfId="22018"/>
    <cellStyle name="Total 2 2 7 4 3 3" xfId="22019"/>
    <cellStyle name="Total 2 2 7 4 3 3 2" xfId="22020"/>
    <cellStyle name="Total 2 2 7 4 3 4" xfId="22021"/>
    <cellStyle name="Total 2 2 7 4 4" xfId="22022"/>
    <cellStyle name="Total 2 2 7 4 4 2" xfId="22023"/>
    <cellStyle name="Total 2 2 7 4 4 2 2" xfId="22024"/>
    <cellStyle name="Total 2 2 7 4 4 3" xfId="22025"/>
    <cellStyle name="Total 2 2 7 4 5" xfId="22026"/>
    <cellStyle name="Total 2 2 7 4 5 2" xfId="22027"/>
    <cellStyle name="Total 2 2 7 4 6" xfId="22028"/>
    <cellStyle name="Total 2 2 7 4 6 2" xfId="22029"/>
    <cellStyle name="Total 2 2 7 4 7" xfId="22030"/>
    <cellStyle name="Total 2 2 7 4 7 2" xfId="22031"/>
    <cellStyle name="Total 2 2 7 4 8" xfId="22032"/>
    <cellStyle name="Total 2 2 7 5" xfId="22033"/>
    <cellStyle name="Total 2 2 7 5 2" xfId="22034"/>
    <cellStyle name="Total 2 2 7 5 2 2" xfId="22035"/>
    <cellStyle name="Total 2 2 7 5 2 2 2" xfId="22036"/>
    <cellStyle name="Total 2 2 7 5 2 3" xfId="22037"/>
    <cellStyle name="Total 2 2 7 5 2 3 2" xfId="22038"/>
    <cellStyle name="Total 2 2 7 5 2 4" xfId="22039"/>
    <cellStyle name="Total 2 2 7 5 3" xfId="22040"/>
    <cellStyle name="Total 2 2 7 5 3 2" xfId="22041"/>
    <cellStyle name="Total 2 2 7 5 3 2 2" xfId="22042"/>
    <cellStyle name="Total 2 2 7 5 3 3" xfId="22043"/>
    <cellStyle name="Total 2 2 7 5 3 3 2" xfId="22044"/>
    <cellStyle name="Total 2 2 7 5 3 4" xfId="22045"/>
    <cellStyle name="Total 2 2 7 5 4" xfId="22046"/>
    <cellStyle name="Total 2 2 7 5 4 2" xfId="22047"/>
    <cellStyle name="Total 2 2 7 5 5" xfId="22048"/>
    <cellStyle name="Total 2 2 7 5 5 2" xfId="22049"/>
    <cellStyle name="Total 2 2 7 5 6" xfId="22050"/>
    <cellStyle name="Total 2 2 7 5 6 2" xfId="22051"/>
    <cellStyle name="Total 2 2 7 5 7" xfId="22052"/>
    <cellStyle name="Total 2 2 7 5 7 2" xfId="22053"/>
    <cellStyle name="Total 2 2 7 5 8" xfId="22054"/>
    <cellStyle name="Total 2 2 7 6" xfId="22055"/>
    <cellStyle name="Total 2 2 7 6 2" xfId="22056"/>
    <cellStyle name="Total 2 2 7 6 2 2" xfId="22057"/>
    <cellStyle name="Total 2 2 7 6 3" xfId="22058"/>
    <cellStyle name="Total 2 2 7 7" xfId="22059"/>
    <cellStyle name="Total 2 2 7 7 2" xfId="22060"/>
    <cellStyle name="Total 2 2 7 8" xfId="22061"/>
    <cellStyle name="Total 2 2 7 8 2" xfId="22062"/>
    <cellStyle name="Total 2 2 8" xfId="22063"/>
    <cellStyle name="Total 2 2 8 2" xfId="22064"/>
    <cellStyle name="Total 2 2 8 2 2" xfId="22065"/>
    <cellStyle name="Total 2 2 8 2 2 2" xfId="22066"/>
    <cellStyle name="Total 2 2 8 2 2 2 2" xfId="22067"/>
    <cellStyle name="Total 2 2 8 2 2 3" xfId="22068"/>
    <cellStyle name="Total 2 2 8 2 2 3 2" xfId="22069"/>
    <cellStyle name="Total 2 2 8 2 2 4" xfId="22070"/>
    <cellStyle name="Total 2 2 8 2 3" xfId="22071"/>
    <cellStyle name="Total 2 2 8 2 3 2" xfId="22072"/>
    <cellStyle name="Total 2 2 8 2 3 2 2" xfId="22073"/>
    <cellStyle name="Total 2 2 8 2 3 3" xfId="22074"/>
    <cellStyle name="Total 2 2 8 2 3 3 2" xfId="22075"/>
    <cellStyle name="Total 2 2 8 2 3 4" xfId="22076"/>
    <cellStyle name="Total 2 2 8 2 4" xfId="22077"/>
    <cellStyle name="Total 2 2 8 2 4 2" xfId="22078"/>
    <cellStyle name="Total 2 2 8 2 4 2 2" xfId="22079"/>
    <cellStyle name="Total 2 2 8 2 4 3" xfId="22080"/>
    <cellStyle name="Total 2 2 8 2 5" xfId="22081"/>
    <cellStyle name="Total 2 2 8 2 5 2" xfId="22082"/>
    <cellStyle name="Total 2 2 8 2 6" xfId="22083"/>
    <cellStyle name="Total 2 2 8 2 6 2" xfId="22084"/>
    <cellStyle name="Total 2 2 8 2 7" xfId="22085"/>
    <cellStyle name="Total 2 2 8 2 7 2" xfId="22086"/>
    <cellStyle name="Total 2 2 8 2 8" xfId="22087"/>
    <cellStyle name="Total 2 2 8 3" xfId="22088"/>
    <cellStyle name="Total 2 2 8 3 2" xfId="22089"/>
    <cellStyle name="Total 2 2 8 3 2 2" xfId="22090"/>
    <cellStyle name="Total 2 2 8 3 2 2 2" xfId="22091"/>
    <cellStyle name="Total 2 2 8 3 2 3" xfId="22092"/>
    <cellStyle name="Total 2 2 8 3 2 3 2" xfId="22093"/>
    <cellStyle name="Total 2 2 8 3 2 4" xfId="22094"/>
    <cellStyle name="Total 2 2 8 3 3" xfId="22095"/>
    <cellStyle name="Total 2 2 8 3 3 2" xfId="22096"/>
    <cellStyle name="Total 2 2 8 3 3 2 2" xfId="22097"/>
    <cellStyle name="Total 2 2 8 3 3 3" xfId="22098"/>
    <cellStyle name="Total 2 2 8 3 3 3 2" xfId="22099"/>
    <cellStyle name="Total 2 2 8 3 3 4" xfId="22100"/>
    <cellStyle name="Total 2 2 8 3 4" xfId="22101"/>
    <cellStyle name="Total 2 2 8 3 4 2" xfId="22102"/>
    <cellStyle name="Total 2 2 8 3 5" xfId="22103"/>
    <cellStyle name="Total 2 2 8 3 5 2" xfId="22104"/>
    <cellStyle name="Total 2 2 8 3 6" xfId="22105"/>
    <cellStyle name="Total 2 2 8 3 6 2" xfId="22106"/>
    <cellStyle name="Total 2 2 8 3 7" xfId="22107"/>
    <cellStyle name="Total 2 2 8 3 7 2" xfId="22108"/>
    <cellStyle name="Total 2 2 8 3 8" xfId="22109"/>
    <cellStyle name="Total 2 2 8 4" xfId="22110"/>
    <cellStyle name="Total 2 2 8 4 2" xfId="22111"/>
    <cellStyle name="Total 2 2 8 4 2 2" xfId="22112"/>
    <cellStyle name="Total 2 2 8 4 3" xfId="22113"/>
    <cellStyle name="Total 2 2 8 5" xfId="22114"/>
    <cellStyle name="Total 2 2 8 5 2" xfId="22115"/>
    <cellStyle name="Total 2 2 8 6" xfId="22116"/>
    <cellStyle name="Total 2 2 8 6 2" xfId="22117"/>
    <cellStyle name="Total 2 2 9" xfId="22118"/>
    <cellStyle name="Total 2 2 9 2" xfId="22119"/>
    <cellStyle name="Total 2 2 9 2 2" xfId="22120"/>
    <cellStyle name="Total 2 2 9 2 2 2" xfId="22121"/>
    <cellStyle name="Total 2 2 9 2 2 2 2" xfId="22122"/>
    <cellStyle name="Total 2 2 9 2 2 3" xfId="22123"/>
    <cellStyle name="Total 2 2 9 2 2 3 2" xfId="22124"/>
    <cellStyle name="Total 2 2 9 2 2 4" xfId="22125"/>
    <cellStyle name="Total 2 2 9 2 3" xfId="22126"/>
    <cellStyle name="Total 2 2 9 2 3 2" xfId="22127"/>
    <cellStyle name="Total 2 2 9 2 3 2 2" xfId="22128"/>
    <cellStyle name="Total 2 2 9 2 3 3" xfId="22129"/>
    <cellStyle name="Total 2 2 9 2 3 3 2" xfId="22130"/>
    <cellStyle name="Total 2 2 9 2 3 4" xfId="22131"/>
    <cellStyle name="Total 2 2 9 2 4" xfId="22132"/>
    <cellStyle name="Total 2 2 9 2 4 2" xfId="22133"/>
    <cellStyle name="Total 2 2 9 2 4 2 2" xfId="22134"/>
    <cellStyle name="Total 2 2 9 2 4 3" xfId="22135"/>
    <cellStyle name="Total 2 2 9 2 5" xfId="22136"/>
    <cellStyle name="Total 2 2 9 2 5 2" xfId="22137"/>
    <cellStyle name="Total 2 2 9 2 6" xfId="22138"/>
    <cellStyle name="Total 2 2 9 2 6 2" xfId="22139"/>
    <cellStyle name="Total 2 2 9 2 7" xfId="22140"/>
    <cellStyle name="Total 2 2 9 2 7 2" xfId="22141"/>
    <cellStyle name="Total 2 2 9 2 8" xfId="22142"/>
    <cellStyle name="Total 2 2 9 3" xfId="22143"/>
    <cellStyle name="Total 2 2 9 3 2" xfId="22144"/>
    <cellStyle name="Total 2 2 9 3 2 2" xfId="22145"/>
    <cellStyle name="Total 2 2 9 3 2 2 2" xfId="22146"/>
    <cellStyle name="Total 2 2 9 3 2 3" xfId="22147"/>
    <cellStyle name="Total 2 2 9 3 2 3 2" xfId="22148"/>
    <cellStyle name="Total 2 2 9 3 2 4" xfId="22149"/>
    <cellStyle name="Total 2 2 9 3 3" xfId="22150"/>
    <cellStyle name="Total 2 2 9 3 3 2" xfId="22151"/>
    <cellStyle name="Total 2 2 9 3 3 2 2" xfId="22152"/>
    <cellStyle name="Total 2 2 9 3 3 3" xfId="22153"/>
    <cellStyle name="Total 2 2 9 3 3 3 2" xfId="22154"/>
    <cellStyle name="Total 2 2 9 3 3 4" xfId="22155"/>
    <cellStyle name="Total 2 2 9 3 4" xfId="22156"/>
    <cellStyle name="Total 2 2 9 3 4 2" xfId="22157"/>
    <cellStyle name="Total 2 2 9 3 5" xfId="22158"/>
    <cellStyle name="Total 2 2 9 3 5 2" xfId="22159"/>
    <cellStyle name="Total 2 2 9 3 6" xfId="22160"/>
    <cellStyle name="Total 2 2 9 3 6 2" xfId="22161"/>
    <cellStyle name="Total 2 2 9 3 7" xfId="22162"/>
    <cellStyle name="Total 2 2 9 3 7 2" xfId="22163"/>
    <cellStyle name="Total 2 2 9 3 8" xfId="22164"/>
    <cellStyle name="Total 2 2 9 4" xfId="22165"/>
    <cellStyle name="Total 2 2 9 4 2" xfId="22166"/>
    <cellStyle name="Total 2 2 9 4 2 2" xfId="22167"/>
    <cellStyle name="Total 2 2 9 4 3" xfId="22168"/>
    <cellStyle name="Total 2 2 9 5" xfId="22169"/>
    <cellStyle name="Total 2 2 9 5 2" xfId="22170"/>
    <cellStyle name="Total 2 2 9 6" xfId="22171"/>
    <cellStyle name="Total 2 2 9 6 2" xfId="22172"/>
    <cellStyle name="Total 2 3" xfId="22173"/>
    <cellStyle name="Total 2 3 2" xfId="22174"/>
    <cellStyle name="Total 2 3 2 2" xfId="22175"/>
    <cellStyle name="Total 2 3 2 2 2" xfId="22176"/>
    <cellStyle name="Total 2 3 2 2 2 2" xfId="22177"/>
    <cellStyle name="Total 2 3 2 2 3" xfId="22178"/>
    <cellStyle name="Total 2 3 2 2 3 2" xfId="22179"/>
    <cellStyle name="Total 2 3 2 2 4" xfId="22180"/>
    <cellStyle name="Total 2 3 2 3" xfId="22181"/>
    <cellStyle name="Total 2 3 2 3 2" xfId="22182"/>
    <cellStyle name="Total 2 3 2 3 2 2" xfId="22183"/>
    <cellStyle name="Total 2 3 2 3 3" xfId="22184"/>
    <cellStyle name="Total 2 3 2 3 3 2" xfId="22185"/>
    <cellStyle name="Total 2 3 2 3 4" xfId="22186"/>
    <cellStyle name="Total 2 3 2 4" xfId="22187"/>
    <cellStyle name="Total 2 3 2 4 2" xfId="22188"/>
    <cellStyle name="Total 2 3 2 4 2 2" xfId="22189"/>
    <cellStyle name="Total 2 3 2 4 3" xfId="22190"/>
    <cellStyle name="Total 2 3 2 5" xfId="22191"/>
    <cellStyle name="Total 2 3 2 5 2" xfId="22192"/>
    <cellStyle name="Total 2 3 2 6" xfId="22193"/>
    <cellStyle name="Total 2 3 2 6 2" xfId="22194"/>
    <cellStyle name="Total 2 3 2 7" xfId="22195"/>
    <cellStyle name="Total 2 3 2 7 2" xfId="22196"/>
    <cellStyle name="Total 2 3 2 8" xfId="22197"/>
    <cellStyle name="Total 2 3 3" xfId="22198"/>
    <cellStyle name="Total 2 3 3 2" xfId="22199"/>
    <cellStyle name="Total 2 3 3 2 2" xfId="22200"/>
    <cellStyle name="Total 2 3 3 2 2 2" xfId="22201"/>
    <cellStyle name="Total 2 3 3 2 3" xfId="22202"/>
    <cellStyle name="Total 2 3 3 2 3 2" xfId="22203"/>
    <cellStyle name="Total 2 3 3 2 4" xfId="22204"/>
    <cellStyle name="Total 2 3 3 3" xfId="22205"/>
    <cellStyle name="Total 2 3 3 3 2" xfId="22206"/>
    <cellStyle name="Total 2 3 3 3 2 2" xfId="22207"/>
    <cellStyle name="Total 2 3 3 3 3" xfId="22208"/>
    <cellStyle name="Total 2 3 3 3 3 2" xfId="22209"/>
    <cellStyle name="Total 2 3 3 3 4" xfId="22210"/>
    <cellStyle name="Total 2 3 3 4" xfId="22211"/>
    <cellStyle name="Total 2 3 3 4 2" xfId="22212"/>
    <cellStyle name="Total 2 3 3 5" xfId="22213"/>
    <cellStyle name="Total 2 3 3 5 2" xfId="22214"/>
    <cellStyle name="Total 2 3 3 6" xfId="22215"/>
    <cellStyle name="Total 2 3 3 6 2" xfId="22216"/>
    <cellStyle name="Total 2 3 3 7" xfId="22217"/>
    <cellStyle name="Total 2 3 3 7 2" xfId="22218"/>
    <cellStyle name="Total 2 3 3 8" xfId="22219"/>
    <cellStyle name="Total 2 3 4" xfId="22220"/>
    <cellStyle name="Total 2 3 4 2" xfId="22221"/>
    <cellStyle name="Total 2 3 4 2 2" xfId="22222"/>
    <cellStyle name="Total 2 3 4 3" xfId="22223"/>
    <cellStyle name="Total 2 3 5" xfId="22224"/>
    <cellStyle name="Total 2 3 5 2" xfId="22225"/>
    <cellStyle name="Total 2 3 6" xfId="22226"/>
    <cellStyle name="Total 2 3 6 2" xfId="22227"/>
    <cellStyle name="Total 2 4" xfId="22228"/>
    <cellStyle name="Total 2 4 2" xfId="22229"/>
    <cellStyle name="Total 2 4 2 2" xfId="22230"/>
    <cellStyle name="Total 2 4 2 2 2" xfId="22231"/>
    <cellStyle name="Total 2 4 2 2 2 2" xfId="22232"/>
    <cellStyle name="Total 2 4 2 2 3" xfId="22233"/>
    <cellStyle name="Total 2 4 2 2 3 2" xfId="22234"/>
    <cellStyle name="Total 2 4 2 2 4" xfId="22235"/>
    <cellStyle name="Total 2 4 2 3" xfId="22236"/>
    <cellStyle name="Total 2 4 2 3 2" xfId="22237"/>
    <cellStyle name="Total 2 4 2 3 2 2" xfId="22238"/>
    <cellStyle name="Total 2 4 2 3 3" xfId="22239"/>
    <cellStyle name="Total 2 4 2 3 3 2" xfId="22240"/>
    <cellStyle name="Total 2 4 2 3 4" xfId="22241"/>
    <cellStyle name="Total 2 4 2 4" xfId="22242"/>
    <cellStyle name="Total 2 4 2 4 2" xfId="22243"/>
    <cellStyle name="Total 2 4 2 4 2 2" xfId="22244"/>
    <cellStyle name="Total 2 4 2 4 3" xfId="22245"/>
    <cellStyle name="Total 2 4 2 5" xfId="22246"/>
    <cellStyle name="Total 2 4 2 5 2" xfId="22247"/>
    <cellStyle name="Total 2 4 2 6" xfId="22248"/>
    <cellStyle name="Total 2 4 2 6 2" xfId="22249"/>
    <cellStyle name="Total 2 4 2 7" xfId="22250"/>
    <cellStyle name="Total 2 4 2 7 2" xfId="22251"/>
    <cellStyle name="Total 2 4 2 8" xfId="22252"/>
    <cellStyle name="Total 2 4 3" xfId="22253"/>
    <cellStyle name="Total 2 4 3 2" xfId="22254"/>
    <cellStyle name="Total 2 4 3 2 2" xfId="22255"/>
    <cellStyle name="Total 2 4 3 2 2 2" xfId="22256"/>
    <cellStyle name="Total 2 4 3 2 3" xfId="22257"/>
    <cellStyle name="Total 2 4 3 2 3 2" xfId="22258"/>
    <cellStyle name="Total 2 4 3 2 4" xfId="22259"/>
    <cellStyle name="Total 2 4 3 3" xfId="22260"/>
    <cellStyle name="Total 2 4 3 3 2" xfId="22261"/>
    <cellStyle name="Total 2 4 3 3 2 2" xfId="22262"/>
    <cellStyle name="Total 2 4 3 3 3" xfId="22263"/>
    <cellStyle name="Total 2 4 3 3 3 2" xfId="22264"/>
    <cellStyle name="Total 2 4 3 3 4" xfId="22265"/>
    <cellStyle name="Total 2 4 3 4" xfId="22266"/>
    <cellStyle name="Total 2 4 3 4 2" xfId="22267"/>
    <cellStyle name="Total 2 4 3 5" xfId="22268"/>
    <cellStyle name="Total 2 4 3 5 2" xfId="22269"/>
    <cellStyle name="Total 2 4 3 6" xfId="22270"/>
    <cellStyle name="Total 2 4 3 6 2" xfId="22271"/>
    <cellStyle name="Total 2 4 3 7" xfId="22272"/>
    <cellStyle name="Total 2 4 3 7 2" xfId="22273"/>
    <cellStyle name="Total 2 4 3 8" xfId="22274"/>
    <cellStyle name="Total 2 4 4" xfId="22275"/>
    <cellStyle name="Total 2 4 4 2" xfId="22276"/>
    <cellStyle name="Total 2 4 4 2 2" xfId="22277"/>
    <cellStyle name="Total 2 4 4 3" xfId="22278"/>
    <cellStyle name="Total 2 4 5" xfId="22279"/>
    <cellStyle name="Total 2 4 5 2" xfId="22280"/>
    <cellStyle name="Total 2 4 6" xfId="22281"/>
    <cellStyle name="Total 2 4 6 2" xfId="22282"/>
    <cellStyle name="Total 2 5" xfId="22283"/>
    <cellStyle name="Total 2 5 2" xfId="22284"/>
    <cellStyle name="Total 2 5 2 2" xfId="22285"/>
    <cellStyle name="Total 2 5 2 2 2" xfId="22286"/>
    <cellStyle name="Total 2 5 2 3" xfId="22287"/>
    <cellStyle name="Total 2 5 2 3 2" xfId="22288"/>
    <cellStyle name="Total 2 5 2 4" xfId="22289"/>
    <cellStyle name="Total 2 5 3" xfId="22290"/>
    <cellStyle name="Total 2 5 3 2" xfId="22291"/>
    <cellStyle name="Total 2 5 3 2 2" xfId="22292"/>
    <cellStyle name="Total 2 5 3 3" xfId="22293"/>
    <cellStyle name="Total 2 5 3 3 2" xfId="22294"/>
    <cellStyle name="Total 2 5 3 4" xfId="22295"/>
    <cellStyle name="Total 2 5 4" xfId="22296"/>
    <cellStyle name="Total 2 5 4 2" xfId="22297"/>
    <cellStyle name="Total 2 5 4 2 2" xfId="22298"/>
    <cellStyle name="Total 2 5 4 3" xfId="22299"/>
    <cellStyle name="Total 2 5 5" xfId="22300"/>
    <cellStyle name="Total 2 5 5 2" xfId="22301"/>
    <cellStyle name="Total 2 5 6" xfId="22302"/>
    <cellStyle name="Total 2 5 6 2" xfId="22303"/>
    <cellStyle name="Total 2 5 7" xfId="22304"/>
    <cellStyle name="Total 2 5 7 2" xfId="22305"/>
    <cellStyle name="Total 2 5 8" xfId="22306"/>
    <cellStyle name="Total 2 6" xfId="22307"/>
    <cellStyle name="Total 2 6 2" xfId="22308"/>
    <cellStyle name="Total 2 6 2 2" xfId="22309"/>
    <cellStyle name="Total 2 6 2 2 2" xfId="22310"/>
    <cellStyle name="Total 2 6 2 3" xfId="22311"/>
    <cellStyle name="Total 2 6 2 3 2" xfId="22312"/>
    <cellStyle name="Total 2 6 2 4" xfId="22313"/>
    <cellStyle name="Total 2 6 3" xfId="22314"/>
    <cellStyle name="Total 2 6 3 2" xfId="22315"/>
    <cellStyle name="Total 2 6 3 2 2" xfId="22316"/>
    <cellStyle name="Total 2 6 3 3" xfId="22317"/>
    <cellStyle name="Total 2 6 3 3 2" xfId="22318"/>
    <cellStyle name="Total 2 6 3 4" xfId="22319"/>
    <cellStyle name="Total 2 6 4" xfId="22320"/>
    <cellStyle name="Total 2 6 4 2" xfId="22321"/>
    <cellStyle name="Total 2 6 5" xfId="22322"/>
    <cellStyle name="Total 2 6 5 2" xfId="22323"/>
    <cellStyle name="Total 2 6 6" xfId="22324"/>
    <cellStyle name="Total 2 6 6 2" xfId="22325"/>
    <cellStyle name="Total 2 6 7" xfId="22326"/>
    <cellStyle name="Total 2 6 7 2" xfId="22327"/>
    <cellStyle name="Total 2 6 8" xfId="22328"/>
    <cellStyle name="Total 2 7" xfId="22329"/>
    <cellStyle name="Total 2 7 2" xfId="22330"/>
    <cellStyle name="Total 2 7 2 2" xfId="22331"/>
    <cellStyle name="Total 2 7 3" xfId="22332"/>
    <cellStyle name="Total 2 8" xfId="22333"/>
    <cellStyle name="Total 2 8 2" xfId="22334"/>
    <cellStyle name="Total 2 9" xfId="22335"/>
    <cellStyle name="Total 2 9 2" xfId="22336"/>
    <cellStyle name="Total 3" xfId="22337"/>
    <cellStyle name="Total 3 2" xfId="22338"/>
    <cellStyle name="Total 4" xfId="22339"/>
    <cellStyle name="Total 4 2" xfId="22340"/>
    <cellStyle name="Total 5" xfId="22341"/>
    <cellStyle name="Warning Text 2" xfId="311"/>
    <cellStyle name="Warning Text 3" xfId="22342"/>
    <cellStyle name="Warning Text 4" xfId="22343"/>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theme="8" tint="0.79998168889431442"/>
        </patternFill>
      </fill>
    </dxf>
    <dxf>
      <fill>
        <patternFill patternType="solid">
          <bgColor theme="8" tint="0.59999389629810485"/>
        </patternFill>
      </fill>
    </dxf>
    <dxf>
      <fill>
        <patternFill patternType="solid">
          <bgColor theme="8" tint="0.39997558519241921"/>
        </patternFill>
      </fill>
    </dxf>
    <dxf>
      <numFmt numFmtId="166" formatCode="_(&quot;$&quot;* #,##0_);_(&quot;$&quot;* \(#,##0\);_(&quot;$&quot;* &quot;-&quot;??_);_(@_)"/>
    </dxf>
    <dxf>
      <numFmt numFmtId="166" formatCode="_(&quot;$&quot;* #,##0_);_(&quot;$&quot;* \(#,##0\);_(&quot;$&quot;* &quot;-&quot;??_);_(@_)"/>
    </dxf>
  </dxfs>
  <tableStyles count="0" defaultTableStyle="TableStyleMedium2" defaultPivotStyle="PivotStyleLight16"/>
  <colors>
    <mruColors>
      <color rgb="FFFF7C80"/>
      <color rgb="FF99FFCC"/>
      <color rgb="FFFFFFCC"/>
      <color rgb="FFFF99FF"/>
      <color rgb="FFA5F49A"/>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externalLink" Target="externalLinks/externalLink6.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5.xml"/><Relationship Id="rId2" Type="http://schemas.openxmlformats.org/officeDocument/2006/relationships/worksheet" Target="worksheets/sheet2.xml"/><Relationship Id="rId16" Type="http://schemas.openxmlformats.org/officeDocument/2006/relationships/externalLink" Target="externalLinks/externalLink4.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Construction\20%20Yr%20Plan\BRIM\BRIM%202016\BRIM%202016%20with%20RSL%20formulas_Updated.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Statewide%20Planning%20and%20Analysis%20Section/Statewide%20Planning/Statewide%20Highway%20Plan%20Update%202013/10%20Year%20Work%20Plan/analysis/District%20submittals%20-%202014-2017/2%20-%20Copy%20of%202014-2017%20District%202%20ATIP%204-15-13%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Statewide%20Planning%20and%20Analysis%20Section/Statewide%20Planning/Statewide%20Highway%20Plan%20Update%202013/10%20Year%20Work%20Plan/analysis/10%20year%20workplans/D8_04-15-13.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Statewide%20Planning%20and%20Analysis%20Section/Statewide%20Planning/Statewide%20Highway%20Plan%20Update%202013/10%20Year%20Work%20Plan/analysis/District%20submittals%20-%202014-2017/Metro%20Draft%202014-2017%20ATIP(kha%20verify).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6%20year/D8_04-15-1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Statewide%20Planning%20and%20Analysis%20Section/Statewide%20Planning/Statewide%20Highway%20Plan%20Update%202013/10%20Year%20Work%20Plan/analysis/10%20year%20workplans/D1%20rev%20analys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CostSum"/>
      <sheetName val="CostSum PA"/>
      <sheetName val="CostSum NPA"/>
      <sheetName val="District"/>
      <sheetName val="Struct"/>
      <sheetName val="Perf"/>
      <sheetName val="Risk"/>
      <sheetName val="Cond"/>
      <sheetName val="Plans"/>
      <sheetName val="Listing"/>
      <sheetName val="Bridges"/>
      <sheetName val="Culverts"/>
      <sheetName val="Remaining Service Life"/>
      <sheetName val="Staging"/>
      <sheetName val="MapStaging"/>
      <sheetName val="Storage"/>
      <sheetName val="Assumptions"/>
      <sheetName val="Major Bridge Work Codes"/>
      <sheetName val="Scales"/>
      <sheetName val="Grids"/>
      <sheetName val="Config"/>
      <sheetName val="SQL"/>
      <sheetName val="Culvert Gr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7">
          <cell r="C7" t="str">
            <v>Deck type</v>
          </cell>
        </row>
        <row r="20">
          <cell r="C20" t="str">
            <v>Deck type</v>
          </cell>
        </row>
      </sheetData>
      <sheetData sheetId="21">
        <row r="20">
          <cell r="C20">
            <v>80</v>
          </cell>
          <cell r="D20">
            <v>60</v>
          </cell>
          <cell r="E20">
            <v>50</v>
          </cell>
          <cell r="F20">
            <v>30</v>
          </cell>
        </row>
      </sheetData>
      <sheetData sheetId="22" refreshError="1"/>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sheetName val="ATIP DROP DOWNS"/>
      <sheetName val="HIP SUBCATEGORY DESCRIPTIONS"/>
      <sheetName val="HIP DROP DOWNS"/>
    </sheetNames>
    <sheetDataSet>
      <sheetData sheetId="0" refreshError="1"/>
      <sheetData sheetId="1" refreshError="1"/>
      <sheetData sheetId="2" refreshError="1"/>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SHIP 6-year workplan"/>
      <sheetName val="pivot table summary"/>
      <sheetName val="DROP DOWNS"/>
      <sheetName val="summary"/>
      <sheetName val="subcategory descriptions"/>
      <sheetName val="drop down lists"/>
      <sheetName val="ATIP DROP DOWNS"/>
      <sheetName val="HIP DROP DOW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LL"/>
      <sheetName val="ATIP DROP DOWNS"/>
      <sheetName val="HIP SUBCATEGORY DESCRIPTIONS"/>
      <sheetName val="HIP DROP DOWNS"/>
      <sheetName val="SRC"/>
    </sheetNames>
    <sheetDataSet>
      <sheetData sheetId="0" refreshError="1"/>
      <sheetData sheetId="1" refreshError="1"/>
      <sheetData sheetId="2" refreshError="1"/>
      <sheetData sheetId="3" refreshError="1"/>
      <sheetData sheetId="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SHIP 6-year workplan"/>
      <sheetName val="pivot table summary"/>
      <sheetName val="DROP DOWNS"/>
      <sheetName val="summary"/>
      <sheetName val="subcategory descriptions"/>
      <sheetName val="drop down lists"/>
      <sheetName val="ATIP DROP DOWNS"/>
      <sheetName val="HIP DROP DOWNS"/>
    </sheetNames>
    <sheetDataSet>
      <sheetData sheetId="0"/>
      <sheetData sheetId="1" refreshError="1"/>
      <sheetData sheetId="2">
        <row r="11">
          <cell r="BD11" t="str">
            <v>ADA</v>
          </cell>
        </row>
      </sheetData>
      <sheetData sheetId="3" refreshError="1"/>
      <sheetData sheetId="4" refreshError="1"/>
      <sheetData sheetId="5">
        <row r="3">
          <cell r="A3" t="str">
            <v>Reconstruction</v>
          </cell>
        </row>
      </sheetData>
      <sheetData sheetId="6" refreshError="1"/>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nSHIP 6-year workplan"/>
      <sheetName val="pivot table summary"/>
      <sheetName val="DROP DOWNS"/>
      <sheetName val="summary"/>
      <sheetName val="subcategory descriptions"/>
      <sheetName val="drop down lists"/>
      <sheetName val="Sheet1"/>
      <sheetName val="D1 rev analysis"/>
    </sheetNames>
    <sheetDataSet>
      <sheetData sheetId="0"/>
      <sheetData sheetId="1"/>
      <sheetData sheetId="2"/>
      <sheetData sheetId="3"/>
      <sheetData sheetId="4"/>
      <sheetData sheetId="5"/>
      <sheetData sheetId="6"/>
      <sheetData sheetId="7" refreshError="1"/>
    </sheetDataSet>
  </externalBook>
</externalLink>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blan1amb/AppData/Local/Microsoft/Windows/Temporary%20Internet%20Files/Content.Outlook/1IT7GDUP/SPP-Bridge%20Program%20as%20of%206-6-14.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Shawn Walding" refreshedDate="41484.498664004626" createdVersion="4" refreshedVersion="4" minRefreshableVersion="3" recordCount="870">
  <cacheSource type="worksheet">
    <worksheetSource ref="A8:DW876" sheet="MnSHIP 6-year workplan" r:id="rId2"/>
  </cacheSource>
  <cacheFields count="125">
    <cacheField name="Sequence #" numFmtId="0">
      <sharedItems containsBlank="1" containsMixedTypes="1" containsNumber="1" containsInteger="1" minValue="29" maxValue="188"/>
    </cacheField>
    <cacheField name="ATP" numFmtId="0">
      <sharedItems containsMixedTypes="1" containsNumber="1" containsInteger="1" minValue="1" maxValue="8"/>
    </cacheField>
    <cacheField name="District" numFmtId="0">
      <sharedItems containsMixedTypes="1" containsNumber="1" containsInteger="1" minValue="1" maxValue="8"/>
    </cacheField>
    <cacheField name="Route System" numFmtId="0">
      <sharedItems/>
    </cacheField>
    <cacheField name="Route Number" numFmtId="0">
      <sharedItems containsBlank="1" containsMixedTypes="1" containsNumber="1" containsInteger="1" minValue="1" maxValue="999"/>
    </cacheField>
    <cacheField name="Rte_Sys" numFmtId="0">
      <sharedItems/>
    </cacheField>
    <cacheField name="Projnum" numFmtId="0">
      <sharedItems containsBlank="1" containsMixedTypes="1" containsNumber="1" containsInteger="1" minValue="999" maxValue="999"/>
    </cacheField>
    <cacheField name="#Year" numFmtId="0">
      <sharedItems containsSemiMixedTypes="0" containsString="0" containsNumber="1" containsInteger="1" minValue="2013" maxValue="2023" count="11">
        <n v="2014"/>
        <n v="2015"/>
        <n v="2016"/>
        <n v="2018"/>
        <n v="2019"/>
        <n v="2020"/>
        <n v="2021"/>
        <n v="2022"/>
        <n v="2023"/>
        <n v="2017"/>
        <n v="2013" u="1"/>
      </sharedItems>
    </cacheField>
    <cacheField name="Rank" numFmtId="0">
      <sharedItems containsBlank="1"/>
    </cacheField>
    <cacheField name="Who" numFmtId="0">
      <sharedItems containsBlank="1"/>
    </cacheField>
    <cacheField name=" Agency " numFmtId="0">
      <sharedItems containsBlank="1"/>
    </cacheField>
    <cacheField name="MPO" numFmtId="0">
      <sharedItems containsBlank="1" containsMixedTypes="1" containsNumber="1" containsInteger="1" minValue="1" maxValue="8"/>
    </cacheField>
    <cacheField name="Description" numFmtId="0">
      <sharedItems longText="1"/>
    </cacheField>
    <cacheField name="BEG_RP" numFmtId="0">
      <sharedItems containsBlank="1" containsMixedTypes="1" containsNumber="1" minValue="0" maxValue="16034800"/>
    </cacheField>
    <cacheField name="END_RP" numFmtId="0">
      <sharedItems containsBlank="1" containsMixedTypes="1" containsNumber="1" minValue="0" maxValue="142.185"/>
    </cacheField>
    <cacheField name="Length" numFmtId="0">
      <sharedItems containsString="0" containsBlank="1" containsNumber="1" minValue="0" maxValue="40.299999999999997"/>
    </cacheField>
    <cacheField name="City" numFmtId="0">
      <sharedItems containsBlank="1" containsMixedTypes="1" containsNumber="1" minValue="0" maxValue="7460600"/>
    </cacheField>
    <cacheField name="County Name" numFmtId="0">
      <sharedItems containsBlank="1" containsMixedTypes="1" containsNumber="1" containsInteger="1" minValue="0" maxValue="0"/>
    </cacheField>
    <cacheField name="Program" numFmtId="0">
      <sharedItems containsBlank="1" containsMixedTypes="1" containsNumber="1" minValue="0" maxValue="7460600"/>
    </cacheField>
    <cacheField name="State Plan Performance Policy Code" numFmtId="0">
      <sharedItems containsBlank="1" containsMixedTypes="1" containsNumber="1" containsInteger="1" minValue="0" maxValue="0"/>
    </cacheField>
    <cacheField name="Perf Policy Code 1" numFmtId="0">
      <sharedItems containsBlank="1" containsMixedTypes="1" containsNumber="1" containsInteger="1" minValue="0" maxValue="3990000"/>
    </cacheField>
    <cacheField name="Perf Policy Code 2" numFmtId="0">
      <sharedItems containsBlank="1" containsMixedTypes="1" containsNumber="1" containsInteger="1" minValue="0" maxValue="0"/>
    </cacheField>
    <cacheField name="Primary Work Type" numFmtId="0">
      <sharedItems containsBlank="1" containsMixedTypes="1" containsNumber="1" minValue="0" maxValue="3990000"/>
    </cacheField>
    <cacheField name="Secondary Work Type" numFmtId="0">
      <sharedItems containsBlank="1" containsMixedTypes="1" containsNumber="1" containsInteger="1" minValue="0" maxValue="0"/>
    </cacheField>
    <cacheField name="Proposed Funds" numFmtId="0">
      <sharedItems containsBlank="1" containsMixedTypes="1" containsNumber="1" containsInteger="1" minValue="0" maxValue="5300000"/>
    </cacheField>
    <cacheField name="Fund 1" numFmtId="0">
      <sharedItems containsBlank="1" containsMixedTypes="1" containsNumber="1" containsInteger="1" minValue="0" maxValue="0"/>
    </cacheField>
    <cacheField name="Fund 2" numFmtId="0">
      <sharedItems containsBlank="1" containsMixedTypes="1" containsNumber="1" containsInteger="1" minValue="0" maxValue="5300000"/>
    </cacheField>
    <cacheField name="Fund 3" numFmtId="0">
      <sharedItems containsBlank="1" containsMixedTypes="1" containsNumber="1" containsInteger="1" minValue="0" maxValue="0"/>
    </cacheField>
    <cacheField name="STIP Total" numFmtId="0">
      <sharedItems containsString="0" containsBlank="1" containsNumber="1" minValue="0" maxValue="200280000"/>
    </cacheField>
    <cacheField name="FHWA EARMARK" numFmtId="0">
      <sharedItems containsBlank="1" containsMixedTypes="1" containsNumber="1" minValue="0" maxValue="11440000"/>
    </cacheField>
    <cacheField name="Other FHWA" numFmtId="0">
      <sharedItems containsBlank="1" containsMixedTypes="1" containsNumber="1" containsInteger="1" minValue="0" maxValue="8000000"/>
    </cacheField>
    <cacheField name="Target FHWA" numFmtId="0">
      <sharedItems containsBlank="1" containsMixedTypes="1" containsNumber="1" minValue="0" maxValue="21000000"/>
    </cacheField>
    <cacheField name="Dist C FHWA" numFmtId="0">
      <sharedItems containsBlank="1" containsMixedTypes="1" containsNumber="1" containsInteger="1" minValue="0" maxValue="13600000"/>
    </cacheField>
    <cacheField name="Total FHWA" numFmtId="0">
      <sharedItems containsString="0" containsBlank="1" containsNumber="1" minValue="0" maxValue="21000000"/>
    </cacheField>
    <cacheField name="HPP &amp; Other FHWA AC" numFmtId="0">
      <sharedItems containsBlank="1" containsMixedTypes="1" containsNumber="1" minValue="0" maxValue="16034800"/>
    </cacheField>
    <cacheField name="Target AC" numFmtId="0">
      <sharedItems containsBlank="1" containsMixedTypes="1" containsNumber="1" minValue="0" maxValue="110839145.5"/>
    </cacheField>
    <cacheField name="Dist C AC" numFmtId="0">
      <sharedItems containsBlank="1" containsMixedTypes="1" containsNumber="1" minValue="0" maxValue="59806543"/>
    </cacheField>
    <cacheField name="Total AC" numFmtId="0">
      <sharedItems containsString="0" containsBlank="1" containsNumber="1" containsInteger="1" minValue="0" maxValue="84120000"/>
    </cacheField>
    <cacheField name="HPP &amp; Other FHWA AC Payback" numFmtId="0">
      <sharedItems containsBlank="1" containsMixedTypes="1" containsNumber="1" containsInteger="1" minValue="0" maxValue="0"/>
    </cacheField>
    <cacheField name="Target AC Payback" numFmtId="0">
      <sharedItems containsBlank="1" containsMixedTypes="1" containsNumber="1" containsInteger="1" minValue="0" maxValue="14000000"/>
    </cacheField>
    <cacheField name="Dist C AC Payback" numFmtId="0">
      <sharedItems containsBlank="1" containsMixedTypes="1" containsNumber="1" containsInteger="1" minValue="0" maxValue="11664000"/>
    </cacheField>
    <cacheField name="Total AC Payback" numFmtId="0">
      <sharedItems containsString="0" containsBlank="1" containsNumber="1" containsInteger="1" minValue="0" maxValue="14000000"/>
    </cacheField>
    <cacheField name="FTA" numFmtId="0">
      <sharedItems containsBlank="1" containsMixedTypes="1" containsNumber="1" containsInteger="1" minValue="0" maxValue="0"/>
    </cacheField>
    <cacheField name="FTA EARMARK" numFmtId="0">
      <sharedItems containsBlank="1" containsMixedTypes="1" containsNumber="1" containsInteger="1" minValue="0" maxValue="11664000"/>
    </cacheField>
    <cacheField name="State TH" numFmtId="0">
      <sharedItems containsBlank="1" containsMixedTypes="1" containsNumber="1" minValue="0" maxValue="12600000"/>
    </cacheField>
    <cacheField name="Dist C TH" numFmtId="0">
      <sharedItems containsBlank="1" containsMixedTypes="1" containsNumber="1" containsInteger="1" minValue="0" maxValue="9000000"/>
    </cacheField>
    <cacheField name="Total TH" numFmtId="0">
      <sharedItems containsBlank="1" containsMixedTypes="1" containsNumber="1" minValue="0" maxValue="12600000"/>
    </cacheField>
    <cacheField name="Bond" numFmtId="0">
      <sharedItems containsBlank="1" containsMixedTypes="1" containsNumber="1" containsInteger="1" minValue="0" maxValue="60000000"/>
    </cacheField>
    <cacheField name="Other" numFmtId="0">
      <sharedItems containsString="0" containsBlank="1" containsNumber="1" minValue="0" maxValue="133700000"/>
    </cacheField>
    <cacheField name="Project Total" numFmtId="0">
      <sharedItems containsBlank="1" containsMixedTypes="1" containsNumber="1" minValue="0" maxValue="131400000"/>
    </cacheField>
    <cacheField name="Running Fed Target  $ Total (includes AC payback)" numFmtId="0">
      <sharedItems containsBlank="1" containsMixedTypes="1" containsNumber="1" minValue="0" maxValue="697117413.54999995"/>
    </cacheField>
    <cacheField name="Running State Target $ Total" numFmtId="0">
      <sharedItems containsString="0" containsBlank="1" containsNumber="1" minValue="0" maxValue="341804100.93000001"/>
    </cacheField>
    <cacheField name="YEAR" numFmtId="0">
      <sharedItems containsBlank="1" containsMixedTypes="1" containsNumber="1" minValue="0" maxValue="8810800"/>
    </cacheField>
    <cacheField name="OCPPM Comments" numFmtId="0">
      <sharedItems containsBlank="1" containsMixedTypes="1" containsNumber="1" containsInteger="1" minValue="0" maxValue="51195525"/>
    </cacheField>
    <cacheField name="District Comments" numFmtId="0">
      <sharedItems containsBlank="1" containsMixedTypes="1" containsNumber="1" minValue="0" maxValue="4800000"/>
    </cacheField>
    <cacheField name="Special Funding Program" numFmtId="0">
      <sharedItems containsBlank="1" containsMixedTypes="1" containsNumber="1" containsInteger="1" minValue="0" maxValue="0"/>
    </cacheField>
    <cacheField name="Local Contribution " numFmtId="0">
      <sharedItems containsString="0" containsBlank="1" containsNumber="1" containsInteger="1" minValue="0" maxValue="12500000"/>
    </cacheField>
    <cacheField name="Local Match " numFmtId="0">
      <sharedItems containsString="0" containsBlank="1" containsNumber="1" minValue="0" maxValue="8400000"/>
    </cacheField>
    <cacheField name="20 Year Fix" numFmtId="0">
      <sharedItems containsBlank="1" containsMixedTypes="1" containsNumber="1" minValue="0" maxValue="13308884"/>
    </cacheField>
    <cacheField name="ADA" numFmtId="0">
      <sharedItems containsBlank="1" containsMixedTypes="1" containsNumber="1" containsInteger="1" minValue="40000" maxValue="24000000"/>
    </cacheField>
    <cacheField name="Alternate Bid" numFmtId="0">
      <sharedItems containsBlank="1" containsMixedTypes="1" containsNumber="1" minValue="10782595" maxValue="61203083"/>
    </cacheField>
    <cacheField name="Congressional District" numFmtId="0">
      <sharedItems containsBlank="1" containsMixedTypes="1" containsNumber="1" containsInteger="1" minValue="0" maxValue="35620458"/>
    </cacheField>
    <cacheField name="ELLA" numFmtId="0">
      <sharedItems containsBlank="1" containsMixedTypes="1" containsNumber="1" containsInteger="1" minValue="2014" maxValue="2017"/>
    </cacheField>
    <cacheField name="LGA" numFmtId="0">
      <sharedItems containsBlank="1" containsMixedTypes="1" containsNumber="1" minValue="1.09E-2" maxValue="0.8"/>
    </cacheField>
    <cacheField name="SRC Budget" numFmtId="0">
      <sharedItems containsBlank="1" containsMixedTypes="1" containsNumber="1" minValue="0" maxValue="4735500"/>
    </cacheField>
    <cacheField name="TRLF" numFmtId="0">
      <sharedItems containsBlank="1"/>
    </cacheField>
    <cacheField name="PC %" numFmtId="0">
      <sharedItems containsString="0" containsBlank="1" containsNumber="1" minValue="0" maxValue="1"/>
    </cacheField>
    <cacheField name="PC $" numFmtId="0">
      <sharedItems containsString="0" containsBlank="1" containsNumber="1" minValue="0" maxValue="40064800"/>
    </cacheField>
    <cacheField name="PC subcat 1" numFmtId="0">
      <sharedItems containsBlank="1" containsMixedTypes="1" containsNumber="1" minValue="0" maxValue="0.76595744680851063"/>
    </cacheField>
    <cacheField name="PC sub 1 %" numFmtId="0">
      <sharedItems containsBlank="1" containsMixedTypes="1" containsNumber="1" minValue="0" maxValue="1"/>
    </cacheField>
    <cacheField name="PC subcat 2" numFmtId="0">
      <sharedItems containsBlank="1" containsMixedTypes="1" containsNumber="1" minValue="0" maxValue="0.115"/>
    </cacheField>
    <cacheField name="PC sub 2 %" numFmtId="0">
      <sharedItems containsBlank="1" containsMixedTypes="1" containsNumber="1" minValue="0" maxValue="0.41"/>
    </cacheField>
    <cacheField name="BC %" numFmtId="0">
      <sharedItems containsString="0" containsBlank="1" containsNumber="1" minValue="0" maxValue="1"/>
    </cacheField>
    <cacheField name="BC $" numFmtId="0">
      <sharedItems containsString="0" containsBlank="1" containsNumber="1" minValue="0" maxValue="78000000"/>
    </cacheField>
    <cacheField name="BC subcat 1" numFmtId="0">
      <sharedItems containsBlank="1" containsMixedTypes="1" containsNumber="1" containsInteger="1" minValue="0" maxValue="0"/>
    </cacheField>
    <cacheField name="RIC %" numFmtId="0">
      <sharedItems containsString="0" containsBlank="1" containsNumber="1" minValue="0" maxValue="1"/>
    </cacheField>
    <cacheField name="RIC $" numFmtId="0">
      <sharedItems containsString="0" containsBlank="1" containsNumber="1" minValue="0" maxValue="17562119.999999996"/>
    </cacheField>
    <cacheField name="RIC subcat 1" numFmtId="0">
      <sharedItems containsBlank="1" containsMixedTypes="1" containsNumber="1" containsInteger="1" minValue="0" maxValue="0"/>
    </cacheField>
    <cacheField name="RIC sub 1 %" numFmtId="0">
      <sharedItems containsBlank="1" containsMixedTypes="1" containsNumber="1" minValue="0" maxValue="1"/>
    </cacheField>
    <cacheField name="RIC subcat 2" numFmtId="0">
      <sharedItems containsBlank="1" containsMixedTypes="1" containsNumber="1" containsInteger="1" minValue="0" maxValue="14490"/>
    </cacheField>
    <cacheField name="RIC sub 2 %" numFmtId="0">
      <sharedItems containsBlank="1" containsMixedTypes="1" containsNumber="1" minValue="0" maxValue="0.92"/>
    </cacheField>
    <cacheField name="TS %" numFmtId="0">
      <sharedItems containsString="0" containsBlank="1" containsNumber="1" minValue="0" maxValue="1"/>
    </cacheField>
    <cacheField name="TS $" numFmtId="0">
      <sharedItems containsString="0" containsBlank="1" containsNumber="1" minValue="0" maxValue="9300000"/>
    </cacheField>
    <cacheField name="TS subcat 1" numFmtId="0">
      <sharedItems containsBlank="1" containsMixedTypes="1" containsNumber="1" containsInteger="1" minValue="0" maxValue="0"/>
    </cacheField>
    <cacheField name="TS sub 1 %" numFmtId="0">
      <sharedItems containsBlank="1" containsMixedTypes="1" containsNumber="1" minValue="0" maxValue="1.0000000000000007"/>
    </cacheField>
    <cacheField name="TS subcat 2" numFmtId="0">
      <sharedItems containsBlank="1" containsMixedTypes="1" containsNumber="1" minValue="0" maxValue="8199999.9999999991"/>
    </cacheField>
    <cacheField name="TS sub 2 %" numFmtId="0">
      <sharedItems containsBlank="1" containsMixedTypes="1" containsNumber="1" containsInteger="1" minValue="0" maxValue="1"/>
    </cacheField>
    <cacheField name="IRC %" numFmtId="0">
      <sharedItems containsString="0" containsBlank="1" containsNumber="1" containsInteger="1" minValue="0" maxValue="0"/>
    </cacheField>
    <cacheField name="IRC $" numFmtId="0">
      <sharedItems containsString="0" containsBlank="1" containsNumber="1" containsInteger="1" minValue="0" maxValue="0"/>
    </cacheField>
    <cacheField name="IRC subcat 1" numFmtId="0">
      <sharedItems containsBlank="1" containsMixedTypes="1" containsNumber="1" containsInteger="1" minValue="0" maxValue="0"/>
    </cacheField>
    <cacheField name="IRC sub 1 %" numFmtId="0">
      <sharedItems containsBlank="1" containsMixedTypes="1" containsNumber="1" containsInteger="1" minValue="0" maxValue="0"/>
    </cacheField>
    <cacheField name="IRC subcat 2" numFmtId="0">
      <sharedItems containsBlank="1" containsMixedTypes="1" containsNumber="1" containsInteger="1" minValue="0" maxValue="0"/>
    </cacheField>
    <cacheField name="IRC sub 2 %" numFmtId="0">
      <sharedItems containsBlank="1" containsMixedTypes="1" containsNumber="1" containsInteger="1" minValue="0" maxValue="0"/>
    </cacheField>
    <cacheField name="TC %" numFmtId="0">
      <sharedItems containsString="0" containsBlank="1" containsNumber="1" minValue="0" maxValue="1"/>
    </cacheField>
    <cacheField name="TC $" numFmtId="0">
      <sharedItems containsString="0" containsBlank="1" containsNumber="1" minValue="0" maxValue="32999999.999999996"/>
    </cacheField>
    <cacheField name="TC subcat 1" numFmtId="0">
      <sharedItems containsBlank="1" containsMixedTypes="1" containsNumber="1" containsInteger="1" minValue="0" maxValue="0"/>
    </cacheField>
    <cacheField name="TC sub 1 %" numFmtId="0">
      <sharedItems containsBlank="1" containsMixedTypes="1" containsNumber="1" containsInteger="1" minValue="0" maxValue="0"/>
    </cacheField>
    <cacheField name="TC subcat 2" numFmtId="0">
      <sharedItems containsBlank="1" containsMixedTypes="1" containsNumber="1" containsInteger="1" minValue="0" maxValue="0"/>
    </cacheField>
    <cacheField name="TC sub 2 %" numFmtId="0">
      <sharedItems containsBlank="1" containsMixedTypes="1" containsNumber="1" containsInteger="1" minValue="0" maxValue="0"/>
    </cacheField>
    <cacheField name="BI %" numFmtId="0">
      <sharedItems containsString="0" containsBlank="1" containsNumber="1" minValue="0" maxValue="1"/>
    </cacheField>
    <cacheField name="BI $" numFmtId="0">
      <sharedItems containsString="0" containsBlank="1" containsNumber="1" minValue="0" maxValue="5534861.3999999994"/>
    </cacheField>
    <cacheField name="BI subcat 1" numFmtId="0">
      <sharedItems containsBlank="1" containsMixedTypes="1" containsNumber="1" containsInteger="1" minValue="0" maxValue="0"/>
    </cacheField>
    <cacheField name="BI sub 1 %" numFmtId="0">
      <sharedItems containsBlank="1" containsMixedTypes="1" containsNumber="1" containsInteger="1" minValue="0" maxValue="1"/>
    </cacheField>
    <cacheField name="BI subcat 2" numFmtId="0">
      <sharedItems containsBlank="1" containsMixedTypes="1" containsNumber="1" containsInteger="1" minValue="0" maxValue="0"/>
    </cacheField>
    <cacheField name="BI sub 2 %" numFmtId="0">
      <sharedItems containsBlank="1" containsMixedTypes="1" containsNumber="1" containsInteger="1" minValue="0" maxValue="0"/>
    </cacheField>
    <cacheField name="AP %" numFmtId="0">
      <sharedItems containsString="0" containsBlank="1" containsNumber="1" minValue="0" maxValue="1"/>
    </cacheField>
    <cacheField name="AP $" numFmtId="0">
      <sharedItems containsString="0" containsBlank="1" containsNumber="1" minValue="0" maxValue="2396880"/>
    </cacheField>
    <cacheField name="AP subcat 1" numFmtId="0">
      <sharedItems containsBlank="1" containsMixedTypes="1" containsNumber="1" containsInteger="1" minValue="0" maxValue="0"/>
    </cacheField>
    <cacheField name="AP sub 1 %" numFmtId="0">
      <sharedItems containsBlank="1" containsMixedTypes="1" containsNumber="1" minValue="0" maxValue="1"/>
    </cacheField>
    <cacheField name="AP subcat 2" numFmtId="0">
      <sharedItems containsBlank="1" containsMixedTypes="1" containsNumber="1" containsInteger="1" minValue="0" maxValue="0"/>
    </cacheField>
    <cacheField name="AP sub 2 %" numFmtId="0">
      <sharedItems containsBlank="1" containsMixedTypes="1" containsNumber="1" minValue="0" maxValue="0.5"/>
    </cacheField>
    <cacheField name="RCIP %" numFmtId="0">
      <sharedItems containsString="0" containsBlank="1" containsNumber="1" minValue="0" maxValue="1"/>
    </cacheField>
    <cacheField name="RCIP $" numFmtId="0">
      <sharedItems containsString="0" containsBlank="1" containsNumber="1" minValue="0" maxValue="20000000"/>
    </cacheField>
    <cacheField name="RCIP subcat 1" numFmtId="0">
      <sharedItems containsBlank="1" containsMixedTypes="1" containsNumber="1" containsInteger="1" minValue="0" maxValue="0"/>
    </cacheField>
    <cacheField name="RCIP sub 1 %" numFmtId="0">
      <sharedItems containsBlank="1" containsMixedTypes="1" containsNumber="1" containsInteger="1" minValue="0" maxValue="1"/>
    </cacheField>
    <cacheField name="RCIP subcat 2" numFmtId="0">
      <sharedItems containsBlank="1" containsMixedTypes="1" containsNumber="1" containsInteger="1" minValue="0" maxValue="0"/>
    </cacheField>
    <cacheField name="RCIP sub 2 %" numFmtId="0">
      <sharedItems containsBlank="1" containsMixedTypes="1" containsNumber="1" containsInteger="1" minValue="0" maxValue="0"/>
    </cacheField>
    <cacheField name="PS %" numFmtId="0">
      <sharedItems containsString="0" containsBlank="1" containsNumber="1" minValue="0" maxValue="1"/>
    </cacheField>
    <cacheField name="PS $" numFmtId="0">
      <sharedItems containsString="0" containsBlank="1" containsNumber="1" minValue="0" maxValue="28471050"/>
    </cacheField>
    <cacheField name="PS subcat 1" numFmtId="0">
      <sharedItems containsBlank="1" containsMixedTypes="1" containsNumber="1" containsInteger="1" minValue="0" maxValue="0"/>
    </cacheField>
    <cacheField name="PS sub 1 %" numFmtId="0">
      <sharedItems containsString="0" containsBlank="1" containsNumber="1" containsInteger="1" minValue="0" maxValue="0"/>
    </cacheField>
    <cacheField name="PS subcat 2" numFmtId="0">
      <sharedItems containsString="0" containsBlank="1" containsNumber="1" containsInteger="1" minValue="0" maxValue="0"/>
    </cacheField>
    <cacheField name="PS sub 2 %" numFmtId="0">
      <sharedItems containsString="0" containsBlank="1" containsNumber="1" containsInteger="1" minValue="0" maxValue="0"/>
    </cacheField>
    <cacheField name="Total %" numFmtId="0">
      <sharedItems containsSemiMixedTypes="0" containsString="0" containsNumber="1" minValue="0.9991663500000002" maxValue="1.0010000000000001"/>
    </cacheField>
    <cacheField name="Total $" numFmtId="0">
      <sharedItems containsSemiMixedTypes="0" containsString="0" containsNumber="1" minValue="0" maxValue="1210000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870">
  <r>
    <m/>
    <n v="3"/>
    <n v="3"/>
    <s v="US"/>
    <m/>
    <s v="US "/>
    <n v="999"/>
    <x v="0"/>
    <s v="2013-00"/>
    <s v="S"/>
    <s v="MNDOT"/>
    <m/>
    <s v="DISTRICT 3 SRC TRANSFER TO METRO  (CURRENT PLACEHOLDER)"/>
    <m/>
    <m/>
    <m/>
    <m/>
    <m/>
    <s v="RS"/>
    <s v="1-P "/>
    <s v="1-P"/>
    <m/>
    <s v="PVTR - PAVEMENT RESURFACE AND REHABILITATION"/>
    <s v="MILL AND OVERLAY"/>
    <s v="SF  "/>
    <s v="SF"/>
    <m/>
    <m/>
    <n v="4800000"/>
    <n v="0"/>
    <n v="0"/>
    <n v="0"/>
    <n v="0"/>
    <n v="0"/>
    <n v="0"/>
    <n v="0"/>
    <n v="0"/>
    <n v="0"/>
    <n v="0"/>
    <n v="0"/>
    <n v="0"/>
    <n v="0"/>
    <n v="0"/>
    <n v="0"/>
    <n v="0"/>
    <n v="0"/>
    <n v="0"/>
    <n v="0"/>
    <n v="0"/>
    <n v="0"/>
    <n v="0"/>
    <n v="0"/>
    <n v="0"/>
    <n v="0"/>
    <n v="4800000"/>
    <n v="0"/>
    <n v="4800000"/>
    <n v="0"/>
    <n v="0"/>
    <n v="4800000"/>
    <n v="16498328"/>
    <n v="5940000"/>
    <n v="2014"/>
    <m/>
    <m/>
    <m/>
    <n v="1"/>
    <n v="4800000"/>
    <m/>
    <m/>
    <m/>
    <m/>
    <m/>
    <n v="0"/>
    <m/>
    <m/>
    <n v="0"/>
    <m/>
    <m/>
    <m/>
    <m/>
    <m/>
    <n v="0"/>
    <m/>
    <m/>
    <m/>
    <m/>
    <m/>
    <n v="0"/>
    <m/>
    <m/>
    <m/>
    <m/>
    <m/>
    <n v="0"/>
    <m/>
    <m/>
    <m/>
    <m/>
    <m/>
    <n v="0"/>
    <m/>
    <m/>
    <m/>
    <m/>
    <m/>
    <n v="0"/>
    <m/>
    <m/>
    <m/>
    <m/>
    <m/>
    <n v="0"/>
    <m/>
    <m/>
    <m/>
    <m/>
    <m/>
    <n v="0"/>
    <m/>
    <m/>
    <m/>
    <m/>
    <n v="1"/>
    <n v="4800000"/>
  </r>
  <r>
    <m/>
    <n v="1"/>
    <n v="1"/>
    <s v="MN"/>
    <n v="18"/>
    <s v="MN 18"/>
    <s v="0103-10"/>
    <x v="1"/>
    <m/>
    <s v="S"/>
    <s v="MNDOT"/>
    <m/>
    <s v="**IDIQ**SOUTH JCT TH 47 TO TH 65, MEDIUM MILL &amp; OVERLAY (TIED WITH 4805-08M) MAXIMUM AMOUNT $7.6 M EXPIRATION DATE ?"/>
    <s v="050+00.742"/>
    <s v="058+00.060"/>
    <n v="7.3"/>
    <m/>
    <s v="AITKIN"/>
    <s v="RS"/>
    <s v="1-P "/>
    <s v="1-P"/>
    <m/>
    <s v="PVTR - PAVEMENT RESURFACE AND REHABILITATION"/>
    <s v="MILL AND OVERLAY"/>
    <s v="SF  "/>
    <s v="STP5K"/>
    <m/>
    <m/>
    <n v="1900000"/>
    <n v="0"/>
    <n v="0"/>
    <n v="0"/>
    <n v="0"/>
    <n v="0"/>
    <n v="0"/>
    <n v="0"/>
    <n v="0"/>
    <n v="0"/>
    <n v="0"/>
    <n v="0"/>
    <n v="0"/>
    <n v="0"/>
    <n v="0"/>
    <n v="0"/>
    <n v="1900000"/>
    <n v="0"/>
    <n v="1900000"/>
    <n v="0"/>
    <n v="0"/>
    <n v="1900000"/>
    <n v="70192123"/>
    <n v="41362487"/>
    <n v="2013"/>
    <m/>
    <s v="ATP 3 - 047+00.441 TO 50+00.742. TIED TO 4805-08M"/>
    <m/>
    <m/>
    <m/>
    <s v="NO"/>
    <s v="NO"/>
    <s v="NO"/>
    <s v="8th District"/>
    <s v="NO"/>
    <s v="NO"/>
    <s v="Yes"/>
    <s v="NO"/>
    <n v="0.89"/>
    <n v="1691000"/>
    <s v="Mill and/or overlay"/>
    <m/>
    <m/>
    <m/>
    <m/>
    <n v="0"/>
    <m/>
    <n v="0.11"/>
    <n v="209000"/>
    <s v="Drainage and culverts"/>
    <m/>
    <m/>
    <m/>
    <m/>
    <n v="0"/>
    <m/>
    <m/>
    <m/>
    <m/>
    <m/>
    <n v="0"/>
    <m/>
    <m/>
    <m/>
    <m/>
    <m/>
    <n v="0"/>
    <m/>
    <m/>
    <m/>
    <m/>
    <m/>
    <n v="0"/>
    <m/>
    <m/>
    <m/>
    <m/>
    <m/>
    <n v="0"/>
    <m/>
    <m/>
    <m/>
    <m/>
    <m/>
    <n v="0"/>
    <m/>
    <m/>
    <m/>
    <m/>
    <m/>
    <n v="0"/>
    <m/>
    <m/>
    <m/>
    <m/>
    <n v="1"/>
    <n v="1900000"/>
  </r>
  <r>
    <m/>
    <n v="3"/>
    <n v="3"/>
    <s v="MN"/>
    <n v="18"/>
    <s v="MN 18"/>
    <s v="0103-10M"/>
    <x v="1"/>
    <s v="2015-19"/>
    <s v="S"/>
    <s v="MNDOT"/>
    <m/>
    <s v="TH 47 E TO MILLE LACS/AITKIN CO LINE, MILL AND OVERLAY, ASSOC SP 4805-08 (ATP-3 PORTION)"/>
    <s v="48+00.587"/>
    <s v="50+00.742"/>
    <n v="3.3"/>
    <m/>
    <s v="MILLE LACS"/>
    <s v="RS"/>
    <s v="1-P "/>
    <s v="1-P"/>
    <m/>
    <s v="PVTR - PAVEMENT RESURFACE AND REHABILITATION"/>
    <s v="MILL AND OVERLAY"/>
    <s v="STP5K SF "/>
    <s v="STP5K"/>
    <s v="SF"/>
    <m/>
    <n v="1000000"/>
    <n v="0"/>
    <n v="0"/>
    <n v="0"/>
    <n v="0"/>
    <n v="0"/>
    <n v="0"/>
    <n v="0"/>
    <n v="800000"/>
    <n v="0"/>
    <n v="0"/>
    <n v="0"/>
    <n v="800000"/>
    <n v="800000"/>
    <n v="0"/>
    <n v="800000"/>
    <n v="0"/>
    <n v="0"/>
    <n v="0"/>
    <n v="0"/>
    <n v="0"/>
    <n v="0"/>
    <n v="0"/>
    <n v="0"/>
    <n v="0"/>
    <n v="0"/>
    <n v="200000"/>
    <n v="0"/>
    <n v="200000"/>
    <n v="0"/>
    <n v="0"/>
    <n v="1000000"/>
    <n v="26415028"/>
    <n v="5252579"/>
    <n v="2015"/>
    <m/>
    <m/>
    <m/>
    <n v="0.88500000000000001"/>
    <n v="885000"/>
    <m/>
    <m/>
    <m/>
    <m/>
    <m/>
    <n v="0"/>
    <m/>
    <n v="0.115"/>
    <n v="115000"/>
    <s v="Pavement markings"/>
    <m/>
    <m/>
    <m/>
    <m/>
    <n v="0"/>
    <m/>
    <m/>
    <m/>
    <m/>
    <m/>
    <n v="0"/>
    <m/>
    <m/>
    <m/>
    <m/>
    <m/>
    <n v="0"/>
    <m/>
    <m/>
    <m/>
    <m/>
    <m/>
    <n v="0"/>
    <m/>
    <m/>
    <m/>
    <m/>
    <m/>
    <n v="0"/>
    <m/>
    <m/>
    <m/>
    <m/>
    <m/>
    <n v="0"/>
    <m/>
    <m/>
    <m/>
    <m/>
    <m/>
    <n v="0"/>
    <m/>
    <m/>
    <m/>
    <m/>
    <n v="1"/>
    <n v="1000000"/>
  </r>
  <r>
    <m/>
    <n v="1"/>
    <n v="2"/>
    <s v="MN"/>
    <n v="210"/>
    <s v="MN 210"/>
    <s v="0119-26M"/>
    <x v="2"/>
    <m/>
    <s v="S"/>
    <s v="MNDOT"/>
    <m/>
    <s v="REPLACE BR# 6296. TH 210 OVER SISSABAGAMAH RIVER "/>
    <n v="0"/>
    <n v="0"/>
    <n v="0"/>
    <m/>
    <s v="AITKIN"/>
    <s v="BR"/>
    <s v="1-B "/>
    <s v="1-B"/>
    <m/>
    <s v="BRPC - BRIDGE REPLACEMENT OR CONSTRUCTION"/>
    <s v="BRIDGE REPLACEMENT"/>
    <s v="SF  "/>
    <s v="SF"/>
    <m/>
    <m/>
    <n v="450270"/>
    <n v="0"/>
    <n v="0"/>
    <n v="0"/>
    <n v="0"/>
    <n v="0"/>
    <n v="0"/>
    <n v="0"/>
    <n v="0"/>
    <n v="0"/>
    <n v="0"/>
    <n v="0"/>
    <n v="0"/>
    <n v="0"/>
    <n v="0"/>
    <n v="0"/>
    <n v="450270"/>
    <n v="0"/>
    <n v="450270"/>
    <n v="0"/>
    <n v="0"/>
    <n v="450270"/>
    <n v="48921896"/>
    <n v="12142452"/>
    <n v="2016"/>
    <m/>
    <m/>
    <m/>
    <m/>
    <m/>
    <s v="YES"/>
    <s v="NO"/>
    <s v="NO"/>
    <s v="8th District"/>
    <s v="NO"/>
    <s v="NO"/>
    <s v="Yes"/>
    <s v="NO"/>
    <m/>
    <n v="0"/>
    <m/>
    <m/>
    <m/>
    <m/>
    <n v="1"/>
    <n v="450270"/>
    <m/>
    <m/>
    <n v="0"/>
    <m/>
    <m/>
    <m/>
    <m/>
    <m/>
    <n v="0"/>
    <m/>
    <m/>
    <m/>
    <m/>
    <m/>
    <n v="0"/>
    <m/>
    <m/>
    <m/>
    <m/>
    <m/>
    <n v="0"/>
    <m/>
    <m/>
    <m/>
    <m/>
    <m/>
    <n v="0"/>
    <m/>
    <m/>
    <m/>
    <m/>
    <m/>
    <n v="0"/>
    <m/>
    <m/>
    <m/>
    <m/>
    <m/>
    <n v="0"/>
    <m/>
    <m/>
    <m/>
    <m/>
    <m/>
    <n v="0"/>
    <m/>
    <m/>
    <m/>
    <m/>
    <n v="1"/>
    <n v="450270"/>
  </r>
  <r>
    <m/>
    <s v="M"/>
    <s v="M"/>
    <s v="US"/>
    <n v="10"/>
    <s v="US 10"/>
    <s v="0202-93"/>
    <x v="1"/>
    <m/>
    <s v="S"/>
    <s v="MNDOT"/>
    <n v="7"/>
    <s v="AT FELDSPAR AVE NW IN RAMSEY-RECONSTRUCT INTERSECTION"/>
    <m/>
    <m/>
    <m/>
    <m/>
    <m/>
    <m/>
    <m/>
    <m/>
    <m/>
    <m/>
    <m/>
    <m/>
    <m/>
    <m/>
    <m/>
    <n v="270000"/>
    <m/>
    <m/>
    <m/>
    <m/>
    <m/>
    <m/>
    <m/>
    <m/>
    <m/>
    <m/>
    <m/>
    <m/>
    <m/>
    <m/>
    <m/>
    <m/>
    <m/>
    <m/>
    <m/>
    <n v="0"/>
    <m/>
    <m/>
    <m/>
    <m/>
    <m/>
    <m/>
    <m/>
    <m/>
    <m/>
    <m/>
    <m/>
    <m/>
    <m/>
    <m/>
    <m/>
    <m/>
    <m/>
    <m/>
    <n v="0"/>
    <m/>
    <m/>
    <m/>
    <m/>
    <m/>
    <n v="0"/>
    <m/>
    <n v="1"/>
    <n v="270000"/>
    <s v="Other structures"/>
    <m/>
    <m/>
    <m/>
    <m/>
    <n v="0"/>
    <m/>
    <n v="1"/>
    <m/>
    <m/>
    <m/>
    <n v="0"/>
    <m/>
    <m/>
    <m/>
    <m/>
    <m/>
    <n v="0"/>
    <m/>
    <m/>
    <m/>
    <m/>
    <m/>
    <n v="0"/>
    <m/>
    <m/>
    <m/>
    <m/>
    <m/>
    <n v="0"/>
    <m/>
    <m/>
    <m/>
    <m/>
    <m/>
    <n v="0"/>
    <m/>
    <m/>
    <m/>
    <m/>
    <m/>
    <n v="0"/>
    <m/>
    <m/>
    <m/>
    <m/>
    <n v="1"/>
    <n v="270000"/>
  </r>
  <r>
    <n v="170"/>
    <s v="M"/>
    <s v="M"/>
    <s v="US"/>
    <n v="10"/>
    <s v="US 10"/>
    <s v="0202-XXX"/>
    <x v="1"/>
    <m/>
    <s v="S"/>
    <s v="MNDOT"/>
    <m/>
    <s v="**TED14** US 10 and Armstrong Boulevard Interchange and Rail Grade Separation in Ramsey"/>
    <m/>
    <m/>
    <m/>
    <m/>
    <m/>
    <m/>
    <m/>
    <m/>
    <m/>
    <m/>
    <m/>
    <m/>
    <m/>
    <m/>
    <m/>
    <n v="34425500"/>
    <m/>
    <m/>
    <m/>
    <m/>
    <m/>
    <m/>
    <m/>
    <m/>
    <m/>
    <m/>
    <m/>
    <m/>
    <m/>
    <m/>
    <m/>
    <m/>
    <m/>
    <m/>
    <m/>
    <n v="24425500"/>
    <n v="34425500"/>
    <m/>
    <m/>
    <m/>
    <m/>
    <m/>
    <m/>
    <m/>
    <m/>
    <m/>
    <m/>
    <m/>
    <m/>
    <m/>
    <m/>
    <m/>
    <m/>
    <m/>
    <m/>
    <m/>
    <m/>
    <m/>
    <m/>
    <m/>
    <m/>
    <m/>
    <m/>
    <m/>
    <m/>
    <m/>
    <m/>
    <m/>
    <m/>
    <m/>
    <m/>
    <m/>
    <m/>
    <m/>
    <m/>
    <m/>
    <m/>
    <m/>
    <m/>
    <m/>
    <m/>
    <m/>
    <m/>
    <m/>
    <m/>
    <m/>
    <m/>
    <m/>
    <m/>
    <m/>
    <m/>
    <m/>
    <m/>
    <m/>
    <m/>
    <m/>
    <m/>
    <m/>
    <n v="1"/>
    <n v="10000000"/>
    <m/>
    <m/>
    <m/>
    <m/>
    <m/>
    <m/>
    <m/>
    <m/>
    <m/>
    <m/>
    <n v="1"/>
    <n v="10000000"/>
  </r>
  <r>
    <m/>
    <s v="M"/>
    <s v="M"/>
    <s v="MN"/>
    <n v="47"/>
    <s v="MN 47"/>
    <s v="0206-65"/>
    <x v="1"/>
    <m/>
    <s v="S"/>
    <s v="MNDOT"/>
    <n v="7"/>
    <s v="AT 142ND AVENUE IN RAMSEY-RECONSTRUCT CENTER RAISED MEDIAN TO GAIN POSITIVE OFFSET FOR NB AND SB LEFT TURN LANES"/>
    <m/>
    <m/>
    <m/>
    <m/>
    <m/>
    <m/>
    <m/>
    <m/>
    <m/>
    <m/>
    <m/>
    <m/>
    <m/>
    <m/>
    <m/>
    <n v="250000"/>
    <m/>
    <m/>
    <m/>
    <m/>
    <m/>
    <m/>
    <m/>
    <m/>
    <m/>
    <m/>
    <m/>
    <m/>
    <m/>
    <m/>
    <m/>
    <m/>
    <m/>
    <m/>
    <m/>
    <n v="25000"/>
    <m/>
    <m/>
    <m/>
    <m/>
    <m/>
    <m/>
    <m/>
    <m/>
    <m/>
    <m/>
    <m/>
    <m/>
    <m/>
    <m/>
    <m/>
    <m/>
    <m/>
    <m/>
    <n v="0"/>
    <m/>
    <m/>
    <m/>
    <m/>
    <m/>
    <n v="0"/>
    <m/>
    <n v="5.8200000000000002E-2"/>
    <n v="13088.946889938121"/>
    <s v="Drainage and culverts"/>
    <m/>
    <m/>
    <m/>
    <m/>
    <n v="0"/>
    <m/>
    <n v="1"/>
    <m/>
    <m/>
    <m/>
    <n v="0"/>
    <m/>
    <m/>
    <m/>
    <m/>
    <n v="0.94179999999999997"/>
    <n v="211911"/>
    <m/>
    <m/>
    <m/>
    <m/>
    <m/>
    <n v="0"/>
    <m/>
    <m/>
    <m/>
    <m/>
    <m/>
    <n v="0"/>
    <m/>
    <m/>
    <m/>
    <m/>
    <m/>
    <n v="0"/>
    <m/>
    <m/>
    <m/>
    <m/>
    <m/>
    <n v="0"/>
    <m/>
    <m/>
    <m/>
    <m/>
    <n v="1"/>
    <n v="224999.94688993812"/>
  </r>
  <r>
    <n v="98"/>
    <s v="M"/>
    <s v="M"/>
    <s v="MN"/>
    <n v="999"/>
    <s v="MN999"/>
    <m/>
    <x v="3"/>
    <m/>
    <m/>
    <m/>
    <m/>
    <s v="BICYCLE INFRASTRUCTURE SETASIDE"/>
    <m/>
    <m/>
    <m/>
    <m/>
    <m/>
    <m/>
    <s v=""/>
    <m/>
    <m/>
    <m/>
    <m/>
    <s v=""/>
    <m/>
    <m/>
    <m/>
    <n v="1500000"/>
    <m/>
    <m/>
    <m/>
    <m/>
    <n v="0"/>
    <m/>
    <m/>
    <m/>
    <n v="0"/>
    <m/>
    <m/>
    <m/>
    <n v="0"/>
    <m/>
    <m/>
    <m/>
    <m/>
    <n v="0"/>
    <m/>
    <n v="1500000"/>
    <n v="1500000"/>
    <n v="0"/>
    <n v="2350270"/>
    <n v="2018"/>
    <m/>
    <m/>
    <m/>
    <m/>
    <m/>
    <m/>
    <m/>
    <m/>
    <m/>
    <m/>
    <m/>
    <m/>
    <m/>
    <m/>
    <n v="0"/>
    <m/>
    <m/>
    <m/>
    <m/>
    <m/>
    <n v="0"/>
    <m/>
    <m/>
    <n v="0"/>
    <m/>
    <m/>
    <m/>
    <m/>
    <m/>
    <n v="0"/>
    <m/>
    <m/>
    <m/>
    <m/>
    <m/>
    <n v="0"/>
    <m/>
    <m/>
    <m/>
    <m/>
    <m/>
    <n v="0"/>
    <m/>
    <m/>
    <m/>
    <m/>
    <n v="1"/>
    <n v="1500000"/>
    <m/>
    <m/>
    <m/>
    <m/>
    <m/>
    <n v="0"/>
    <m/>
    <m/>
    <m/>
    <m/>
    <m/>
    <n v="0"/>
    <m/>
    <m/>
    <m/>
    <m/>
    <m/>
    <n v="0"/>
    <m/>
    <m/>
    <m/>
    <m/>
    <n v="1"/>
    <n v="1500000"/>
  </r>
  <r>
    <m/>
    <s v="M"/>
    <s v="M"/>
    <s v="MN"/>
    <n v="999"/>
    <s v="MN999"/>
    <m/>
    <x v="4"/>
    <m/>
    <m/>
    <m/>
    <m/>
    <s v="BICYCLE INFRASTRUCTURE SETASIDE"/>
    <m/>
    <m/>
    <m/>
    <m/>
    <m/>
    <m/>
    <s v=""/>
    <m/>
    <m/>
    <m/>
    <m/>
    <s v=""/>
    <m/>
    <m/>
    <m/>
    <n v="1500000"/>
    <m/>
    <m/>
    <m/>
    <m/>
    <n v="0"/>
    <m/>
    <m/>
    <m/>
    <n v="0"/>
    <m/>
    <m/>
    <m/>
    <n v="0"/>
    <m/>
    <m/>
    <m/>
    <m/>
    <n v="0"/>
    <m/>
    <n v="1500000"/>
    <n v="1500000"/>
    <n v="0"/>
    <n v="2350270"/>
    <n v="2019"/>
    <m/>
    <m/>
    <m/>
    <m/>
    <m/>
    <m/>
    <m/>
    <m/>
    <m/>
    <m/>
    <m/>
    <m/>
    <m/>
    <m/>
    <n v="0"/>
    <m/>
    <m/>
    <m/>
    <m/>
    <m/>
    <n v="0"/>
    <m/>
    <m/>
    <n v="0"/>
    <m/>
    <m/>
    <m/>
    <m/>
    <m/>
    <n v="0"/>
    <m/>
    <m/>
    <m/>
    <m/>
    <m/>
    <n v="0"/>
    <m/>
    <m/>
    <m/>
    <m/>
    <m/>
    <n v="0"/>
    <m/>
    <m/>
    <m/>
    <m/>
    <n v="1"/>
    <n v="1500000"/>
    <m/>
    <m/>
    <m/>
    <m/>
    <m/>
    <n v="0"/>
    <m/>
    <m/>
    <m/>
    <m/>
    <m/>
    <n v="0"/>
    <m/>
    <m/>
    <m/>
    <m/>
    <m/>
    <n v="0"/>
    <m/>
    <m/>
    <m/>
    <m/>
    <n v="1"/>
    <n v="1500000"/>
  </r>
  <r>
    <m/>
    <s v="M"/>
    <s v="M"/>
    <s v="MN"/>
    <n v="999"/>
    <s v="MN999"/>
    <m/>
    <x v="5"/>
    <m/>
    <m/>
    <m/>
    <m/>
    <s v="BICYCLE INFRASTRUCTURE SETASIDE"/>
    <m/>
    <m/>
    <m/>
    <m/>
    <m/>
    <m/>
    <s v=""/>
    <m/>
    <m/>
    <m/>
    <m/>
    <s v=""/>
    <m/>
    <m/>
    <m/>
    <n v="1500000"/>
    <m/>
    <m/>
    <m/>
    <m/>
    <n v="0"/>
    <m/>
    <m/>
    <m/>
    <n v="0"/>
    <m/>
    <m/>
    <m/>
    <n v="0"/>
    <m/>
    <m/>
    <m/>
    <m/>
    <n v="0"/>
    <m/>
    <n v="1500000"/>
    <n v="1500000"/>
    <n v="0"/>
    <n v="2350270"/>
    <n v="2020"/>
    <m/>
    <m/>
    <m/>
    <m/>
    <m/>
    <m/>
    <m/>
    <m/>
    <m/>
    <m/>
    <m/>
    <m/>
    <m/>
    <m/>
    <n v="0"/>
    <m/>
    <m/>
    <m/>
    <m/>
    <m/>
    <n v="0"/>
    <m/>
    <m/>
    <n v="0"/>
    <m/>
    <m/>
    <m/>
    <m/>
    <m/>
    <n v="0"/>
    <m/>
    <m/>
    <m/>
    <m/>
    <m/>
    <n v="0"/>
    <m/>
    <m/>
    <m/>
    <m/>
    <m/>
    <n v="0"/>
    <m/>
    <m/>
    <m/>
    <m/>
    <n v="1"/>
    <n v="1500000"/>
    <m/>
    <m/>
    <m/>
    <m/>
    <m/>
    <n v="0"/>
    <m/>
    <m/>
    <m/>
    <m/>
    <m/>
    <n v="0"/>
    <m/>
    <m/>
    <m/>
    <m/>
    <m/>
    <n v="0"/>
    <m/>
    <m/>
    <m/>
    <m/>
    <n v="1"/>
    <n v="1500000"/>
  </r>
  <r>
    <m/>
    <s v="M"/>
    <s v="M"/>
    <s v="MN"/>
    <n v="999"/>
    <s v="MN999"/>
    <m/>
    <x v="6"/>
    <m/>
    <m/>
    <m/>
    <m/>
    <s v="BICYCLE INFRASTRUCTURE SETASIDE"/>
    <m/>
    <m/>
    <m/>
    <m/>
    <m/>
    <m/>
    <s v=""/>
    <m/>
    <m/>
    <m/>
    <m/>
    <s v=""/>
    <m/>
    <m/>
    <m/>
    <n v="1500000"/>
    <m/>
    <m/>
    <m/>
    <m/>
    <n v="0"/>
    <m/>
    <m/>
    <m/>
    <n v="0"/>
    <m/>
    <m/>
    <m/>
    <n v="0"/>
    <m/>
    <m/>
    <m/>
    <m/>
    <n v="0"/>
    <m/>
    <n v="1500000"/>
    <n v="1500000"/>
    <n v="0"/>
    <n v="2350270"/>
    <n v="2021"/>
    <m/>
    <m/>
    <m/>
    <m/>
    <m/>
    <m/>
    <m/>
    <m/>
    <m/>
    <m/>
    <m/>
    <m/>
    <m/>
    <m/>
    <n v="0"/>
    <m/>
    <m/>
    <m/>
    <m/>
    <m/>
    <n v="0"/>
    <m/>
    <m/>
    <n v="0"/>
    <m/>
    <m/>
    <m/>
    <m/>
    <m/>
    <n v="0"/>
    <m/>
    <m/>
    <m/>
    <m/>
    <m/>
    <n v="0"/>
    <m/>
    <m/>
    <m/>
    <m/>
    <m/>
    <n v="0"/>
    <m/>
    <m/>
    <m/>
    <m/>
    <n v="1"/>
    <n v="1500000"/>
    <m/>
    <m/>
    <m/>
    <m/>
    <m/>
    <n v="0"/>
    <m/>
    <m/>
    <m/>
    <m/>
    <m/>
    <n v="0"/>
    <m/>
    <m/>
    <m/>
    <m/>
    <m/>
    <n v="0"/>
    <m/>
    <m/>
    <m/>
    <m/>
    <n v="1"/>
    <n v="1500000"/>
  </r>
  <r>
    <m/>
    <s v="M"/>
    <s v="M"/>
    <s v="MN"/>
    <n v="999"/>
    <s v="MN999"/>
    <m/>
    <x v="7"/>
    <m/>
    <m/>
    <m/>
    <m/>
    <s v="BICYCLE INFRASTRUCTURE SETASIDE"/>
    <m/>
    <m/>
    <m/>
    <m/>
    <m/>
    <m/>
    <s v=""/>
    <m/>
    <m/>
    <m/>
    <m/>
    <s v=""/>
    <m/>
    <m/>
    <m/>
    <n v="1500000"/>
    <m/>
    <m/>
    <m/>
    <m/>
    <n v="0"/>
    <m/>
    <m/>
    <m/>
    <n v="0"/>
    <m/>
    <m/>
    <m/>
    <n v="0"/>
    <m/>
    <m/>
    <m/>
    <m/>
    <n v="0"/>
    <m/>
    <n v="1500000"/>
    <n v="1500000"/>
    <n v="0"/>
    <n v="2350270"/>
    <n v="2022"/>
    <m/>
    <m/>
    <m/>
    <m/>
    <m/>
    <m/>
    <m/>
    <m/>
    <m/>
    <m/>
    <m/>
    <m/>
    <m/>
    <m/>
    <n v="0"/>
    <m/>
    <m/>
    <m/>
    <m/>
    <m/>
    <n v="0"/>
    <m/>
    <m/>
    <n v="0"/>
    <m/>
    <m/>
    <m/>
    <m/>
    <m/>
    <n v="0"/>
    <m/>
    <m/>
    <m/>
    <m/>
    <m/>
    <n v="0"/>
    <m/>
    <m/>
    <m/>
    <m/>
    <m/>
    <n v="0"/>
    <m/>
    <m/>
    <m/>
    <m/>
    <n v="1"/>
    <n v="1500000"/>
    <m/>
    <m/>
    <m/>
    <m/>
    <m/>
    <n v="0"/>
    <m/>
    <m/>
    <m/>
    <m/>
    <m/>
    <n v="0"/>
    <m/>
    <m/>
    <m/>
    <m/>
    <m/>
    <n v="0"/>
    <m/>
    <m/>
    <m/>
    <m/>
    <n v="1"/>
    <n v="1500000"/>
  </r>
  <r>
    <m/>
    <s v="M"/>
    <s v="M"/>
    <s v="MN"/>
    <n v="999"/>
    <s v="MN999"/>
    <m/>
    <x v="8"/>
    <m/>
    <m/>
    <m/>
    <m/>
    <s v="BICYCLE INFRASTRUCTURE SETASIDE"/>
    <m/>
    <m/>
    <m/>
    <m/>
    <m/>
    <m/>
    <s v=""/>
    <m/>
    <m/>
    <m/>
    <m/>
    <s v=""/>
    <m/>
    <m/>
    <m/>
    <n v="1500000"/>
    <m/>
    <m/>
    <m/>
    <m/>
    <n v="0"/>
    <m/>
    <m/>
    <m/>
    <n v="0"/>
    <m/>
    <m/>
    <m/>
    <n v="0"/>
    <m/>
    <m/>
    <m/>
    <m/>
    <n v="0"/>
    <m/>
    <n v="1500000"/>
    <n v="1500000"/>
    <n v="0"/>
    <n v="2350270"/>
    <n v="2023"/>
    <m/>
    <m/>
    <m/>
    <m/>
    <m/>
    <m/>
    <m/>
    <m/>
    <m/>
    <m/>
    <m/>
    <m/>
    <m/>
    <m/>
    <n v="0"/>
    <m/>
    <m/>
    <m/>
    <m/>
    <m/>
    <n v="0"/>
    <m/>
    <m/>
    <n v="0"/>
    <m/>
    <m/>
    <m/>
    <m/>
    <m/>
    <n v="0"/>
    <m/>
    <m/>
    <m/>
    <m/>
    <m/>
    <n v="0"/>
    <m/>
    <m/>
    <m/>
    <m/>
    <m/>
    <n v="0"/>
    <m/>
    <m/>
    <m/>
    <m/>
    <n v="1"/>
    <n v="1500000"/>
    <m/>
    <m/>
    <m/>
    <m/>
    <m/>
    <n v="0"/>
    <m/>
    <m/>
    <m/>
    <m/>
    <m/>
    <n v="0"/>
    <m/>
    <m/>
    <m/>
    <m/>
    <m/>
    <n v="0"/>
    <m/>
    <m/>
    <m/>
    <m/>
    <n v="1"/>
    <n v="1500000"/>
  </r>
  <r>
    <m/>
    <s v="M"/>
    <s v="M"/>
    <s v="MN"/>
    <n v="65"/>
    <s v="MN 65"/>
    <s v="0207-100"/>
    <x v="0"/>
    <m/>
    <s v="S"/>
    <s v="MNDOT"/>
    <n v="7"/>
    <s v="**ADA**AB**FROM S OF INTERSECTION OF 53RD AVE NE IN FRIDLEY TO BRIDGE UNDER ANOKA CSAH 10 IN SPRING LAKE PARK-MILL AND OVERLAY FOR SOUTHERN 1 MILE, ALT BID FOR NORTHERN 3 MILES, DRAINAGE, GUARDRAIL, ADA PED RAMPS &amp; WALK SIGNAL STRIPING AND BUS STOP IMPROVEMENTS"/>
    <m/>
    <m/>
    <m/>
    <m/>
    <m/>
    <m/>
    <m/>
    <m/>
    <m/>
    <m/>
    <m/>
    <m/>
    <m/>
    <m/>
    <m/>
    <n v="9330000"/>
    <m/>
    <m/>
    <m/>
    <m/>
    <m/>
    <m/>
    <m/>
    <m/>
    <m/>
    <m/>
    <m/>
    <m/>
    <m/>
    <m/>
    <m/>
    <m/>
    <m/>
    <m/>
    <m/>
    <n v="0"/>
    <m/>
    <m/>
    <m/>
    <m/>
    <m/>
    <m/>
    <m/>
    <m/>
    <m/>
    <m/>
    <m/>
    <m/>
    <m/>
    <m/>
    <m/>
    <m/>
    <m/>
    <n v="0.80682993452961405"/>
    <n v="7527723.2891612994"/>
    <m/>
    <m/>
    <m/>
    <m/>
    <m/>
    <n v="0"/>
    <m/>
    <n v="9.5748513067964378E-2"/>
    <n v="893333.62692410767"/>
    <s v="Drainage and culverts"/>
    <m/>
    <m/>
    <m/>
    <m/>
    <n v="0"/>
    <m/>
    <n v="1"/>
    <m/>
    <m/>
    <m/>
    <n v="0"/>
    <m/>
    <m/>
    <m/>
    <m/>
    <m/>
    <n v="0"/>
    <m/>
    <m/>
    <m/>
    <m/>
    <m/>
    <n v="0"/>
    <m/>
    <m/>
    <m/>
    <m/>
    <n v="9.5752044718833501E-2"/>
    <n v="893366.57722671656"/>
    <m/>
    <m/>
    <m/>
    <m/>
    <m/>
    <n v="0"/>
    <m/>
    <m/>
    <m/>
    <m/>
    <n v="1.6695076835880546E-3"/>
    <n v="15576.50668787655"/>
    <s v="Right of way"/>
    <m/>
    <m/>
    <m/>
    <n v="1"/>
    <n v="9330000"/>
  </r>
  <r>
    <n v="81"/>
    <s v="M"/>
    <s v="M"/>
    <s v="MN"/>
    <n v="65"/>
    <s v="MN 65"/>
    <s v="0207-99"/>
    <x v="1"/>
    <m/>
    <s v="S"/>
    <s v="MNDOT"/>
    <n v="7"/>
    <s v="AT 41ST AVE NE IN COLUMBIA HEIGHTS - REPLACE TRAFFIC SIGNAL AND ADA IMPROVEMENTS"/>
    <m/>
    <m/>
    <m/>
    <m/>
    <m/>
    <m/>
    <m/>
    <m/>
    <m/>
    <m/>
    <m/>
    <m/>
    <m/>
    <m/>
    <m/>
    <n v="280000"/>
    <m/>
    <m/>
    <m/>
    <m/>
    <m/>
    <m/>
    <m/>
    <m/>
    <m/>
    <m/>
    <m/>
    <m/>
    <m/>
    <m/>
    <m/>
    <m/>
    <m/>
    <m/>
    <m/>
    <n v="140000"/>
    <m/>
    <m/>
    <m/>
    <m/>
    <m/>
    <m/>
    <m/>
    <m/>
    <m/>
    <m/>
    <m/>
    <m/>
    <m/>
    <m/>
    <m/>
    <m/>
    <m/>
    <m/>
    <n v="0"/>
    <m/>
    <m/>
    <m/>
    <m/>
    <m/>
    <n v="0"/>
    <m/>
    <m/>
    <n v="0"/>
    <m/>
    <m/>
    <m/>
    <m/>
    <m/>
    <n v="0"/>
    <m/>
    <n v="1"/>
    <m/>
    <m/>
    <m/>
    <n v="0"/>
    <m/>
    <m/>
    <m/>
    <m/>
    <m/>
    <n v="0"/>
    <m/>
    <m/>
    <m/>
    <m/>
    <m/>
    <n v="0"/>
    <m/>
    <m/>
    <m/>
    <m/>
    <n v="1"/>
    <n v="140000"/>
    <m/>
    <m/>
    <m/>
    <m/>
    <m/>
    <n v="0"/>
    <m/>
    <m/>
    <m/>
    <m/>
    <m/>
    <n v="0"/>
    <m/>
    <m/>
    <m/>
    <m/>
    <n v="1"/>
    <n v="140000"/>
  </r>
  <r>
    <m/>
    <s v="M"/>
    <s v="M"/>
    <s v="MN"/>
    <n v="65"/>
    <s v="MN 65"/>
    <s v="0208-136"/>
    <x v="0"/>
    <m/>
    <s v="S"/>
    <s v="MNDOT"/>
    <n v="7"/>
    <s v="AT VIKING BLVD IN EAST BETHEL-EXTEND NB &amp; SB LEFT TURN LANES, REPLACE CULVERT, ADA"/>
    <m/>
    <m/>
    <m/>
    <m/>
    <m/>
    <m/>
    <m/>
    <m/>
    <m/>
    <m/>
    <m/>
    <m/>
    <m/>
    <m/>
    <m/>
    <n v="240000"/>
    <m/>
    <m/>
    <m/>
    <m/>
    <m/>
    <m/>
    <m/>
    <m/>
    <m/>
    <m/>
    <m/>
    <m/>
    <m/>
    <m/>
    <m/>
    <m/>
    <m/>
    <m/>
    <m/>
    <n v="0"/>
    <m/>
    <m/>
    <m/>
    <m/>
    <m/>
    <m/>
    <m/>
    <m/>
    <m/>
    <m/>
    <m/>
    <m/>
    <m/>
    <m/>
    <m/>
    <m/>
    <m/>
    <m/>
    <n v="0"/>
    <m/>
    <m/>
    <m/>
    <m/>
    <m/>
    <n v="0"/>
    <m/>
    <n v="0.63248434517070973"/>
    <n v="151796.24284097034"/>
    <s v="Drainage and culverts"/>
    <m/>
    <m/>
    <m/>
    <m/>
    <n v="0"/>
    <m/>
    <n v="1"/>
    <m/>
    <m/>
    <m/>
    <n v="0"/>
    <m/>
    <m/>
    <m/>
    <m/>
    <n v="0.30830092362448464"/>
    <n v="73992.221669876308"/>
    <m/>
    <m/>
    <m/>
    <m/>
    <m/>
    <n v="0"/>
    <m/>
    <m/>
    <m/>
    <m/>
    <n v="5.9214731204805686E-2"/>
    <n v="14211.535489153364"/>
    <m/>
    <m/>
    <m/>
    <m/>
    <m/>
    <n v="0"/>
    <m/>
    <m/>
    <m/>
    <m/>
    <m/>
    <n v="0"/>
    <m/>
    <m/>
    <m/>
    <m/>
    <n v="1"/>
    <n v="240000"/>
  </r>
  <r>
    <m/>
    <s v="M"/>
    <s v="M"/>
    <s v="US"/>
    <n v="999"/>
    <s v="US999"/>
    <m/>
    <x v="6"/>
    <m/>
    <m/>
    <m/>
    <m/>
    <s v="NHS PAVEMENTS SETASIDE"/>
    <m/>
    <m/>
    <m/>
    <m/>
    <m/>
    <m/>
    <s v=""/>
    <m/>
    <m/>
    <m/>
    <m/>
    <s v=""/>
    <m/>
    <m/>
    <m/>
    <n v="48800000"/>
    <m/>
    <m/>
    <m/>
    <m/>
    <n v="0"/>
    <m/>
    <m/>
    <m/>
    <n v="0"/>
    <m/>
    <m/>
    <m/>
    <n v="0"/>
    <m/>
    <m/>
    <m/>
    <m/>
    <n v="0"/>
    <m/>
    <n v="48800000"/>
    <n v="48800000"/>
    <n v="0"/>
    <n v="2350270"/>
    <n v="2021"/>
    <m/>
    <m/>
    <m/>
    <m/>
    <m/>
    <m/>
    <m/>
    <m/>
    <m/>
    <m/>
    <m/>
    <m/>
    <m/>
    <n v="0.82099999999999995"/>
    <n v="40064800"/>
    <m/>
    <m/>
    <m/>
    <m/>
    <m/>
    <n v="0"/>
    <m/>
    <n v="0.115"/>
    <n v="5612000"/>
    <m/>
    <m/>
    <m/>
    <m/>
    <n v="3.2000000000000001E-2"/>
    <n v="1561600"/>
    <m/>
    <m/>
    <m/>
    <m/>
    <m/>
    <n v="0"/>
    <m/>
    <m/>
    <m/>
    <m/>
    <m/>
    <n v="0"/>
    <m/>
    <m/>
    <m/>
    <m/>
    <n v="2.3E-2"/>
    <n v="1122400"/>
    <m/>
    <m/>
    <m/>
    <m/>
    <n v="8.9999999999999993E-3"/>
    <n v="439199.99999999994"/>
    <m/>
    <m/>
    <m/>
    <m/>
    <m/>
    <n v="0"/>
    <m/>
    <m/>
    <m/>
    <m/>
    <m/>
    <n v="0"/>
    <m/>
    <m/>
    <m/>
    <m/>
    <n v="1"/>
    <n v="48800000"/>
  </r>
  <r>
    <m/>
    <s v="M"/>
    <s v="M"/>
    <s v="US"/>
    <n v="999"/>
    <s v="US999"/>
    <m/>
    <x v="7"/>
    <m/>
    <m/>
    <m/>
    <m/>
    <s v="NHS PAVEMENTS SETASIDE"/>
    <m/>
    <m/>
    <m/>
    <m/>
    <m/>
    <m/>
    <s v=""/>
    <m/>
    <m/>
    <m/>
    <m/>
    <s v=""/>
    <m/>
    <m/>
    <m/>
    <n v="48800000"/>
    <m/>
    <m/>
    <m/>
    <m/>
    <n v="0"/>
    <m/>
    <m/>
    <m/>
    <n v="0"/>
    <m/>
    <m/>
    <m/>
    <n v="0"/>
    <m/>
    <m/>
    <m/>
    <m/>
    <n v="0"/>
    <m/>
    <n v="48800000"/>
    <n v="48800000"/>
    <n v="0"/>
    <n v="2350270"/>
    <n v="2022"/>
    <m/>
    <m/>
    <m/>
    <m/>
    <m/>
    <m/>
    <m/>
    <m/>
    <m/>
    <m/>
    <m/>
    <m/>
    <m/>
    <n v="0.82099999999999995"/>
    <n v="40064800"/>
    <m/>
    <m/>
    <m/>
    <m/>
    <m/>
    <n v="0"/>
    <m/>
    <n v="0.115"/>
    <n v="5612000"/>
    <m/>
    <m/>
    <m/>
    <m/>
    <n v="3.2000000000000001E-2"/>
    <n v="1561600"/>
    <m/>
    <m/>
    <m/>
    <m/>
    <m/>
    <n v="0"/>
    <m/>
    <m/>
    <m/>
    <m/>
    <m/>
    <n v="0"/>
    <m/>
    <m/>
    <m/>
    <m/>
    <n v="2.3E-2"/>
    <n v="1122400"/>
    <m/>
    <m/>
    <m/>
    <m/>
    <n v="8.9999999999999993E-3"/>
    <n v="439199.99999999994"/>
    <m/>
    <m/>
    <m/>
    <m/>
    <m/>
    <n v="0"/>
    <m/>
    <m/>
    <m/>
    <m/>
    <m/>
    <n v="0"/>
    <m/>
    <m/>
    <m/>
    <m/>
    <n v="1"/>
    <n v="48800000"/>
  </r>
  <r>
    <m/>
    <s v="M"/>
    <s v="M"/>
    <s v="US"/>
    <n v="999"/>
    <s v="US999"/>
    <m/>
    <x v="8"/>
    <m/>
    <m/>
    <m/>
    <m/>
    <s v="NHS PAVEMENTS SETASIDE"/>
    <m/>
    <m/>
    <m/>
    <m/>
    <m/>
    <m/>
    <s v=""/>
    <m/>
    <m/>
    <m/>
    <m/>
    <s v=""/>
    <m/>
    <m/>
    <m/>
    <n v="48800000"/>
    <m/>
    <m/>
    <m/>
    <m/>
    <n v="0"/>
    <m/>
    <m/>
    <m/>
    <n v="0"/>
    <m/>
    <m/>
    <m/>
    <n v="0"/>
    <m/>
    <m/>
    <m/>
    <m/>
    <n v="0"/>
    <m/>
    <n v="48800000"/>
    <n v="48800000"/>
    <n v="0"/>
    <n v="2350270"/>
    <n v="2023"/>
    <m/>
    <m/>
    <m/>
    <m/>
    <m/>
    <m/>
    <m/>
    <m/>
    <m/>
    <m/>
    <m/>
    <m/>
    <m/>
    <n v="0.82099999999999995"/>
    <n v="40064800"/>
    <m/>
    <m/>
    <m/>
    <m/>
    <m/>
    <n v="0"/>
    <m/>
    <n v="0.115"/>
    <n v="5612000"/>
    <m/>
    <m/>
    <m/>
    <m/>
    <n v="3.2000000000000001E-2"/>
    <n v="1561600"/>
    <m/>
    <m/>
    <m/>
    <m/>
    <m/>
    <n v="0"/>
    <m/>
    <m/>
    <m/>
    <m/>
    <m/>
    <n v="0"/>
    <m/>
    <m/>
    <m/>
    <m/>
    <n v="2.3E-2"/>
    <n v="1122400"/>
    <m/>
    <m/>
    <m/>
    <m/>
    <n v="8.9999999999999993E-3"/>
    <n v="439199.99999999994"/>
    <m/>
    <m/>
    <m/>
    <m/>
    <m/>
    <n v="0"/>
    <m/>
    <m/>
    <m/>
    <m/>
    <m/>
    <n v="0"/>
    <m/>
    <m/>
    <m/>
    <m/>
    <n v="1"/>
    <n v="48800000"/>
  </r>
  <r>
    <m/>
    <s v="M"/>
    <s v="M"/>
    <s v="MN"/>
    <n v="65"/>
    <s v="MN 65"/>
    <s v="0208-142"/>
    <x v="1"/>
    <m/>
    <s v="S"/>
    <s v="MNDOT"/>
    <n v="7"/>
    <s v="FROM 133RD AVE IN BLAINE TO BUNKER LAKE BLVD IN HAM LAKE-FRONTAGE ROAD AND CLOSE ACCESSES"/>
    <m/>
    <m/>
    <m/>
    <m/>
    <m/>
    <m/>
    <m/>
    <m/>
    <m/>
    <m/>
    <m/>
    <m/>
    <m/>
    <m/>
    <m/>
    <n v="250000"/>
    <m/>
    <m/>
    <m/>
    <m/>
    <m/>
    <m/>
    <m/>
    <m/>
    <m/>
    <m/>
    <m/>
    <m/>
    <m/>
    <m/>
    <m/>
    <m/>
    <m/>
    <m/>
    <m/>
    <n v="0"/>
    <m/>
    <m/>
    <m/>
    <m/>
    <m/>
    <m/>
    <m/>
    <m/>
    <m/>
    <m/>
    <m/>
    <m/>
    <m/>
    <m/>
    <m/>
    <m/>
    <m/>
    <m/>
    <n v="0"/>
    <m/>
    <m/>
    <m/>
    <m/>
    <m/>
    <n v="0"/>
    <m/>
    <m/>
    <n v="0"/>
    <m/>
    <m/>
    <m/>
    <m/>
    <m/>
    <n v="0"/>
    <m/>
    <n v="1"/>
    <m/>
    <m/>
    <m/>
    <n v="0"/>
    <m/>
    <m/>
    <m/>
    <m/>
    <n v="1"/>
    <n v="250000"/>
    <m/>
    <m/>
    <m/>
    <m/>
    <m/>
    <n v="0"/>
    <m/>
    <m/>
    <m/>
    <m/>
    <m/>
    <n v="0"/>
    <m/>
    <m/>
    <m/>
    <m/>
    <m/>
    <n v="0"/>
    <m/>
    <m/>
    <m/>
    <m/>
    <m/>
    <n v="0"/>
    <m/>
    <m/>
    <m/>
    <m/>
    <n v="1"/>
    <n v="250000"/>
  </r>
  <r>
    <m/>
    <s v="M"/>
    <s v="M"/>
    <s v="MN"/>
    <n v="65"/>
    <s v="MN 65"/>
    <s v="0208-143"/>
    <x v="1"/>
    <m/>
    <s v="S"/>
    <s v="MNDOT"/>
    <n v="7"/>
    <s v="FROM 140TH AVE TO 145TH AVE IN HAM LAKE-FRONTAGE ROAD AND CLOSE ACCESSES"/>
    <m/>
    <m/>
    <m/>
    <m/>
    <m/>
    <m/>
    <m/>
    <m/>
    <m/>
    <m/>
    <m/>
    <m/>
    <m/>
    <m/>
    <m/>
    <n v="250000"/>
    <m/>
    <m/>
    <m/>
    <m/>
    <m/>
    <m/>
    <m/>
    <m/>
    <m/>
    <m/>
    <m/>
    <m/>
    <m/>
    <m/>
    <m/>
    <m/>
    <m/>
    <m/>
    <m/>
    <n v="0"/>
    <m/>
    <m/>
    <m/>
    <m/>
    <m/>
    <m/>
    <m/>
    <m/>
    <m/>
    <m/>
    <m/>
    <m/>
    <m/>
    <m/>
    <m/>
    <m/>
    <m/>
    <m/>
    <n v="0"/>
    <m/>
    <m/>
    <m/>
    <m/>
    <m/>
    <n v="0"/>
    <m/>
    <m/>
    <n v="0"/>
    <m/>
    <m/>
    <m/>
    <m/>
    <n v="0.7056"/>
    <n v="176400"/>
    <s v="Sustained crash locations"/>
    <n v="1"/>
    <m/>
    <m/>
    <m/>
    <n v="0"/>
    <m/>
    <m/>
    <m/>
    <m/>
    <n v="0.2944"/>
    <n v="73600"/>
    <m/>
    <m/>
    <m/>
    <m/>
    <m/>
    <n v="0"/>
    <m/>
    <m/>
    <m/>
    <m/>
    <m/>
    <n v="0"/>
    <m/>
    <m/>
    <m/>
    <m/>
    <m/>
    <n v="0"/>
    <m/>
    <m/>
    <m/>
    <m/>
    <m/>
    <n v="0"/>
    <m/>
    <m/>
    <m/>
    <m/>
    <n v="1"/>
    <n v="250000"/>
  </r>
  <r>
    <m/>
    <n v="3"/>
    <n v="3"/>
    <s v="MN"/>
    <n v="999"/>
    <s v="MN999"/>
    <m/>
    <x v="6"/>
    <m/>
    <m/>
    <m/>
    <m/>
    <s v="NON-NHS PAVEMENTS SETASIDE"/>
    <m/>
    <m/>
    <m/>
    <m/>
    <m/>
    <m/>
    <s v=""/>
    <m/>
    <m/>
    <m/>
    <m/>
    <s v=""/>
    <m/>
    <m/>
    <m/>
    <n v="19840000"/>
    <m/>
    <m/>
    <m/>
    <m/>
    <n v="0"/>
    <m/>
    <m/>
    <m/>
    <n v="0"/>
    <m/>
    <m/>
    <m/>
    <n v="0"/>
    <m/>
    <m/>
    <m/>
    <m/>
    <n v="0"/>
    <m/>
    <n v="19840000"/>
    <n v="19840000"/>
    <n v="0"/>
    <n v="2350270"/>
    <n v="2021"/>
    <m/>
    <m/>
    <m/>
    <m/>
    <m/>
    <m/>
    <m/>
    <m/>
    <m/>
    <m/>
    <m/>
    <m/>
    <m/>
    <n v="0.82099999999999995"/>
    <n v="16288639.999999998"/>
    <m/>
    <m/>
    <m/>
    <m/>
    <m/>
    <n v="0"/>
    <m/>
    <n v="8.3000000000000004E-2"/>
    <n v="1646720"/>
    <m/>
    <m/>
    <m/>
    <m/>
    <m/>
    <n v="0"/>
    <m/>
    <m/>
    <m/>
    <m/>
    <m/>
    <n v="0"/>
    <m/>
    <m/>
    <m/>
    <m/>
    <m/>
    <n v="0"/>
    <m/>
    <m/>
    <m/>
    <m/>
    <n v="4.8000000000000001E-2"/>
    <n v="952320"/>
    <m/>
    <m/>
    <m/>
    <m/>
    <n v="4.8000000000000001E-2"/>
    <n v="952320"/>
    <m/>
    <m/>
    <m/>
    <m/>
    <m/>
    <n v="0"/>
    <m/>
    <m/>
    <m/>
    <m/>
    <m/>
    <n v="0"/>
    <m/>
    <m/>
    <m/>
    <m/>
    <n v="1"/>
    <n v="19840000"/>
  </r>
  <r>
    <m/>
    <n v="3"/>
    <n v="3"/>
    <s v="MN"/>
    <n v="999"/>
    <s v="MN999"/>
    <m/>
    <x v="7"/>
    <m/>
    <m/>
    <m/>
    <m/>
    <s v="NON-NHS PAVEMENTS SETASIDE"/>
    <m/>
    <m/>
    <m/>
    <m/>
    <m/>
    <m/>
    <s v=""/>
    <m/>
    <m/>
    <m/>
    <m/>
    <s v=""/>
    <m/>
    <m/>
    <m/>
    <n v="19840000"/>
    <m/>
    <m/>
    <m/>
    <m/>
    <n v="0"/>
    <m/>
    <m/>
    <m/>
    <n v="0"/>
    <m/>
    <m/>
    <m/>
    <n v="0"/>
    <m/>
    <m/>
    <m/>
    <m/>
    <n v="0"/>
    <m/>
    <n v="19840000"/>
    <n v="19840000"/>
    <n v="0"/>
    <n v="2350270"/>
    <n v="2022"/>
    <m/>
    <m/>
    <m/>
    <m/>
    <m/>
    <m/>
    <m/>
    <m/>
    <m/>
    <m/>
    <m/>
    <m/>
    <m/>
    <n v="0.82099999999999995"/>
    <n v="16288639.999999998"/>
    <m/>
    <m/>
    <m/>
    <m/>
    <m/>
    <n v="0"/>
    <m/>
    <n v="8.3000000000000004E-2"/>
    <n v="1646720"/>
    <m/>
    <m/>
    <m/>
    <m/>
    <m/>
    <n v="0"/>
    <m/>
    <m/>
    <m/>
    <m/>
    <m/>
    <n v="0"/>
    <m/>
    <m/>
    <m/>
    <m/>
    <m/>
    <n v="0"/>
    <m/>
    <m/>
    <m/>
    <m/>
    <n v="4.8000000000000001E-2"/>
    <n v="952320"/>
    <m/>
    <m/>
    <m/>
    <m/>
    <n v="4.8000000000000001E-2"/>
    <n v="952320"/>
    <m/>
    <m/>
    <m/>
    <m/>
    <m/>
    <n v="0"/>
    <m/>
    <m/>
    <m/>
    <m/>
    <m/>
    <n v="0"/>
    <m/>
    <m/>
    <m/>
    <m/>
    <n v="1"/>
    <n v="19840000"/>
  </r>
  <r>
    <m/>
    <n v="3"/>
    <n v="3"/>
    <s v="MN"/>
    <n v="999"/>
    <s v="MN999"/>
    <m/>
    <x v="8"/>
    <m/>
    <m/>
    <m/>
    <m/>
    <s v="NON-NHS PAVEMENTS SETASIDE"/>
    <m/>
    <m/>
    <m/>
    <m/>
    <m/>
    <m/>
    <s v=""/>
    <m/>
    <m/>
    <m/>
    <m/>
    <s v=""/>
    <m/>
    <m/>
    <m/>
    <n v="19840000"/>
    <m/>
    <m/>
    <m/>
    <m/>
    <n v="0"/>
    <m/>
    <m/>
    <m/>
    <n v="0"/>
    <m/>
    <m/>
    <m/>
    <n v="0"/>
    <m/>
    <m/>
    <m/>
    <m/>
    <n v="0"/>
    <m/>
    <n v="19840000"/>
    <n v="19840000"/>
    <n v="0"/>
    <n v="2350270"/>
    <n v="2023"/>
    <m/>
    <m/>
    <m/>
    <m/>
    <m/>
    <m/>
    <m/>
    <m/>
    <m/>
    <m/>
    <m/>
    <m/>
    <m/>
    <n v="0.82099999999999995"/>
    <n v="16288639.999999998"/>
    <m/>
    <m/>
    <m/>
    <m/>
    <m/>
    <n v="0"/>
    <m/>
    <n v="8.3000000000000004E-2"/>
    <n v="1646720"/>
    <m/>
    <m/>
    <m/>
    <m/>
    <m/>
    <n v="0"/>
    <m/>
    <m/>
    <m/>
    <m/>
    <m/>
    <n v="0"/>
    <m/>
    <m/>
    <m/>
    <m/>
    <m/>
    <n v="0"/>
    <m/>
    <m/>
    <m/>
    <m/>
    <n v="4.8000000000000001E-2"/>
    <n v="952320"/>
    <m/>
    <m/>
    <m/>
    <m/>
    <n v="4.8000000000000001E-2"/>
    <n v="952320"/>
    <m/>
    <m/>
    <m/>
    <m/>
    <m/>
    <n v="0"/>
    <m/>
    <m/>
    <m/>
    <m/>
    <m/>
    <n v="0"/>
    <m/>
    <m/>
    <m/>
    <m/>
    <n v="1"/>
    <n v="19840000"/>
  </r>
  <r>
    <s v="contingency"/>
    <n v="4"/>
    <n v="4"/>
    <s v="MN"/>
    <n v="999"/>
    <s v="MN999"/>
    <m/>
    <x v="8"/>
    <m/>
    <m/>
    <m/>
    <m/>
    <s v="District 4 setaside"/>
    <m/>
    <m/>
    <m/>
    <m/>
    <m/>
    <m/>
    <s v=""/>
    <m/>
    <m/>
    <m/>
    <m/>
    <m/>
    <m/>
    <m/>
    <m/>
    <n v="18357444"/>
    <m/>
    <m/>
    <m/>
    <m/>
    <n v="0"/>
    <m/>
    <m/>
    <m/>
    <n v="0"/>
    <m/>
    <m/>
    <m/>
    <n v="0"/>
    <m/>
    <m/>
    <m/>
    <m/>
    <m/>
    <m/>
    <n v="18357444"/>
    <n v="18357444"/>
    <n v="0"/>
    <n v="2350270"/>
    <n v="2023"/>
    <m/>
    <m/>
    <m/>
    <m/>
    <m/>
    <m/>
    <m/>
    <m/>
    <m/>
    <m/>
    <m/>
    <m/>
    <m/>
    <n v="0.6"/>
    <n v="11014466.4"/>
    <m/>
    <m/>
    <m/>
    <m/>
    <m/>
    <n v="0"/>
    <m/>
    <n v="0.06"/>
    <n v="1101446.6399999999"/>
    <m/>
    <m/>
    <m/>
    <m/>
    <n v="0.05"/>
    <n v="917872.20000000007"/>
    <s v="Lower cost high benefit"/>
    <m/>
    <m/>
    <m/>
    <m/>
    <n v="0"/>
    <m/>
    <m/>
    <m/>
    <m/>
    <m/>
    <n v="0"/>
    <m/>
    <m/>
    <m/>
    <m/>
    <n v="4.3999999999999997E-2"/>
    <n v="807727.53599999996"/>
    <m/>
    <m/>
    <m/>
    <m/>
    <n v="0.06"/>
    <n v="1101446.6399999999"/>
    <m/>
    <m/>
    <m/>
    <m/>
    <n v="1.0999999999999999E-2"/>
    <n v="201931.88399999999"/>
    <m/>
    <m/>
    <m/>
    <m/>
    <n v="0.17499999999999999"/>
    <n v="3212552.6999999997"/>
    <m/>
    <m/>
    <m/>
    <m/>
    <n v="1"/>
    <n v="18357444"/>
  </r>
  <r>
    <m/>
    <s v="M"/>
    <s v="M"/>
    <s v="MN"/>
    <n v="999"/>
    <s v="MN999"/>
    <m/>
    <x v="3"/>
    <m/>
    <m/>
    <m/>
    <m/>
    <s v="NHS BRIDGE SETASIDE"/>
    <m/>
    <m/>
    <m/>
    <m/>
    <m/>
    <m/>
    <s v=""/>
    <m/>
    <m/>
    <m/>
    <m/>
    <s v=""/>
    <m/>
    <m/>
    <m/>
    <n v="23000000"/>
    <m/>
    <m/>
    <m/>
    <m/>
    <n v="0"/>
    <m/>
    <m/>
    <m/>
    <n v="0"/>
    <m/>
    <m/>
    <m/>
    <n v="0"/>
    <m/>
    <m/>
    <m/>
    <m/>
    <n v="0"/>
    <m/>
    <n v="23000000"/>
    <n v="23000000"/>
    <n v="0"/>
    <n v="2350270"/>
    <n v="2018"/>
    <m/>
    <m/>
    <m/>
    <m/>
    <m/>
    <m/>
    <m/>
    <m/>
    <m/>
    <m/>
    <m/>
    <m/>
    <m/>
    <m/>
    <n v="0"/>
    <m/>
    <m/>
    <m/>
    <m/>
    <n v="0.92900000000000005"/>
    <n v="21367000"/>
    <m/>
    <m/>
    <n v="0"/>
    <m/>
    <m/>
    <m/>
    <m/>
    <m/>
    <n v="0"/>
    <m/>
    <m/>
    <m/>
    <m/>
    <m/>
    <n v="0"/>
    <m/>
    <m/>
    <m/>
    <m/>
    <m/>
    <n v="0"/>
    <m/>
    <m/>
    <m/>
    <m/>
    <n v="3.5000000000000003E-2"/>
    <n v="805000.00000000012"/>
    <m/>
    <m/>
    <m/>
    <m/>
    <n v="3.5999999999999997E-2"/>
    <n v="827999.99999999988"/>
    <m/>
    <m/>
    <m/>
    <m/>
    <m/>
    <n v="0"/>
    <m/>
    <m/>
    <m/>
    <m/>
    <m/>
    <n v="0"/>
    <m/>
    <m/>
    <m/>
    <m/>
    <n v="1"/>
    <n v="23000000"/>
  </r>
  <r>
    <n v="141"/>
    <s v="M"/>
    <s v="M"/>
    <s v="MN"/>
    <n v="999"/>
    <s v="MN999"/>
    <m/>
    <x v="4"/>
    <m/>
    <m/>
    <m/>
    <m/>
    <s v="NHS BRIDGE SETASIDE"/>
    <m/>
    <m/>
    <m/>
    <m/>
    <m/>
    <m/>
    <s v=""/>
    <m/>
    <m/>
    <m/>
    <m/>
    <s v=""/>
    <m/>
    <m/>
    <m/>
    <n v="23000000"/>
    <m/>
    <m/>
    <m/>
    <m/>
    <n v="0"/>
    <m/>
    <m/>
    <m/>
    <n v="0"/>
    <m/>
    <m/>
    <m/>
    <n v="0"/>
    <m/>
    <m/>
    <m/>
    <m/>
    <n v="0"/>
    <m/>
    <n v="23000000"/>
    <n v="23000000"/>
    <n v="0"/>
    <n v="2350270"/>
    <n v="2019"/>
    <m/>
    <m/>
    <m/>
    <m/>
    <m/>
    <m/>
    <m/>
    <m/>
    <m/>
    <m/>
    <m/>
    <m/>
    <m/>
    <m/>
    <n v="0"/>
    <m/>
    <m/>
    <m/>
    <m/>
    <n v="0.92900000000000005"/>
    <n v="21367000"/>
    <m/>
    <m/>
    <n v="0"/>
    <m/>
    <m/>
    <m/>
    <m/>
    <m/>
    <n v="0"/>
    <m/>
    <m/>
    <m/>
    <m/>
    <m/>
    <n v="0"/>
    <m/>
    <m/>
    <m/>
    <m/>
    <m/>
    <n v="0"/>
    <m/>
    <m/>
    <m/>
    <m/>
    <n v="3.5000000000000003E-2"/>
    <n v="805000.00000000012"/>
    <m/>
    <m/>
    <m/>
    <m/>
    <n v="3.5999999999999997E-2"/>
    <n v="827999.99999999988"/>
    <m/>
    <m/>
    <m/>
    <m/>
    <m/>
    <n v="0"/>
    <m/>
    <m/>
    <m/>
    <m/>
    <m/>
    <n v="0"/>
    <m/>
    <m/>
    <m/>
    <m/>
    <n v="1"/>
    <n v="23000000"/>
  </r>
  <r>
    <m/>
    <s v="M"/>
    <s v="M"/>
    <s v="MN"/>
    <n v="999"/>
    <s v="MN999"/>
    <m/>
    <x v="8"/>
    <m/>
    <m/>
    <m/>
    <m/>
    <s v="NHS BRIDGE SETASIDE"/>
    <m/>
    <m/>
    <m/>
    <m/>
    <m/>
    <m/>
    <s v=""/>
    <m/>
    <m/>
    <m/>
    <m/>
    <s v=""/>
    <m/>
    <m/>
    <m/>
    <n v="23000000"/>
    <m/>
    <m/>
    <m/>
    <m/>
    <n v="0"/>
    <m/>
    <m/>
    <m/>
    <n v="0"/>
    <m/>
    <m/>
    <m/>
    <n v="0"/>
    <m/>
    <m/>
    <m/>
    <m/>
    <n v="0"/>
    <m/>
    <n v="23000000"/>
    <n v="23000000"/>
    <n v="0"/>
    <n v="2350270"/>
    <n v="2023"/>
    <m/>
    <m/>
    <m/>
    <m/>
    <m/>
    <m/>
    <m/>
    <m/>
    <m/>
    <m/>
    <m/>
    <m/>
    <m/>
    <m/>
    <n v="0"/>
    <m/>
    <m/>
    <m/>
    <m/>
    <n v="0.92900000000000005"/>
    <n v="21367000"/>
    <m/>
    <m/>
    <n v="0"/>
    <m/>
    <m/>
    <m/>
    <m/>
    <m/>
    <n v="0"/>
    <m/>
    <m/>
    <m/>
    <m/>
    <m/>
    <n v="0"/>
    <m/>
    <m/>
    <m/>
    <m/>
    <m/>
    <n v="0"/>
    <m/>
    <m/>
    <m/>
    <m/>
    <n v="3.5000000000000003E-2"/>
    <n v="805000.00000000012"/>
    <m/>
    <m/>
    <m/>
    <m/>
    <n v="3.5999999999999997E-2"/>
    <n v="827999.99999999988"/>
    <m/>
    <m/>
    <m/>
    <m/>
    <m/>
    <n v="0"/>
    <m/>
    <m/>
    <m/>
    <m/>
    <m/>
    <n v="0"/>
    <m/>
    <m/>
    <m/>
    <m/>
    <n v="1"/>
    <n v="23000000"/>
  </r>
  <r>
    <m/>
    <s v="M"/>
    <s v="M"/>
    <s v="MN"/>
    <n v="999"/>
    <s v="MN999"/>
    <m/>
    <x v="3"/>
    <m/>
    <m/>
    <m/>
    <m/>
    <s v="NON-NHS BRIDGE SETASIDE"/>
    <m/>
    <m/>
    <m/>
    <m/>
    <m/>
    <m/>
    <s v=""/>
    <m/>
    <m/>
    <m/>
    <m/>
    <s v=""/>
    <m/>
    <m/>
    <m/>
    <n v="21800000"/>
    <m/>
    <m/>
    <m/>
    <m/>
    <n v="0"/>
    <m/>
    <m/>
    <m/>
    <n v="0"/>
    <m/>
    <m/>
    <m/>
    <n v="0"/>
    <m/>
    <m/>
    <m/>
    <m/>
    <n v="0"/>
    <m/>
    <n v="21800000"/>
    <n v="21800000"/>
    <n v="0"/>
    <n v="2350270"/>
    <n v="2018"/>
    <m/>
    <m/>
    <m/>
    <m/>
    <m/>
    <m/>
    <m/>
    <m/>
    <m/>
    <m/>
    <m/>
    <m/>
    <m/>
    <m/>
    <n v="0"/>
    <m/>
    <m/>
    <m/>
    <m/>
    <n v="0.92900000000000005"/>
    <n v="20252200"/>
    <m/>
    <m/>
    <n v="0"/>
    <m/>
    <m/>
    <m/>
    <m/>
    <m/>
    <n v="0"/>
    <m/>
    <m/>
    <m/>
    <m/>
    <m/>
    <n v="0"/>
    <m/>
    <m/>
    <m/>
    <m/>
    <m/>
    <n v="0"/>
    <m/>
    <m/>
    <m/>
    <m/>
    <n v="3.5000000000000003E-2"/>
    <n v="763000.00000000012"/>
    <m/>
    <m/>
    <m/>
    <m/>
    <n v="3.5999999999999997E-2"/>
    <n v="784799.99999999988"/>
    <m/>
    <m/>
    <m/>
    <m/>
    <m/>
    <n v="0"/>
    <m/>
    <m/>
    <m/>
    <m/>
    <m/>
    <n v="0"/>
    <m/>
    <m/>
    <m/>
    <m/>
    <n v="1"/>
    <n v="21800000"/>
  </r>
  <r>
    <m/>
    <s v="M"/>
    <s v="M"/>
    <s v="MN"/>
    <n v="610"/>
    <s v="MN 610"/>
    <s v="0217-23"/>
    <x v="9"/>
    <m/>
    <s v="S"/>
    <s v="MNDOT"/>
    <n v="7"/>
    <s v="FROM US169 IN BROOKLYN PARK TO US10 IN COON RAPIDS - INSTALL TRAFFIC MANAGEMENT SYSTEM"/>
    <m/>
    <m/>
    <m/>
    <m/>
    <m/>
    <m/>
    <m/>
    <m/>
    <m/>
    <m/>
    <m/>
    <m/>
    <m/>
    <m/>
    <m/>
    <n v="425000"/>
    <m/>
    <m/>
    <m/>
    <m/>
    <m/>
    <m/>
    <m/>
    <m/>
    <m/>
    <m/>
    <m/>
    <m/>
    <m/>
    <m/>
    <m/>
    <m/>
    <m/>
    <m/>
    <m/>
    <n v="0"/>
    <m/>
    <m/>
    <m/>
    <m/>
    <m/>
    <m/>
    <m/>
    <m/>
    <m/>
    <m/>
    <m/>
    <m/>
    <m/>
    <m/>
    <m/>
    <m/>
    <m/>
    <m/>
    <n v="0"/>
    <m/>
    <m/>
    <m/>
    <m/>
    <m/>
    <n v="0"/>
    <m/>
    <n v="1"/>
    <n v="425000"/>
    <s v="Other traffic devices"/>
    <m/>
    <m/>
    <m/>
    <m/>
    <n v="0"/>
    <m/>
    <n v="1"/>
    <m/>
    <m/>
    <m/>
    <n v="0"/>
    <m/>
    <m/>
    <m/>
    <m/>
    <m/>
    <n v="0"/>
    <m/>
    <m/>
    <m/>
    <m/>
    <m/>
    <n v="0"/>
    <m/>
    <m/>
    <m/>
    <m/>
    <m/>
    <n v="0"/>
    <m/>
    <m/>
    <m/>
    <m/>
    <m/>
    <n v="0"/>
    <m/>
    <m/>
    <m/>
    <m/>
    <m/>
    <n v="0"/>
    <m/>
    <m/>
    <m/>
    <m/>
    <n v="1"/>
    <n v="425000"/>
  </r>
  <r>
    <m/>
    <s v="M"/>
    <s v="M"/>
    <s v="MN"/>
    <n v="999"/>
    <s v="MN999"/>
    <m/>
    <x v="6"/>
    <m/>
    <m/>
    <m/>
    <m/>
    <s v="NON-NHS BRIDGE SETASIDE"/>
    <m/>
    <m/>
    <m/>
    <m/>
    <m/>
    <m/>
    <s v=""/>
    <m/>
    <m/>
    <m/>
    <m/>
    <s v=""/>
    <m/>
    <m/>
    <m/>
    <n v="21800000"/>
    <m/>
    <m/>
    <m/>
    <m/>
    <n v="0"/>
    <m/>
    <m/>
    <m/>
    <n v="0"/>
    <m/>
    <m/>
    <m/>
    <n v="0"/>
    <m/>
    <m/>
    <m/>
    <m/>
    <n v="0"/>
    <m/>
    <n v="21800000"/>
    <n v="21800000"/>
    <n v="0"/>
    <n v="2350270"/>
    <n v="2021"/>
    <m/>
    <m/>
    <m/>
    <m/>
    <m/>
    <m/>
    <m/>
    <m/>
    <m/>
    <m/>
    <m/>
    <m/>
    <m/>
    <m/>
    <n v="0"/>
    <m/>
    <m/>
    <m/>
    <m/>
    <n v="0.92900000000000005"/>
    <n v="20252200"/>
    <m/>
    <m/>
    <n v="0"/>
    <m/>
    <m/>
    <m/>
    <m/>
    <m/>
    <n v="0"/>
    <m/>
    <m/>
    <m/>
    <m/>
    <m/>
    <n v="0"/>
    <m/>
    <m/>
    <m/>
    <m/>
    <m/>
    <n v="0"/>
    <m/>
    <m/>
    <m/>
    <m/>
    <n v="3.5000000000000003E-2"/>
    <n v="763000.00000000012"/>
    <m/>
    <m/>
    <m/>
    <m/>
    <n v="3.5999999999999997E-2"/>
    <n v="784799.99999999988"/>
    <m/>
    <m/>
    <m/>
    <m/>
    <m/>
    <n v="0"/>
    <m/>
    <m/>
    <m/>
    <m/>
    <m/>
    <n v="0"/>
    <m/>
    <m/>
    <m/>
    <m/>
    <n v="1"/>
    <n v="21800000"/>
  </r>
  <r>
    <m/>
    <s v="M"/>
    <s v="M"/>
    <s v="MN"/>
    <n v="999"/>
    <s v="MN999"/>
    <m/>
    <x v="7"/>
    <m/>
    <m/>
    <m/>
    <m/>
    <s v="NON-NHS BRIDGE SETASIDE"/>
    <m/>
    <m/>
    <m/>
    <m/>
    <m/>
    <m/>
    <s v=""/>
    <m/>
    <m/>
    <m/>
    <m/>
    <s v=""/>
    <m/>
    <m/>
    <m/>
    <n v="21800000"/>
    <m/>
    <m/>
    <m/>
    <m/>
    <n v="0"/>
    <m/>
    <m/>
    <m/>
    <n v="0"/>
    <m/>
    <m/>
    <m/>
    <n v="0"/>
    <m/>
    <m/>
    <m/>
    <m/>
    <n v="0"/>
    <m/>
    <n v="21800000"/>
    <n v="21800000"/>
    <n v="0"/>
    <n v="2350270"/>
    <n v="2022"/>
    <m/>
    <m/>
    <m/>
    <m/>
    <m/>
    <m/>
    <m/>
    <m/>
    <m/>
    <m/>
    <m/>
    <m/>
    <m/>
    <m/>
    <n v="0"/>
    <m/>
    <m/>
    <m/>
    <m/>
    <n v="0.92900000000000005"/>
    <n v="20252200"/>
    <m/>
    <m/>
    <n v="0"/>
    <m/>
    <m/>
    <m/>
    <m/>
    <m/>
    <n v="0"/>
    <m/>
    <m/>
    <m/>
    <m/>
    <m/>
    <n v="0"/>
    <m/>
    <m/>
    <m/>
    <m/>
    <m/>
    <n v="0"/>
    <m/>
    <m/>
    <m/>
    <m/>
    <n v="3.5000000000000003E-2"/>
    <n v="763000.00000000012"/>
    <m/>
    <m/>
    <m/>
    <m/>
    <n v="3.5999999999999997E-2"/>
    <n v="784799.99999999988"/>
    <m/>
    <m/>
    <m/>
    <m/>
    <m/>
    <n v="0"/>
    <m/>
    <m/>
    <m/>
    <m/>
    <m/>
    <n v="0"/>
    <m/>
    <m/>
    <m/>
    <m/>
    <n v="1"/>
    <n v="21800000"/>
  </r>
  <r>
    <m/>
    <s v="M"/>
    <s v="M"/>
    <s v="MN"/>
    <n v="999"/>
    <s v="MN999"/>
    <m/>
    <x v="8"/>
    <m/>
    <m/>
    <m/>
    <m/>
    <s v="NON-NHS BRIDGE SETASIDE"/>
    <m/>
    <m/>
    <m/>
    <m/>
    <m/>
    <m/>
    <s v=""/>
    <m/>
    <m/>
    <m/>
    <m/>
    <s v=""/>
    <m/>
    <m/>
    <m/>
    <n v="21800000"/>
    <m/>
    <m/>
    <m/>
    <m/>
    <n v="0"/>
    <m/>
    <m/>
    <m/>
    <n v="0"/>
    <m/>
    <m/>
    <m/>
    <n v="0"/>
    <m/>
    <m/>
    <m/>
    <m/>
    <n v="0"/>
    <m/>
    <n v="21800000"/>
    <n v="21800000"/>
    <n v="0"/>
    <n v="2350270"/>
    <n v="2023"/>
    <m/>
    <m/>
    <m/>
    <m/>
    <m/>
    <m/>
    <m/>
    <m/>
    <m/>
    <m/>
    <m/>
    <m/>
    <m/>
    <m/>
    <n v="0"/>
    <m/>
    <m/>
    <m/>
    <m/>
    <n v="0.92900000000000005"/>
    <n v="20252200"/>
    <m/>
    <m/>
    <n v="0"/>
    <m/>
    <m/>
    <m/>
    <m/>
    <m/>
    <n v="0"/>
    <m/>
    <m/>
    <m/>
    <m/>
    <m/>
    <n v="0"/>
    <m/>
    <m/>
    <m/>
    <m/>
    <m/>
    <n v="0"/>
    <m/>
    <m/>
    <m/>
    <m/>
    <n v="3.5000000000000003E-2"/>
    <n v="763000.00000000012"/>
    <m/>
    <m/>
    <m/>
    <m/>
    <n v="3.5999999999999997E-2"/>
    <n v="784799.99999999988"/>
    <m/>
    <m/>
    <m/>
    <m/>
    <m/>
    <n v="0"/>
    <m/>
    <m/>
    <m/>
    <m/>
    <m/>
    <n v="0"/>
    <m/>
    <m/>
    <m/>
    <m/>
    <n v="1"/>
    <n v="21800000"/>
  </r>
  <r>
    <m/>
    <n v="1"/>
    <n v="1"/>
    <s v="MN"/>
    <n v="999"/>
    <s v="MN 999"/>
    <m/>
    <x v="8"/>
    <m/>
    <m/>
    <m/>
    <m/>
    <s v="NON-NHS PAVEMENTS - 2023"/>
    <m/>
    <m/>
    <m/>
    <m/>
    <m/>
    <m/>
    <s v=""/>
    <m/>
    <m/>
    <m/>
    <m/>
    <s v=""/>
    <m/>
    <m/>
    <m/>
    <n v="32400000"/>
    <m/>
    <m/>
    <m/>
    <m/>
    <n v="0"/>
    <m/>
    <m/>
    <m/>
    <n v="0"/>
    <m/>
    <m/>
    <m/>
    <n v="0"/>
    <m/>
    <m/>
    <m/>
    <m/>
    <n v="0"/>
    <m/>
    <n v="32400000"/>
    <n v="32400000"/>
    <n v="0"/>
    <n v="2350270"/>
    <n v="2023"/>
    <m/>
    <m/>
    <m/>
    <m/>
    <m/>
    <m/>
    <m/>
    <m/>
    <m/>
    <m/>
    <m/>
    <m/>
    <m/>
    <n v="0.82099999999999995"/>
    <n v="26600400"/>
    <m/>
    <m/>
    <m/>
    <m/>
    <m/>
    <n v="0"/>
    <m/>
    <n v="0.115"/>
    <n v="3726000"/>
    <m/>
    <m/>
    <m/>
    <m/>
    <n v="3.2000000000000001E-2"/>
    <n v="1036800"/>
    <m/>
    <m/>
    <m/>
    <m/>
    <m/>
    <n v="0"/>
    <m/>
    <m/>
    <m/>
    <m/>
    <m/>
    <n v="0"/>
    <m/>
    <m/>
    <m/>
    <m/>
    <n v="2.3E-2"/>
    <n v="745200"/>
    <m/>
    <m/>
    <m/>
    <m/>
    <n v="8.9999999999999993E-3"/>
    <n v="291600"/>
    <m/>
    <m/>
    <m/>
    <m/>
    <m/>
    <n v="0"/>
    <m/>
    <m/>
    <m/>
    <m/>
    <m/>
    <n v="0"/>
    <m/>
    <m/>
    <m/>
    <m/>
    <n v="1"/>
    <n v="32400000"/>
  </r>
  <r>
    <m/>
    <n v="1"/>
    <n v="1"/>
    <s v="MN"/>
    <n v="999"/>
    <s v="MN 999"/>
    <m/>
    <x v="6"/>
    <m/>
    <m/>
    <m/>
    <m/>
    <s v="NON-NHS PAVEMENTS  - 2021"/>
    <m/>
    <m/>
    <m/>
    <m/>
    <m/>
    <m/>
    <s v=""/>
    <m/>
    <m/>
    <m/>
    <m/>
    <s v=""/>
    <m/>
    <m/>
    <m/>
    <n v="32300000"/>
    <m/>
    <m/>
    <m/>
    <m/>
    <n v="0"/>
    <m/>
    <m/>
    <m/>
    <n v="0"/>
    <m/>
    <m/>
    <m/>
    <n v="0"/>
    <m/>
    <m/>
    <m/>
    <m/>
    <n v="0"/>
    <m/>
    <n v="32300000"/>
    <n v="32300000"/>
    <n v="0"/>
    <n v="2350270"/>
    <n v="2021"/>
    <m/>
    <m/>
    <m/>
    <m/>
    <m/>
    <m/>
    <m/>
    <m/>
    <m/>
    <m/>
    <m/>
    <m/>
    <m/>
    <n v="0.82099999999999995"/>
    <n v="26518300"/>
    <m/>
    <m/>
    <m/>
    <m/>
    <m/>
    <n v="0"/>
    <m/>
    <n v="0.115"/>
    <n v="3714500"/>
    <m/>
    <m/>
    <m/>
    <m/>
    <n v="3.2000000000000001E-2"/>
    <n v="1033600"/>
    <m/>
    <m/>
    <m/>
    <m/>
    <m/>
    <n v="0"/>
    <m/>
    <m/>
    <m/>
    <m/>
    <m/>
    <n v="0"/>
    <m/>
    <m/>
    <m/>
    <m/>
    <n v="2.3E-2"/>
    <n v="742900"/>
    <m/>
    <m/>
    <m/>
    <m/>
    <n v="8.9999999999999993E-3"/>
    <n v="290700"/>
    <m/>
    <m/>
    <m/>
    <m/>
    <m/>
    <n v="0"/>
    <m/>
    <m/>
    <m/>
    <m/>
    <m/>
    <n v="0"/>
    <m/>
    <m/>
    <m/>
    <m/>
    <n v="1"/>
    <n v="32300000"/>
  </r>
  <r>
    <m/>
    <n v="1"/>
    <n v="1"/>
    <s v="MN"/>
    <n v="999"/>
    <s v="MN 999"/>
    <m/>
    <x v="7"/>
    <m/>
    <m/>
    <m/>
    <m/>
    <s v="NON-NHS PAVEMENTS - 2022"/>
    <m/>
    <m/>
    <m/>
    <m/>
    <m/>
    <m/>
    <s v=""/>
    <m/>
    <m/>
    <m/>
    <m/>
    <s v=""/>
    <m/>
    <m/>
    <m/>
    <n v="32300000"/>
    <m/>
    <m/>
    <m/>
    <m/>
    <n v="0"/>
    <m/>
    <m/>
    <m/>
    <n v="0"/>
    <m/>
    <m/>
    <m/>
    <n v="0"/>
    <m/>
    <m/>
    <m/>
    <m/>
    <n v="0"/>
    <m/>
    <n v="32300000"/>
    <n v="32300000"/>
    <n v="0"/>
    <n v="2350270"/>
    <n v="2022"/>
    <m/>
    <m/>
    <m/>
    <m/>
    <m/>
    <m/>
    <m/>
    <m/>
    <m/>
    <m/>
    <m/>
    <m/>
    <m/>
    <n v="0.82099999999999995"/>
    <n v="26518300"/>
    <m/>
    <m/>
    <m/>
    <m/>
    <m/>
    <n v="0"/>
    <m/>
    <n v="0.115"/>
    <n v="3714500"/>
    <m/>
    <m/>
    <m/>
    <m/>
    <n v="3.2000000000000001E-2"/>
    <n v="1033600"/>
    <m/>
    <m/>
    <m/>
    <m/>
    <m/>
    <n v="0"/>
    <m/>
    <m/>
    <m/>
    <m/>
    <m/>
    <n v="0"/>
    <m/>
    <m/>
    <m/>
    <m/>
    <n v="2.3E-2"/>
    <n v="742900"/>
    <m/>
    <m/>
    <m/>
    <m/>
    <n v="8.9999999999999993E-3"/>
    <n v="290700"/>
    <m/>
    <m/>
    <m/>
    <m/>
    <m/>
    <n v="0"/>
    <m/>
    <m/>
    <m/>
    <m/>
    <m/>
    <n v="0"/>
    <m/>
    <m/>
    <m/>
    <m/>
    <n v="1"/>
    <n v="32300000"/>
  </r>
  <r>
    <m/>
    <s v="M"/>
    <s v="M"/>
    <s v="I"/>
    <s v="35W"/>
    <s v="I 35W"/>
    <s v="0280-68"/>
    <x v="0"/>
    <m/>
    <s v="S"/>
    <s v="MNDOT"/>
    <n v="7"/>
    <s v="INTERCHANGES AT S JCT ANOKA CSAH 23 (LAKE DR) IN BLAINE, AT ANOKA CSAH 32 (85TH AVE) IN BLAINE/SHOREVIEW AND AT N JCT ANOKA CSAH 23 (LAKE DR) IN LINO LAKES - REPLACE INTERCHANGE LIGHTING"/>
    <m/>
    <m/>
    <m/>
    <m/>
    <m/>
    <m/>
    <m/>
    <m/>
    <m/>
    <m/>
    <m/>
    <m/>
    <m/>
    <m/>
    <m/>
    <n v="280000"/>
    <m/>
    <m/>
    <m/>
    <m/>
    <m/>
    <m/>
    <m/>
    <m/>
    <m/>
    <m/>
    <m/>
    <m/>
    <m/>
    <m/>
    <m/>
    <m/>
    <m/>
    <m/>
    <m/>
    <n v="0"/>
    <m/>
    <m/>
    <m/>
    <m/>
    <m/>
    <m/>
    <m/>
    <m/>
    <m/>
    <m/>
    <m/>
    <m/>
    <m/>
    <m/>
    <m/>
    <m/>
    <m/>
    <m/>
    <n v="0"/>
    <m/>
    <m/>
    <m/>
    <m/>
    <m/>
    <n v="0"/>
    <m/>
    <n v="1"/>
    <n v="280000"/>
    <s v="Lighting"/>
    <m/>
    <m/>
    <m/>
    <m/>
    <n v="0"/>
    <m/>
    <m/>
    <m/>
    <m/>
    <m/>
    <n v="0"/>
    <m/>
    <m/>
    <m/>
    <m/>
    <m/>
    <n v="0"/>
    <m/>
    <m/>
    <m/>
    <m/>
    <m/>
    <n v="0"/>
    <m/>
    <m/>
    <m/>
    <m/>
    <m/>
    <n v="0"/>
    <m/>
    <m/>
    <m/>
    <m/>
    <m/>
    <n v="0"/>
    <m/>
    <m/>
    <m/>
    <m/>
    <m/>
    <n v="0"/>
    <m/>
    <m/>
    <m/>
    <m/>
    <n v="1"/>
    <n v="280000"/>
  </r>
  <r>
    <m/>
    <s v="M"/>
    <s v="M"/>
    <s v="I"/>
    <s v="35W"/>
    <s v="I 35W"/>
    <s v="0280-70"/>
    <x v="2"/>
    <m/>
    <s v="S"/>
    <s v="MNDOT"/>
    <n v="7"/>
    <s v="SB ENTRANCE RAMP FROM LAKE DR (ANOKA CSAH 23) TO S OF 85TH AVE IN BLAINE - CONSTUCT SB PARALLEL ACCELERATION LANE, DRAINAGE, CURB &amp; GUTTER"/>
    <m/>
    <m/>
    <m/>
    <m/>
    <m/>
    <m/>
    <m/>
    <m/>
    <m/>
    <m/>
    <m/>
    <m/>
    <m/>
    <m/>
    <m/>
    <n v="365000"/>
    <m/>
    <m/>
    <m/>
    <m/>
    <m/>
    <m/>
    <m/>
    <m/>
    <m/>
    <m/>
    <m/>
    <m/>
    <m/>
    <m/>
    <m/>
    <m/>
    <m/>
    <m/>
    <m/>
    <n v="0"/>
    <m/>
    <m/>
    <m/>
    <m/>
    <m/>
    <m/>
    <m/>
    <m/>
    <m/>
    <m/>
    <m/>
    <m/>
    <m/>
    <m/>
    <m/>
    <m/>
    <m/>
    <n v="0.81050226442977547"/>
    <n v="295833.32651686802"/>
    <m/>
    <m/>
    <m/>
    <m/>
    <m/>
    <n v="0"/>
    <m/>
    <n v="0.16224823385383863"/>
    <n v="59220.605356651104"/>
    <s v="Drainage and culverts"/>
    <m/>
    <m/>
    <m/>
    <m/>
    <n v="0"/>
    <m/>
    <n v="1.0000000000000002"/>
    <m/>
    <m/>
    <m/>
    <n v="0"/>
    <m/>
    <m/>
    <m/>
    <m/>
    <n v="2.7249501716385963E-2"/>
    <n v="9946.0681264808773"/>
    <m/>
    <m/>
    <m/>
    <m/>
    <m/>
    <n v="0"/>
    <m/>
    <m/>
    <m/>
    <m/>
    <m/>
    <n v="0"/>
    <m/>
    <m/>
    <m/>
    <m/>
    <m/>
    <n v="0"/>
    <m/>
    <m/>
    <m/>
    <m/>
    <m/>
    <n v="0"/>
    <m/>
    <m/>
    <m/>
    <m/>
    <n v="1.0000000000000002"/>
    <n v="365000"/>
  </r>
  <r>
    <m/>
    <s v="M"/>
    <s v="M"/>
    <s v="I"/>
    <s v="35E"/>
    <s v="I 35E"/>
    <s v="0282-33"/>
    <x v="0"/>
    <m/>
    <s v="S"/>
    <s v="MNDOT"/>
    <n v="7"/>
    <s v="**BP08**AT ANOKA CSAH 14 IN LINO LAKES-PARK AND RIDE (CHP 152 TRANSIT ADVANTAGE BONDS)"/>
    <m/>
    <m/>
    <m/>
    <m/>
    <m/>
    <m/>
    <m/>
    <m/>
    <m/>
    <m/>
    <m/>
    <m/>
    <m/>
    <m/>
    <m/>
    <n v="1773825"/>
    <m/>
    <m/>
    <m/>
    <m/>
    <m/>
    <m/>
    <m/>
    <m/>
    <m/>
    <m/>
    <m/>
    <m/>
    <m/>
    <m/>
    <m/>
    <m/>
    <m/>
    <m/>
    <m/>
    <n v="0"/>
    <m/>
    <m/>
    <m/>
    <m/>
    <m/>
    <m/>
    <m/>
    <m/>
    <m/>
    <m/>
    <m/>
    <m/>
    <m/>
    <m/>
    <m/>
    <m/>
    <m/>
    <n v="0.105"/>
    <n v="186251.625"/>
    <m/>
    <m/>
    <m/>
    <m/>
    <m/>
    <n v="0"/>
    <m/>
    <m/>
    <n v="0"/>
    <m/>
    <m/>
    <m/>
    <m/>
    <m/>
    <n v="0"/>
    <m/>
    <m/>
    <m/>
    <m/>
    <m/>
    <n v="0"/>
    <m/>
    <m/>
    <m/>
    <m/>
    <n v="0.89500000000000002"/>
    <n v="1587573.375"/>
    <m/>
    <m/>
    <m/>
    <m/>
    <m/>
    <n v="0"/>
    <m/>
    <m/>
    <m/>
    <m/>
    <m/>
    <n v="0"/>
    <m/>
    <m/>
    <m/>
    <m/>
    <m/>
    <n v="0"/>
    <m/>
    <m/>
    <m/>
    <m/>
    <m/>
    <n v="0"/>
    <m/>
    <m/>
    <m/>
    <m/>
    <n v="1"/>
    <n v="1773825"/>
  </r>
  <r>
    <m/>
    <n v="4"/>
    <n v="4"/>
    <s v="US"/>
    <n v="10"/>
    <s v="US 10"/>
    <s v="0301-60"/>
    <x v="1"/>
    <s v="2016-33"/>
    <s v="S"/>
    <s v="MNDOT"/>
    <m/>
    <s v="**AC** US 10 FROM AIRPORT RD TO US 59, &amp; US 59 FROM US 10 TO HOLMES STREET (TIED TO SP 117-108-003)  (AC PROJECT, PAYBACK in 2016) (What type of work)"/>
    <s v="042+00.797 / 262+00.930"/>
    <s v="044+00.256 / 263+00.470 "/>
    <n v="1.6"/>
    <m/>
    <s v="BECKER"/>
    <s v="RC"/>
    <s v="1-P "/>
    <s v="1-P"/>
    <m/>
    <s v="GRSU - GRADE AND SURFACE"/>
    <s v="GRADE AND SURFACE"/>
    <s v="NHPP  "/>
    <s v="NHPP"/>
    <m/>
    <m/>
    <n v="6149538"/>
    <n v="0"/>
    <n v="0"/>
    <n v="1740000"/>
    <n v="0"/>
    <n v="1740000"/>
    <n v="0"/>
    <n v="5300000"/>
    <n v="0"/>
    <n v="5300000"/>
    <n v="0"/>
    <n v="0"/>
    <n v="0"/>
    <n v="0"/>
    <n v="0"/>
    <n v="0"/>
    <n v="1760000"/>
    <n v="0"/>
    <n v="1760000"/>
    <n v="0"/>
    <n v="2649538"/>
    <n v="18449538"/>
    <n v="0"/>
    <n v="800000"/>
    <s v="0301-60"/>
    <s v="Removed AC from SP-Pa Youa - AC Project-AC matches payback-RC Prog-NHPP-Other off the top &amp; 80/20_x000a_AC Okay - Pa Youa"/>
    <s v="could be small urban.  It is tied to a state aid project using small urban federal funds"/>
    <m/>
    <m/>
    <m/>
    <m/>
    <m/>
    <m/>
    <m/>
    <m/>
    <m/>
    <m/>
    <m/>
    <n v="0.4"/>
    <n v="7379815.2000000002"/>
    <e v="#REF!"/>
    <e v="#REF!"/>
    <e v="#REF!"/>
    <e v="#REF!"/>
    <n v="0"/>
    <n v="0"/>
    <e v="#REF!"/>
    <n v="0"/>
    <n v="0"/>
    <e v="#REF!"/>
    <e v="#REF!"/>
    <e v="#REF!"/>
    <e v="#REF!"/>
    <n v="0"/>
    <n v="0"/>
    <e v="#REF!"/>
    <e v="#REF!"/>
    <e v="#REF!"/>
    <e v="#REF!"/>
    <n v="0"/>
    <n v="0"/>
    <e v="#REF!"/>
    <e v="#REF!"/>
    <e v="#REF!"/>
    <e v="#REF!"/>
    <n v="0"/>
    <n v="0"/>
    <e v="#REF!"/>
    <e v="#REF!"/>
    <e v="#REF!"/>
    <e v="#REF!"/>
    <n v="0.3"/>
    <n v="5534861.3999999994"/>
    <e v="#REF!"/>
    <e v="#REF!"/>
    <e v="#REF!"/>
    <e v="#REF!"/>
    <n v="0"/>
    <n v="0"/>
    <e v="#REF!"/>
    <e v="#REF!"/>
    <e v="#REF!"/>
    <e v="#REF!"/>
    <n v="0.3"/>
    <n v="5534861.3999999994"/>
    <e v="#REF!"/>
    <e v="#REF!"/>
    <e v="#REF!"/>
    <e v="#REF!"/>
    <n v="0"/>
    <n v="0"/>
    <m/>
    <m/>
    <m/>
    <m/>
    <n v="1"/>
    <n v="18449538"/>
  </r>
  <r>
    <m/>
    <n v="4"/>
    <n v="4"/>
    <s v="US"/>
    <n v="10"/>
    <s v="US 10"/>
    <s v="0301-60AC1"/>
    <x v="2"/>
    <s v="2016-33"/>
    <s v="S"/>
    <s v="MNDOT"/>
    <m/>
    <s v="**AC** US 10 FROM AIRPORT RD TO US 59, &amp; US 59 FROM US 10 TO HOLMES (TIED TO SP 117-108-003) (AC PROJECT, PAYBACK 1 OF 1)"/>
    <n v="5300000"/>
    <n v="0"/>
    <n v="0"/>
    <n v="0"/>
    <n v="0"/>
    <n v="0"/>
    <n v="0"/>
    <n v="0"/>
    <n v="0"/>
    <n v="0"/>
    <n v="0"/>
    <n v="5300000"/>
    <n v="0"/>
    <n v="5300000"/>
    <n v="0"/>
    <n v="5300000"/>
    <n v="0"/>
    <n v="0"/>
    <n v="0"/>
    <n v="0"/>
    <n v="0"/>
    <n v="0"/>
    <n v="110839145.5"/>
    <n v="59806543"/>
    <n v="2016"/>
    <m/>
    <s v="could be small urban.  It is tied to a state aid project using small urban federal funds"/>
    <m/>
    <m/>
    <m/>
    <m/>
    <s v="NO"/>
    <s v="NO"/>
    <s v="7th District"/>
    <s v="NO"/>
    <n v="0"/>
    <s v="YES"/>
    <s v="NO"/>
    <m/>
    <n v="0"/>
    <m/>
    <m/>
    <m/>
    <m/>
    <m/>
    <n v="0"/>
    <m/>
    <m/>
    <m/>
    <m/>
    <m/>
    <n v="0"/>
    <m/>
    <n v="0.4"/>
    <n v="2120000"/>
    <n v="0"/>
    <n v="0"/>
    <n v="0"/>
    <n v="0"/>
    <n v="0"/>
    <n v="0"/>
    <n v="0"/>
    <n v="0"/>
    <n v="0"/>
    <n v="0"/>
    <n v="0"/>
    <n v="0"/>
    <n v="0"/>
    <n v="0"/>
    <n v="0"/>
    <n v="0"/>
    <n v="0"/>
    <n v="0"/>
    <n v="0"/>
    <n v="0"/>
    <n v="0"/>
    <n v="0"/>
    <n v="0"/>
    <n v="0"/>
    <n v="0"/>
    <n v="0"/>
    <n v="0"/>
    <n v="0"/>
    <n v="0"/>
    <n v="0"/>
    <n v="0"/>
    <n v="0.3"/>
    <n v="1590000"/>
    <n v="0"/>
    <n v="0"/>
    <n v="0"/>
    <n v="0"/>
    <n v="0"/>
    <n v="0"/>
    <n v="0"/>
    <n v="0"/>
    <n v="0"/>
    <n v="0"/>
    <n v="0.3"/>
    <n v="1590000"/>
    <n v="0"/>
    <n v="0"/>
    <n v="0"/>
    <n v="0"/>
    <n v="0"/>
    <n v="0"/>
    <m/>
    <m/>
    <m/>
    <m/>
    <n v="1"/>
    <n v="5300000"/>
  </r>
  <r>
    <m/>
    <n v="4"/>
    <n v="4"/>
    <s v="US"/>
    <n v="10"/>
    <s v="US 10"/>
    <s v="0304-34"/>
    <x v="9"/>
    <s v="2017-18"/>
    <s v="S"/>
    <s v="MNDOT"/>
    <m/>
    <s v="ROUNDABOUT ON TH 59 AT CSAH 22, SOUTH OF DETROIT LAKES"/>
    <n v="1170800"/>
    <n v="0"/>
    <n v="0"/>
    <n v="936600"/>
    <n v="0"/>
    <n v="936600"/>
    <n v="0"/>
    <n v="0"/>
    <n v="0"/>
    <n v="0"/>
    <n v="0"/>
    <n v="0"/>
    <n v="0"/>
    <n v="0"/>
    <n v="0"/>
    <n v="1170800"/>
    <n v="234200"/>
    <n v="0"/>
    <n v="234200"/>
    <n v="0"/>
    <n v="0"/>
    <n v="1170800"/>
    <n v="110839145.5"/>
    <n v="59776543"/>
    <n v="2017"/>
    <m/>
    <s v="this is district risk management /safety, but coded as nhpp"/>
    <m/>
    <m/>
    <m/>
    <m/>
    <s v="NO"/>
    <s v="NO"/>
    <s v="7th District"/>
    <s v="NO"/>
    <n v="0"/>
    <s v="YES"/>
    <s v="NO"/>
    <m/>
    <n v="0"/>
    <m/>
    <m/>
    <m/>
    <m/>
    <m/>
    <n v="0"/>
    <m/>
    <m/>
    <m/>
    <m/>
    <m/>
    <n v="0"/>
    <m/>
    <m/>
    <n v="0"/>
    <m/>
    <m/>
    <m/>
    <m/>
    <m/>
    <n v="0"/>
    <m/>
    <m/>
    <n v="0"/>
    <m/>
    <m/>
    <m/>
    <m/>
    <n v="1"/>
    <n v="1170800"/>
    <m/>
    <m/>
    <m/>
    <m/>
    <m/>
    <n v="0"/>
    <m/>
    <m/>
    <m/>
    <m/>
    <m/>
    <n v="0"/>
    <m/>
    <m/>
    <m/>
    <m/>
    <m/>
    <n v="0"/>
    <m/>
    <m/>
    <m/>
    <m/>
    <m/>
    <n v="0"/>
    <m/>
    <m/>
    <m/>
    <m/>
    <m/>
    <n v="0"/>
    <m/>
    <m/>
    <m/>
    <m/>
    <m/>
    <n v="0"/>
    <m/>
    <m/>
    <m/>
    <m/>
    <n v="1"/>
    <n v="1170800"/>
  </r>
  <r>
    <m/>
    <n v="4"/>
    <n v="4"/>
    <s v="US"/>
    <n v="59"/>
    <s v="US 59"/>
    <s v="0305-31"/>
    <x v="0"/>
    <s v="2014-29"/>
    <s v="S"/>
    <s v="MNDOT"/>
    <m/>
    <s v="0.1 MILES N. OF JCT OF TH 34 TO 0.4 MILES SOUTH OF BUFFALO RIVER - MILL AND OVERLAY "/>
    <n v="5116300"/>
    <n v="0"/>
    <n v="0"/>
    <n v="4093000"/>
    <n v="0"/>
    <n v="4093000"/>
    <n v="0"/>
    <n v="0"/>
    <n v="0"/>
    <n v="0"/>
    <n v="0"/>
    <n v="0"/>
    <n v="0"/>
    <n v="0"/>
    <n v="0"/>
    <n v="5116300"/>
    <n v="1023300"/>
    <n v="0"/>
    <n v="1023300"/>
    <n v="0"/>
    <n v="0"/>
    <n v="5116300"/>
    <n v="28860147.199999999"/>
    <n v="8542187.8000000007"/>
    <n v="2014"/>
    <m/>
    <m/>
    <m/>
    <m/>
    <m/>
    <m/>
    <s v="NO"/>
    <s v="YES"/>
    <s v="7th District"/>
    <s v="NO"/>
    <n v="0"/>
    <s v="YES"/>
    <s v="NO"/>
    <n v="0.86499999999999999"/>
    <n v="4425599.5"/>
    <m/>
    <m/>
    <m/>
    <m/>
    <m/>
    <n v="0"/>
    <m/>
    <m/>
    <m/>
    <m/>
    <n v="0.08"/>
    <n v="409304"/>
    <m/>
    <n v="0.86499999999999999"/>
    <n v="4425599.5"/>
    <m/>
    <m/>
    <m/>
    <m/>
    <m/>
    <n v="0"/>
    <m/>
    <n v="0.08"/>
    <n v="409304"/>
    <m/>
    <m/>
    <m/>
    <m/>
    <n v="0.03"/>
    <n v="153489"/>
    <m/>
    <m/>
    <m/>
    <m/>
    <m/>
    <n v="0"/>
    <m/>
    <m/>
    <m/>
    <m/>
    <m/>
    <n v="0"/>
    <m/>
    <m/>
    <m/>
    <m/>
    <m/>
    <n v="0"/>
    <m/>
    <m/>
    <m/>
    <m/>
    <m/>
    <n v="0"/>
    <m/>
    <m/>
    <m/>
    <m/>
    <n v="2.5000000000000001E-2"/>
    <n v="127907.5"/>
    <m/>
    <m/>
    <m/>
    <m/>
    <m/>
    <n v="0"/>
    <m/>
    <m/>
    <m/>
    <m/>
    <n v="1"/>
    <n v="5116300"/>
  </r>
  <r>
    <n v="177"/>
    <n v="4"/>
    <n v="4"/>
    <s v="US"/>
    <n v="59"/>
    <s v="US 59"/>
    <s v="0305-34"/>
    <x v="9"/>
    <s v="2017-24"/>
    <s v="S"/>
    <s v="MNDOT"/>
    <m/>
    <s v="0.4 MILES S. OF BUFFALO RIVER TO JCT. TH 200, MILL AND OVERLAY"/>
    <n v="8810800"/>
    <n v="0"/>
    <n v="0"/>
    <n v="7048600"/>
    <n v="0"/>
    <n v="7048600"/>
    <n v="0"/>
    <n v="0"/>
    <n v="0"/>
    <n v="0"/>
    <n v="0"/>
    <n v="0"/>
    <n v="0"/>
    <n v="0"/>
    <n v="0"/>
    <n v="911000"/>
    <n v="1762200"/>
    <n v="0"/>
    <n v="1762200"/>
    <n v="0"/>
    <n v="0"/>
    <n v="8810800"/>
    <n v="110839145.5"/>
    <n v="56926543"/>
    <n v="2017"/>
    <m/>
    <s v=" "/>
    <m/>
    <m/>
    <m/>
    <m/>
    <s v="NO"/>
    <s v="NO"/>
    <s v="7th District"/>
    <s v="NO"/>
    <n v="0"/>
    <s v="YES"/>
    <s v="NO"/>
    <n v="1"/>
    <n v="8810800"/>
    <m/>
    <m/>
    <m/>
    <m/>
    <m/>
    <n v="0"/>
    <m/>
    <m/>
    <m/>
    <m/>
    <m/>
    <n v="0"/>
    <m/>
    <n v="1"/>
    <n v="911000"/>
    <m/>
    <m/>
    <m/>
    <m/>
    <m/>
    <n v="0"/>
    <m/>
    <m/>
    <n v="0"/>
    <m/>
    <m/>
    <m/>
    <m/>
    <m/>
    <n v="0"/>
    <m/>
    <m/>
    <m/>
    <m/>
    <m/>
    <n v="0"/>
    <m/>
    <m/>
    <m/>
    <m/>
    <m/>
    <n v="0"/>
    <m/>
    <m/>
    <m/>
    <m/>
    <m/>
    <n v="0"/>
    <m/>
    <m/>
    <m/>
    <m/>
    <m/>
    <n v="0"/>
    <m/>
    <m/>
    <m/>
    <m/>
    <m/>
    <n v="0"/>
    <m/>
    <m/>
    <m/>
    <m/>
    <m/>
    <n v="0"/>
    <m/>
    <m/>
    <m/>
    <m/>
    <n v="1"/>
    <n v="911000"/>
  </r>
  <r>
    <m/>
    <n v="7"/>
    <n v="7"/>
    <s v="MN"/>
    <n v="999"/>
    <s v="MN999"/>
    <m/>
    <x v="6"/>
    <m/>
    <m/>
    <m/>
    <m/>
    <s v="NON-NHS PAVEMENTS SETASIDE"/>
    <m/>
    <m/>
    <m/>
    <m/>
    <m/>
    <m/>
    <s v=""/>
    <m/>
    <m/>
    <m/>
    <m/>
    <s v=""/>
    <m/>
    <m/>
    <m/>
    <n v="22600000"/>
    <m/>
    <m/>
    <m/>
    <m/>
    <n v="0"/>
    <m/>
    <m/>
    <m/>
    <n v="0"/>
    <m/>
    <m/>
    <m/>
    <n v="0"/>
    <m/>
    <m/>
    <m/>
    <m/>
    <n v="0"/>
    <m/>
    <n v="22600000"/>
    <n v="22600000"/>
    <n v="4759700"/>
    <n v="1760000"/>
    <n v="2021"/>
    <m/>
    <m/>
    <m/>
    <m/>
    <m/>
    <m/>
    <m/>
    <m/>
    <m/>
    <m/>
    <m/>
    <m/>
    <m/>
    <n v="0.82099999999999995"/>
    <n v="18554600"/>
    <m/>
    <m/>
    <m/>
    <m/>
    <m/>
    <n v="0"/>
    <m/>
    <n v="0.115"/>
    <n v="2599000"/>
    <m/>
    <m/>
    <m/>
    <m/>
    <n v="3.2000000000000001E-2"/>
    <n v="723200"/>
    <m/>
    <m/>
    <m/>
    <m/>
    <m/>
    <n v="0"/>
    <m/>
    <m/>
    <m/>
    <m/>
    <m/>
    <n v="0"/>
    <m/>
    <m/>
    <m/>
    <m/>
    <n v="2.3E-2"/>
    <n v="519800"/>
    <m/>
    <m/>
    <m/>
    <m/>
    <n v="8.9999999999999993E-3"/>
    <n v="203399.99999999997"/>
    <m/>
    <m/>
    <m/>
    <m/>
    <m/>
    <n v="0"/>
    <m/>
    <m/>
    <m/>
    <m/>
    <m/>
    <n v="0"/>
    <m/>
    <m/>
    <m/>
    <m/>
    <n v="1"/>
    <n v="22600000"/>
  </r>
  <r>
    <s v="contingency"/>
    <n v="7"/>
    <n v="7"/>
    <s v="MN"/>
    <n v="999"/>
    <s v="MN999"/>
    <m/>
    <x v="7"/>
    <m/>
    <m/>
    <m/>
    <m/>
    <s v="NON-NHS PAVEMENTS SETASIDE"/>
    <m/>
    <m/>
    <m/>
    <m/>
    <m/>
    <m/>
    <s v=""/>
    <m/>
    <m/>
    <m/>
    <m/>
    <s v=""/>
    <m/>
    <m/>
    <m/>
    <n v="22600000"/>
    <m/>
    <m/>
    <m/>
    <m/>
    <n v="0"/>
    <m/>
    <m/>
    <m/>
    <n v="0"/>
    <m/>
    <m/>
    <m/>
    <n v="0"/>
    <m/>
    <m/>
    <m/>
    <m/>
    <n v="0"/>
    <m/>
    <n v="22600000"/>
    <n v="22600000"/>
    <n v="4759700"/>
    <n v="1760000"/>
    <n v="2022"/>
    <m/>
    <m/>
    <m/>
    <m/>
    <m/>
    <m/>
    <m/>
    <m/>
    <m/>
    <m/>
    <m/>
    <m/>
    <m/>
    <n v="0.82099999999999995"/>
    <n v="18554600"/>
    <m/>
    <m/>
    <m/>
    <m/>
    <m/>
    <n v="0"/>
    <m/>
    <n v="0.115"/>
    <n v="2599000"/>
    <m/>
    <m/>
    <m/>
    <m/>
    <n v="3.2000000000000001E-2"/>
    <n v="723200"/>
    <m/>
    <m/>
    <m/>
    <m/>
    <m/>
    <n v="0"/>
    <m/>
    <m/>
    <m/>
    <m/>
    <m/>
    <n v="0"/>
    <m/>
    <m/>
    <m/>
    <m/>
    <n v="2.3E-2"/>
    <n v="519800"/>
    <m/>
    <m/>
    <m/>
    <m/>
    <n v="8.9999999999999993E-3"/>
    <n v="203399.99999999997"/>
    <m/>
    <m/>
    <m/>
    <m/>
    <m/>
    <n v="0"/>
    <m/>
    <m/>
    <m/>
    <m/>
    <m/>
    <n v="0"/>
    <m/>
    <m/>
    <m/>
    <m/>
    <n v="1"/>
    <n v="22600000"/>
  </r>
  <r>
    <m/>
    <n v="7"/>
    <n v="7"/>
    <s v="MN"/>
    <n v="999"/>
    <s v="MN999"/>
    <m/>
    <x v="8"/>
    <m/>
    <m/>
    <m/>
    <m/>
    <s v="NON-NHS PAVEMENTS SETASIDE"/>
    <m/>
    <m/>
    <m/>
    <m/>
    <m/>
    <m/>
    <s v=""/>
    <m/>
    <m/>
    <m/>
    <m/>
    <s v=""/>
    <m/>
    <m/>
    <m/>
    <n v="22600000"/>
    <m/>
    <m/>
    <m/>
    <m/>
    <n v="0"/>
    <m/>
    <m/>
    <m/>
    <n v="0"/>
    <m/>
    <m/>
    <m/>
    <n v="0"/>
    <m/>
    <m/>
    <m/>
    <m/>
    <n v="0"/>
    <m/>
    <n v="22600000"/>
    <n v="22600000"/>
    <n v="4759700"/>
    <n v="1760000"/>
    <n v="2023"/>
    <m/>
    <m/>
    <m/>
    <m/>
    <m/>
    <m/>
    <m/>
    <m/>
    <m/>
    <m/>
    <m/>
    <m/>
    <m/>
    <n v="0.82099999999999995"/>
    <n v="18554600"/>
    <m/>
    <m/>
    <m/>
    <m/>
    <m/>
    <n v="0"/>
    <m/>
    <n v="0.115"/>
    <n v="2599000"/>
    <m/>
    <m/>
    <m/>
    <m/>
    <n v="3.2000000000000001E-2"/>
    <n v="723200"/>
    <m/>
    <m/>
    <m/>
    <m/>
    <m/>
    <n v="0"/>
    <m/>
    <m/>
    <m/>
    <m/>
    <m/>
    <n v="0"/>
    <m/>
    <m/>
    <m/>
    <m/>
    <n v="2.3E-2"/>
    <n v="519800"/>
    <m/>
    <m/>
    <m/>
    <m/>
    <n v="8.9999999999999993E-3"/>
    <n v="203399.99999999997"/>
    <m/>
    <m/>
    <m/>
    <m/>
    <m/>
    <n v="0"/>
    <m/>
    <m/>
    <m/>
    <m/>
    <m/>
    <n v="0"/>
    <m/>
    <m/>
    <m/>
    <m/>
    <n v="1"/>
    <n v="22600000"/>
  </r>
  <r>
    <m/>
    <n v="7"/>
    <n v="7"/>
    <s v="US"/>
    <n v="999"/>
    <s v="US999"/>
    <m/>
    <x v="6"/>
    <m/>
    <m/>
    <m/>
    <m/>
    <s v="NHS PAVEMENTS SETASIDE"/>
    <m/>
    <m/>
    <m/>
    <m/>
    <m/>
    <m/>
    <s v=""/>
    <m/>
    <m/>
    <m/>
    <m/>
    <s v=""/>
    <m/>
    <m/>
    <m/>
    <n v="22400000"/>
    <m/>
    <m/>
    <m/>
    <m/>
    <n v="0"/>
    <m/>
    <m/>
    <m/>
    <n v="0"/>
    <m/>
    <m/>
    <m/>
    <n v="0"/>
    <m/>
    <m/>
    <m/>
    <m/>
    <n v="0"/>
    <m/>
    <n v="22400000"/>
    <n v="22400000"/>
    <n v="4941900"/>
    <n v="1760000"/>
    <n v="2021"/>
    <m/>
    <m/>
    <m/>
    <m/>
    <m/>
    <m/>
    <m/>
    <m/>
    <m/>
    <m/>
    <m/>
    <m/>
    <m/>
    <n v="0.82099999999999995"/>
    <n v="18390400"/>
    <m/>
    <m/>
    <m/>
    <m/>
    <m/>
    <n v="0"/>
    <m/>
    <n v="0.115"/>
    <n v="2576000"/>
    <m/>
    <m/>
    <m/>
    <m/>
    <n v="3.2000000000000001E-2"/>
    <n v="716800"/>
    <m/>
    <m/>
    <m/>
    <m/>
    <m/>
    <n v="0"/>
    <m/>
    <m/>
    <m/>
    <m/>
    <m/>
    <n v="0"/>
    <m/>
    <m/>
    <m/>
    <m/>
    <n v="2.3E-2"/>
    <n v="515200"/>
    <m/>
    <m/>
    <m/>
    <m/>
    <n v="8.9999999999999993E-3"/>
    <n v="201599.99999999997"/>
    <m/>
    <m/>
    <m/>
    <m/>
    <m/>
    <n v="0"/>
    <m/>
    <m/>
    <m/>
    <m/>
    <m/>
    <n v="0"/>
    <m/>
    <m/>
    <m/>
    <m/>
    <n v="1"/>
    <n v="22400000"/>
  </r>
  <r>
    <m/>
    <n v="7"/>
    <n v="7"/>
    <s v="US"/>
    <n v="999"/>
    <s v="US999"/>
    <m/>
    <x v="7"/>
    <m/>
    <m/>
    <m/>
    <m/>
    <s v="NHS PAVEMENTS SETASIDE"/>
    <m/>
    <m/>
    <m/>
    <m/>
    <m/>
    <m/>
    <s v=""/>
    <m/>
    <m/>
    <m/>
    <m/>
    <s v=""/>
    <m/>
    <m/>
    <m/>
    <n v="22400000"/>
    <m/>
    <m/>
    <m/>
    <m/>
    <n v="0"/>
    <m/>
    <m/>
    <m/>
    <n v="0"/>
    <m/>
    <m/>
    <m/>
    <n v="0"/>
    <m/>
    <m/>
    <m/>
    <m/>
    <n v="0"/>
    <m/>
    <n v="22400000"/>
    <n v="22400000"/>
    <n v="13501900"/>
    <n v="4100000"/>
    <n v="2022"/>
    <m/>
    <m/>
    <m/>
    <m/>
    <m/>
    <m/>
    <m/>
    <m/>
    <m/>
    <m/>
    <m/>
    <m/>
    <m/>
    <n v="0.82099999999999995"/>
    <n v="18390400"/>
    <m/>
    <m/>
    <m/>
    <m/>
    <m/>
    <n v="0"/>
    <m/>
    <n v="0.115"/>
    <n v="2576000"/>
    <m/>
    <m/>
    <m/>
    <m/>
    <n v="3.2000000000000001E-2"/>
    <n v="716800"/>
    <m/>
    <m/>
    <m/>
    <m/>
    <m/>
    <n v="0"/>
    <m/>
    <m/>
    <m/>
    <m/>
    <m/>
    <n v="0"/>
    <m/>
    <m/>
    <m/>
    <m/>
    <n v="2.3E-2"/>
    <n v="515200"/>
    <m/>
    <m/>
    <m/>
    <m/>
    <n v="8.9999999999999993E-3"/>
    <n v="201599.99999999997"/>
    <m/>
    <m/>
    <m/>
    <m/>
    <m/>
    <n v="0"/>
    <m/>
    <m/>
    <m/>
    <m/>
    <m/>
    <n v="0"/>
    <m/>
    <m/>
    <m/>
    <m/>
    <n v="1"/>
    <n v="22400000"/>
  </r>
  <r>
    <m/>
    <n v="7"/>
    <n v="7"/>
    <s v="US"/>
    <n v="999"/>
    <s v="US999"/>
    <m/>
    <x v="8"/>
    <m/>
    <m/>
    <m/>
    <m/>
    <s v="NHS PAVEMENTS SETASIDE"/>
    <m/>
    <m/>
    <m/>
    <m/>
    <m/>
    <m/>
    <s v=""/>
    <m/>
    <m/>
    <m/>
    <m/>
    <s v=""/>
    <m/>
    <m/>
    <m/>
    <n v="22400000"/>
    <m/>
    <m/>
    <m/>
    <m/>
    <n v="0"/>
    <m/>
    <m/>
    <m/>
    <n v="0"/>
    <m/>
    <m/>
    <m/>
    <n v="0"/>
    <m/>
    <m/>
    <m/>
    <m/>
    <n v="0"/>
    <m/>
    <n v="22400000"/>
    <n v="22400000"/>
    <n v="4941900"/>
    <n v="1760000"/>
    <n v="2023"/>
    <m/>
    <m/>
    <m/>
    <m/>
    <m/>
    <m/>
    <m/>
    <m/>
    <m/>
    <m/>
    <m/>
    <m/>
    <m/>
    <n v="0.82099999999999995"/>
    <n v="18390400"/>
    <m/>
    <m/>
    <m/>
    <m/>
    <m/>
    <n v="0"/>
    <m/>
    <n v="0.115"/>
    <n v="2576000"/>
    <m/>
    <m/>
    <m/>
    <m/>
    <n v="3.2000000000000001E-2"/>
    <n v="716800"/>
    <m/>
    <m/>
    <m/>
    <m/>
    <m/>
    <n v="0"/>
    <m/>
    <m/>
    <m/>
    <m/>
    <m/>
    <n v="0"/>
    <m/>
    <m/>
    <m/>
    <m/>
    <n v="2.3E-2"/>
    <n v="515200"/>
    <m/>
    <m/>
    <m/>
    <m/>
    <n v="8.9999999999999993E-3"/>
    <n v="201599.99999999997"/>
    <m/>
    <m/>
    <m/>
    <m/>
    <m/>
    <n v="0"/>
    <m/>
    <m/>
    <m/>
    <m/>
    <m/>
    <n v="0"/>
    <m/>
    <m/>
    <m/>
    <m/>
    <n v="1"/>
    <n v="22400000"/>
  </r>
  <r>
    <m/>
    <n v="4"/>
    <n v="4"/>
    <s v="US"/>
    <n v="10"/>
    <s v="US 10"/>
    <s v="0305-34"/>
    <x v="9"/>
    <s v="2017-22"/>
    <s v="S"/>
    <s v="MNDOT"/>
    <m/>
    <s v="REHABILITATION, BRIDGE # 03003 OVER CP RAILROAD, EB "/>
    <n v="911000"/>
    <n v="0"/>
    <n v="0"/>
    <n v="728800"/>
    <n v="0"/>
    <n v="728800"/>
    <n v="0"/>
    <n v="0"/>
    <n v="0"/>
    <n v="0"/>
    <n v="0"/>
    <n v="0"/>
    <n v="0"/>
    <n v="0"/>
    <n v="0"/>
    <n v="911000"/>
    <n v="182200"/>
    <n v="0"/>
    <n v="182200"/>
    <n v="0"/>
    <n v="0"/>
    <n v="911000"/>
    <n v="107043119.5"/>
    <n v="53874730"/>
    <n v="2017"/>
    <m/>
    <s v="CHECK PRICES FOR REPLACEMENT, REDECK IS PLANNED, BUT BRIDGE OFFICE NEEDS TO SEE IF IT NEEDS REPLACEMENT.  Is description ok?"/>
    <m/>
    <m/>
    <m/>
    <m/>
    <s v="NO"/>
    <s v="NO"/>
    <s v="7th District"/>
    <s v="NO"/>
    <n v="0"/>
    <s v="YES"/>
    <s v="NO"/>
    <m/>
    <n v="0"/>
    <m/>
    <m/>
    <m/>
    <m/>
    <n v="1"/>
    <n v="911000"/>
    <m/>
    <m/>
    <m/>
    <m/>
    <m/>
    <n v="0"/>
    <m/>
    <m/>
    <n v="0"/>
    <m/>
    <m/>
    <m/>
    <m/>
    <n v="1"/>
    <n v="911000"/>
    <m/>
    <m/>
    <n v="0"/>
    <m/>
    <m/>
    <m/>
    <m/>
    <m/>
    <n v="0"/>
    <m/>
    <m/>
    <m/>
    <m/>
    <m/>
    <n v="0"/>
    <m/>
    <m/>
    <m/>
    <m/>
    <m/>
    <n v="0"/>
    <m/>
    <m/>
    <m/>
    <m/>
    <m/>
    <n v="0"/>
    <m/>
    <m/>
    <m/>
    <m/>
    <m/>
    <n v="0"/>
    <m/>
    <m/>
    <m/>
    <m/>
    <m/>
    <n v="0"/>
    <m/>
    <m/>
    <m/>
    <m/>
    <m/>
    <n v="0"/>
    <m/>
    <m/>
    <m/>
    <m/>
    <n v="1"/>
    <n v="911000"/>
  </r>
  <r>
    <m/>
    <n v="2"/>
    <n v="2"/>
    <s v="MN"/>
    <n v="1"/>
    <s v="MN 1"/>
    <s v="0401-08"/>
    <x v="1"/>
    <m/>
    <s v="S"/>
    <s v="MNDOT"/>
    <m/>
    <s v="**BP08** 12.5 MI W OF TH 89, REPL BR #04001 WITH NEW BR #04029 (CH 152) OVER OVERFLOW CHANNEL"/>
    <s v="076+00.796"/>
    <s v="076+00.796"/>
    <n v="0"/>
    <m/>
    <s v="BELTRAMI"/>
    <s v="BR"/>
    <m/>
    <m/>
    <m/>
    <s v="BRPC - BRIDGE REPLACEMENT OR CONSTRUCTION"/>
    <s v="BRIDGE REPLACEMENT"/>
    <s v="BF  "/>
    <s v="BF"/>
    <m/>
    <m/>
    <n v="1400000"/>
    <n v="0"/>
    <n v="0"/>
    <n v="0"/>
    <n v="0"/>
    <n v="0"/>
    <n v="0"/>
    <n v="0"/>
    <n v="0"/>
    <n v="0"/>
    <n v="0"/>
    <n v="0"/>
    <n v="0"/>
    <n v="0"/>
    <n v="0"/>
    <n v="0"/>
    <n v="0"/>
    <n v="0"/>
    <n v="0"/>
    <n v="1400000"/>
    <n v="0"/>
    <n v="1400000"/>
    <n v="6343435"/>
    <n v="0"/>
    <n v="2015"/>
    <m/>
    <m/>
    <s v="BP09"/>
    <m/>
    <m/>
    <s v="YES"/>
    <s v="NO"/>
    <s v="NO"/>
    <s v="7th District"/>
    <s v="NO"/>
    <s v="NO"/>
    <s v="NO"/>
    <s v="NO"/>
    <n v="0"/>
    <n v="0"/>
    <m/>
    <m/>
    <m/>
    <m/>
    <n v="0.92900000000000005"/>
    <n v="1300600"/>
    <m/>
    <n v="0"/>
    <n v="0"/>
    <m/>
    <m/>
    <m/>
    <m/>
    <n v="0"/>
    <n v="0"/>
    <m/>
    <m/>
    <m/>
    <m/>
    <n v="0"/>
    <n v="0"/>
    <m/>
    <m/>
    <m/>
    <m/>
    <n v="0"/>
    <n v="0"/>
    <m/>
    <m/>
    <m/>
    <m/>
    <n v="3.5000000000000003E-2"/>
    <n v="49000.000000000007"/>
    <m/>
    <m/>
    <m/>
    <m/>
    <n v="3.6000000000000004E-2"/>
    <n v="50400.000000000007"/>
    <m/>
    <m/>
    <m/>
    <m/>
    <n v="0"/>
    <n v="0"/>
    <m/>
    <m/>
    <m/>
    <m/>
    <n v="0"/>
    <n v="0"/>
    <m/>
    <m/>
    <m/>
    <m/>
    <n v="1"/>
    <n v="1400000"/>
  </r>
  <r>
    <n v="184"/>
    <n v="2"/>
    <n v="2"/>
    <s v="US"/>
    <n v="2"/>
    <s v="US 2"/>
    <s v="0406-59"/>
    <x v="2"/>
    <s v="2015-25"/>
    <s v="S"/>
    <s v="MNDOT"/>
    <m/>
    <s v="**ELLA** INTERSECTION REVISION AT US2 &amp; MN89, W OF BEMIDJI &amp; NEW BR #04030"/>
    <s v="108+00.149"/>
    <s v="108+00.149"/>
    <n v="0"/>
    <m/>
    <s v="BELTRAMI"/>
    <s v="SC"/>
    <s v="7-O-C "/>
    <s v="7-O-C"/>
    <m/>
    <s v="GSBR - GRADE, SURFACE AND BRIDGE"/>
    <s v="GRADE AND BRIDGE"/>
    <s v="NHPP  "/>
    <s v="NHPP"/>
    <m/>
    <m/>
    <n v="5000000"/>
    <n v="0"/>
    <n v="0"/>
    <n v="4000000"/>
    <n v="0"/>
    <n v="4000000"/>
    <n v="0"/>
    <n v="0"/>
    <n v="0"/>
    <n v="0"/>
    <n v="0"/>
    <n v="0"/>
    <n v="0"/>
    <n v="0"/>
    <n v="0"/>
    <n v="0"/>
    <n v="1000000"/>
    <n v="0"/>
    <n v="1000000"/>
    <n v="0"/>
    <n v="0"/>
    <n v="5000000"/>
    <n v="41309286"/>
    <n v="18770394"/>
    <n v="2016"/>
    <m/>
    <m/>
    <m/>
    <m/>
    <m/>
    <m/>
    <s v="NO"/>
    <s v="NO"/>
    <s v="7th District"/>
    <s v="YES"/>
    <s v="NO"/>
    <s v="Yes"/>
    <s v="NO"/>
    <n v="0"/>
    <n v="0"/>
    <m/>
    <m/>
    <m/>
    <m/>
    <n v="0"/>
    <n v="0"/>
    <m/>
    <n v="0"/>
    <n v="0"/>
    <m/>
    <m/>
    <m/>
    <m/>
    <n v="1"/>
    <n v="5000000"/>
    <m/>
    <m/>
    <m/>
    <m/>
    <n v="0"/>
    <n v="0"/>
    <m/>
    <m/>
    <m/>
    <m/>
    <n v="0"/>
    <n v="0"/>
    <m/>
    <m/>
    <m/>
    <m/>
    <n v="0"/>
    <n v="0"/>
    <m/>
    <m/>
    <m/>
    <m/>
    <n v="0"/>
    <n v="0"/>
    <m/>
    <m/>
    <m/>
    <m/>
    <n v="0"/>
    <n v="0"/>
    <m/>
    <m/>
    <m/>
    <m/>
    <n v="0"/>
    <n v="0"/>
    <m/>
    <m/>
    <m/>
    <m/>
    <n v="1"/>
    <n v="5000000"/>
  </r>
  <r>
    <m/>
    <n v="2"/>
    <n v="2"/>
    <s v="US"/>
    <n v="2"/>
    <s v="US 2"/>
    <s v="0406-60"/>
    <x v="9"/>
    <m/>
    <s v="S"/>
    <s v="MNDOT"/>
    <m/>
    <s v="BEMIDJI BYPASS - EB &amp; WB LANES, REPAIR  7 BRIDGES: BR #04005, BR #04006, BR #04007, BR #04008, BR #04009, BR #04010 &amp; BR #04023 AND LOWER GRADES ON BR #04019 &amp; BR #04023"/>
    <s v="111+00.236"/>
    <s v="113+00.322"/>
    <n v="1.6"/>
    <m/>
    <s v="BELTRAMI"/>
    <s v="BI"/>
    <m/>
    <m/>
    <m/>
    <s v="BRRH - BRIDGE REHABILITATION"/>
    <s v="BRIDGE REPAIR"/>
    <s v="NHPP  "/>
    <s v="NHPP"/>
    <m/>
    <m/>
    <n v="3400000"/>
    <n v="0"/>
    <n v="0"/>
    <n v="2720000"/>
    <n v="0"/>
    <n v="2720000"/>
    <n v="0"/>
    <n v="0"/>
    <n v="0"/>
    <n v="0"/>
    <n v="0"/>
    <n v="0"/>
    <n v="0"/>
    <n v="0"/>
    <n v="0"/>
    <n v="0"/>
    <n v="680000"/>
    <n v="0"/>
    <n v="680000"/>
    <n v="0"/>
    <n v="0"/>
    <n v="3400000"/>
    <n v="6119400"/>
    <n v="680000"/>
    <n v="2017"/>
    <m/>
    <m/>
    <m/>
    <m/>
    <m/>
    <m/>
    <s v="NO"/>
    <s v="NO"/>
    <s v="Multiple Congressional Districts"/>
    <s v="NO"/>
    <s v="NO"/>
    <s v="Yes"/>
    <s v="NO"/>
    <n v="0"/>
    <n v="0"/>
    <m/>
    <m/>
    <m/>
    <m/>
    <n v="0.92900000000000005"/>
    <n v="3158600"/>
    <m/>
    <n v="0"/>
    <n v="0"/>
    <m/>
    <m/>
    <m/>
    <m/>
    <n v="0"/>
    <n v="0"/>
    <m/>
    <m/>
    <m/>
    <m/>
    <n v="0"/>
    <n v="0"/>
    <m/>
    <m/>
    <m/>
    <m/>
    <n v="0"/>
    <n v="0"/>
    <m/>
    <m/>
    <m/>
    <m/>
    <n v="3.5000000000000003E-2"/>
    <n v="119000.00000000001"/>
    <m/>
    <m/>
    <m/>
    <m/>
    <n v="3.6000000000000004E-2"/>
    <n v="122400.00000000001"/>
    <m/>
    <m/>
    <m/>
    <m/>
    <n v="0"/>
    <n v="0"/>
    <m/>
    <m/>
    <m/>
    <m/>
    <n v="0"/>
    <n v="0"/>
    <m/>
    <m/>
    <m/>
    <m/>
    <n v="1"/>
    <n v="3400000"/>
  </r>
  <r>
    <m/>
    <s v="M"/>
    <s v="M"/>
    <s v="MN"/>
    <n v="999"/>
    <s v="MN999"/>
    <m/>
    <x v="6"/>
    <m/>
    <m/>
    <m/>
    <m/>
    <s v="NON-NHS PAVEMENTS SETASIDE"/>
    <m/>
    <m/>
    <m/>
    <m/>
    <m/>
    <m/>
    <s v=""/>
    <m/>
    <m/>
    <m/>
    <m/>
    <s v=""/>
    <m/>
    <m/>
    <m/>
    <n v="18500000"/>
    <m/>
    <m/>
    <m/>
    <m/>
    <n v="0"/>
    <m/>
    <m/>
    <m/>
    <n v="0"/>
    <m/>
    <m/>
    <m/>
    <n v="0"/>
    <m/>
    <m/>
    <m/>
    <m/>
    <n v="0"/>
    <m/>
    <n v="18500000"/>
    <n v="18500000"/>
    <n v="11661900"/>
    <n v="5790270"/>
    <n v="2021"/>
    <m/>
    <m/>
    <m/>
    <m/>
    <m/>
    <m/>
    <m/>
    <m/>
    <m/>
    <m/>
    <m/>
    <m/>
    <m/>
    <n v="0.82099999999999995"/>
    <n v="15188500"/>
    <m/>
    <m/>
    <m/>
    <m/>
    <m/>
    <n v="0"/>
    <m/>
    <n v="0.115"/>
    <n v="2127500"/>
    <m/>
    <m/>
    <m/>
    <m/>
    <n v="3.2000000000000001E-2"/>
    <n v="592000"/>
    <m/>
    <m/>
    <m/>
    <m/>
    <m/>
    <n v="0"/>
    <m/>
    <m/>
    <m/>
    <m/>
    <m/>
    <n v="0"/>
    <m/>
    <m/>
    <m/>
    <m/>
    <n v="2.3E-2"/>
    <n v="425500"/>
    <m/>
    <m/>
    <m/>
    <m/>
    <n v="8.9999999999999993E-3"/>
    <n v="166500"/>
    <m/>
    <m/>
    <m/>
    <m/>
    <m/>
    <n v="0"/>
    <m/>
    <m/>
    <m/>
    <m/>
    <m/>
    <n v="0"/>
    <m/>
    <m/>
    <m/>
    <m/>
    <n v="1"/>
    <n v="18500000"/>
  </r>
  <r>
    <n v="80"/>
    <s v="M"/>
    <s v="M"/>
    <s v="MN"/>
    <n v="999"/>
    <s v="MN999"/>
    <m/>
    <x v="7"/>
    <m/>
    <m/>
    <m/>
    <m/>
    <s v="NON-NHS PAVEMENTS SETASIDE"/>
    <m/>
    <m/>
    <m/>
    <m/>
    <m/>
    <m/>
    <s v=""/>
    <m/>
    <m/>
    <m/>
    <m/>
    <s v=""/>
    <m/>
    <m/>
    <m/>
    <n v="18500000"/>
    <m/>
    <m/>
    <m/>
    <m/>
    <n v="0"/>
    <m/>
    <m/>
    <m/>
    <n v="0"/>
    <m/>
    <m/>
    <m/>
    <n v="0"/>
    <m/>
    <m/>
    <m/>
    <m/>
    <n v="0"/>
    <m/>
    <n v="18500000"/>
    <n v="18500000"/>
    <n v="11661900"/>
    <n v="5790270"/>
    <n v="2022"/>
    <m/>
    <m/>
    <m/>
    <m/>
    <m/>
    <m/>
    <m/>
    <m/>
    <m/>
    <m/>
    <m/>
    <m/>
    <m/>
    <n v="0.82099999999999995"/>
    <n v="15188500"/>
    <m/>
    <m/>
    <m/>
    <m/>
    <m/>
    <n v="0"/>
    <m/>
    <n v="0.115"/>
    <n v="2127500"/>
    <m/>
    <m/>
    <m/>
    <m/>
    <n v="3.2000000000000001E-2"/>
    <n v="592000"/>
    <m/>
    <m/>
    <m/>
    <m/>
    <m/>
    <n v="0"/>
    <m/>
    <m/>
    <m/>
    <m/>
    <m/>
    <n v="0"/>
    <m/>
    <m/>
    <m/>
    <m/>
    <n v="2.3E-2"/>
    <n v="425500"/>
    <m/>
    <m/>
    <m/>
    <m/>
    <n v="8.9999999999999993E-3"/>
    <n v="166500"/>
    <m/>
    <m/>
    <m/>
    <m/>
    <m/>
    <n v="0"/>
    <m/>
    <m/>
    <m/>
    <m/>
    <m/>
    <n v="0"/>
    <m/>
    <m/>
    <m/>
    <m/>
    <n v="1"/>
    <n v="18500000"/>
  </r>
  <r>
    <m/>
    <s v="M"/>
    <s v="M"/>
    <s v="MN"/>
    <n v="999"/>
    <s v="MN999"/>
    <m/>
    <x v="8"/>
    <m/>
    <m/>
    <m/>
    <m/>
    <s v="NON-NHS PAVEMENTS SETASIDE"/>
    <m/>
    <m/>
    <m/>
    <m/>
    <m/>
    <m/>
    <s v=""/>
    <m/>
    <m/>
    <m/>
    <m/>
    <s v=""/>
    <m/>
    <m/>
    <m/>
    <n v="18500000"/>
    <m/>
    <m/>
    <m/>
    <m/>
    <n v="0"/>
    <m/>
    <m/>
    <m/>
    <n v="0"/>
    <m/>
    <m/>
    <m/>
    <n v="0"/>
    <m/>
    <m/>
    <m/>
    <m/>
    <n v="0"/>
    <m/>
    <n v="18500000"/>
    <n v="18500000"/>
    <n v="11661900"/>
    <n v="5790270"/>
    <n v="2023"/>
    <m/>
    <m/>
    <m/>
    <m/>
    <m/>
    <m/>
    <m/>
    <m/>
    <m/>
    <m/>
    <m/>
    <m/>
    <m/>
    <n v="0.82099999999999995"/>
    <n v="15188500"/>
    <m/>
    <m/>
    <m/>
    <m/>
    <m/>
    <n v="0"/>
    <m/>
    <n v="0.115"/>
    <n v="2127500"/>
    <m/>
    <m/>
    <m/>
    <m/>
    <n v="3.2000000000000001E-2"/>
    <n v="592000"/>
    <m/>
    <m/>
    <m/>
    <m/>
    <m/>
    <n v="0"/>
    <m/>
    <m/>
    <m/>
    <m/>
    <m/>
    <n v="0"/>
    <m/>
    <m/>
    <m/>
    <m/>
    <n v="2.3E-2"/>
    <n v="425500"/>
    <m/>
    <m/>
    <m/>
    <m/>
    <n v="8.9999999999999993E-3"/>
    <n v="166500"/>
    <m/>
    <m/>
    <m/>
    <m/>
    <m/>
    <n v="0"/>
    <m/>
    <m/>
    <m/>
    <m/>
    <m/>
    <n v="0"/>
    <m/>
    <m/>
    <m/>
    <m/>
    <n v="1"/>
    <n v="18500000"/>
  </r>
  <r>
    <n v="175"/>
    <n v="2"/>
    <n v="2"/>
    <s v="MN"/>
    <n v="197"/>
    <s v="MN 197"/>
    <s v="0416-50"/>
    <x v="1"/>
    <s v="2015-31"/>
    <s v="S"/>
    <s v="MNDOT"/>
    <m/>
    <s v="**ADA** IN BEMIDJI, FROM 23RD ST TO HANNAH AVE, REPLACE &amp; INSTALL PED CURB RAMPS &amp; APS SIGNAL ENHANCEMENTS &amp; UPGRADE SIGNAL AT IRVINE AVE"/>
    <s v="004+00.466"/>
    <s v="005+00.770"/>
    <n v="1.3"/>
    <s v="BEMIDJI"/>
    <s v="BELTRAMI"/>
    <s v="SC"/>
    <s v="7-O-C "/>
    <s v="7-O-C"/>
    <m/>
    <s v="TRCD - TRAFFIC CONTROL DEVICES"/>
    <s v="PEDESTRIAN  RAMPS"/>
    <s v="NHPP SF "/>
    <s v="NHPP"/>
    <s v="SF"/>
    <m/>
    <n v="500000"/>
    <n v="0"/>
    <n v="0"/>
    <n v="240000"/>
    <n v="0"/>
    <n v="240000"/>
    <n v="0"/>
    <n v="0"/>
    <n v="0"/>
    <n v="0"/>
    <n v="0"/>
    <n v="0"/>
    <n v="0"/>
    <n v="0"/>
    <n v="0"/>
    <n v="0"/>
    <n v="260000"/>
    <n v="0"/>
    <n v="260000"/>
    <n v="0"/>
    <n v="0"/>
    <n v="500000"/>
    <n v="24233835"/>
    <n v="4672600"/>
    <n v="2015"/>
    <m/>
    <s v="$60,000 SM _x000a_$200,000 SF_x000a_Total State $260,000"/>
    <s v="ADA"/>
    <m/>
    <m/>
    <m/>
    <s v="YES"/>
    <s v="NO"/>
    <s v="7th District"/>
    <s v="NO"/>
    <s v="NO"/>
    <s v="Yes"/>
    <s v="NO"/>
    <n v="0"/>
    <n v="0"/>
    <m/>
    <m/>
    <m/>
    <m/>
    <n v="0"/>
    <n v="0"/>
    <m/>
    <n v="0.4"/>
    <n v="200000"/>
    <m/>
    <m/>
    <m/>
    <m/>
    <n v="0"/>
    <n v="0"/>
    <m/>
    <m/>
    <m/>
    <m/>
    <n v="0"/>
    <n v="0"/>
    <m/>
    <m/>
    <m/>
    <m/>
    <n v="0"/>
    <n v="0"/>
    <m/>
    <m/>
    <m/>
    <m/>
    <n v="0"/>
    <n v="0"/>
    <m/>
    <m/>
    <m/>
    <m/>
    <n v="0.6"/>
    <n v="300000"/>
    <m/>
    <m/>
    <m/>
    <m/>
    <n v="0"/>
    <n v="0"/>
    <m/>
    <m/>
    <m/>
    <m/>
    <n v="0"/>
    <n v="0"/>
    <m/>
    <m/>
    <m/>
    <m/>
    <n v="1"/>
    <n v="500000"/>
  </r>
  <r>
    <m/>
    <n v="2"/>
    <n v="2"/>
    <s v="MN"/>
    <n v="197"/>
    <s v="MN 197"/>
    <s v="0416-51"/>
    <x v="9"/>
    <m/>
    <s v="S"/>
    <s v="MNDOT"/>
    <m/>
    <s v="IN BEMIDJI, NB &amp; SB - FROM BELTTRAMI CSAH 50 TO 2ND ST, MILL &amp; OVERLAY &amp; PED RAMPS"/>
    <s v="001+00.719"/>
    <s v="002+00.989"/>
    <n v="1.3"/>
    <m/>
    <s v="BELTRAMI"/>
    <s v="RS"/>
    <m/>
    <m/>
    <m/>
    <s v="PVTR - PAVEMENT RESURFACE AND REHABILITATION"/>
    <s v="MILL AND OVERLAY"/>
    <s v="NHPP  "/>
    <s v="NHPP"/>
    <m/>
    <m/>
    <n v="2000000"/>
    <n v="0"/>
    <n v="0"/>
    <n v="1600000"/>
    <n v="0"/>
    <n v="1600000"/>
    <n v="0"/>
    <n v="0"/>
    <n v="0"/>
    <n v="0"/>
    <n v="0"/>
    <n v="0"/>
    <n v="0"/>
    <n v="0"/>
    <n v="0"/>
    <n v="0"/>
    <n v="400000"/>
    <n v="0"/>
    <n v="400000"/>
    <n v="0"/>
    <n v="0"/>
    <n v="2000000"/>
    <n v="7719400"/>
    <n v="1080000"/>
    <n v="2017"/>
    <m/>
    <m/>
    <m/>
    <m/>
    <m/>
    <m/>
    <s v="NO"/>
    <s v="NO"/>
    <s v="8th District"/>
    <s v="NO"/>
    <s v="NO"/>
    <s v="Yes"/>
    <s v="NO"/>
    <n v="0.82099999999999995"/>
    <n v="1642000"/>
    <m/>
    <m/>
    <m/>
    <m/>
    <n v="0"/>
    <n v="0"/>
    <m/>
    <n v="0.115"/>
    <n v="230000"/>
    <m/>
    <m/>
    <m/>
    <m/>
    <n v="3.2000000000000001E-2"/>
    <n v="64000"/>
    <m/>
    <m/>
    <m/>
    <m/>
    <n v="0"/>
    <n v="0"/>
    <m/>
    <m/>
    <m/>
    <m/>
    <n v="0"/>
    <n v="0"/>
    <m/>
    <m/>
    <m/>
    <m/>
    <n v="2.3E-2"/>
    <n v="46000"/>
    <m/>
    <m/>
    <m/>
    <m/>
    <n v="9.0000000000000011E-3"/>
    <n v="18000.000000000004"/>
    <m/>
    <m/>
    <m/>
    <m/>
    <n v="0"/>
    <n v="0"/>
    <m/>
    <m/>
    <m/>
    <m/>
    <n v="0"/>
    <n v="0"/>
    <m/>
    <m/>
    <m/>
    <m/>
    <n v="1"/>
    <n v="2000000"/>
  </r>
  <r>
    <m/>
    <s v="M"/>
    <s v="M"/>
    <s v="MN"/>
    <n v="999"/>
    <s v="MN999"/>
    <m/>
    <x v="5"/>
    <m/>
    <m/>
    <m/>
    <m/>
    <s v="NON-NHS BRIDGE SETASIDE"/>
    <m/>
    <m/>
    <m/>
    <m/>
    <m/>
    <m/>
    <s v=""/>
    <m/>
    <m/>
    <m/>
    <m/>
    <s v=""/>
    <m/>
    <m/>
    <m/>
    <n v="11100000"/>
    <m/>
    <m/>
    <m/>
    <m/>
    <n v="0"/>
    <m/>
    <m/>
    <m/>
    <n v="0"/>
    <m/>
    <m/>
    <m/>
    <n v="0"/>
    <m/>
    <m/>
    <m/>
    <m/>
    <n v="0"/>
    <m/>
    <n v="11100000"/>
    <n v="11100000"/>
    <n v="13501900"/>
    <n v="6450270"/>
    <n v="2020"/>
    <m/>
    <m/>
    <m/>
    <m/>
    <m/>
    <m/>
    <m/>
    <m/>
    <m/>
    <m/>
    <m/>
    <m/>
    <m/>
    <m/>
    <n v="0"/>
    <m/>
    <m/>
    <m/>
    <m/>
    <n v="0.92900000000000005"/>
    <n v="10311900"/>
    <m/>
    <m/>
    <n v="0"/>
    <m/>
    <m/>
    <m/>
    <m/>
    <m/>
    <n v="0"/>
    <m/>
    <m/>
    <m/>
    <m/>
    <m/>
    <n v="0"/>
    <m/>
    <m/>
    <m/>
    <m/>
    <m/>
    <n v="0"/>
    <m/>
    <m/>
    <m/>
    <m/>
    <n v="3.5000000000000003E-2"/>
    <n v="388500.00000000006"/>
    <m/>
    <m/>
    <m/>
    <m/>
    <n v="3.5999999999999997E-2"/>
    <n v="399599.99999999994"/>
    <m/>
    <m/>
    <m/>
    <m/>
    <m/>
    <n v="0"/>
    <m/>
    <m/>
    <m/>
    <m/>
    <m/>
    <n v="0"/>
    <m/>
    <m/>
    <m/>
    <m/>
    <n v="1"/>
    <n v="11100000"/>
  </r>
  <r>
    <m/>
    <n v="3"/>
    <n v="3"/>
    <s v="US"/>
    <n v="10"/>
    <s v="US 10"/>
    <s v="0501-29"/>
    <x v="0"/>
    <s v="2013-"/>
    <s v="S"/>
    <s v="MNDOT"/>
    <n v="3"/>
    <s v="TH 10 AND TH 23 INTERCHANGE AREA, RESURFACING"/>
    <s v="177+00.341"/>
    <s v="178+00.583"/>
    <n v="1.2"/>
    <s v="SAINT CLOUD"/>
    <s v="BENTON"/>
    <s v="RS"/>
    <s v="1-P "/>
    <s v="1-P"/>
    <m/>
    <s v="PVTR - PAVEMENT RESURFACE AND REHABILITATION"/>
    <s v="BITUMINOUS OVERLAY"/>
    <s v="NHPP SF "/>
    <s v="NHPP"/>
    <s v="SF"/>
    <m/>
    <n v="1600000"/>
    <n v="0"/>
    <n v="0"/>
    <n v="0"/>
    <n v="1280000"/>
    <n v="0"/>
    <n v="0"/>
    <n v="0"/>
    <n v="0"/>
    <n v="0"/>
    <n v="0"/>
    <n v="0"/>
    <n v="1280000"/>
    <n v="1280000"/>
    <n v="0"/>
    <n v="1280000"/>
    <n v="0"/>
    <n v="0"/>
    <n v="0"/>
    <n v="0"/>
    <n v="0"/>
    <n v="0"/>
    <n v="0"/>
    <n v="0"/>
    <n v="0"/>
    <n v="0"/>
    <n v="320000"/>
    <n v="0"/>
    <n v="320000"/>
    <n v="0"/>
    <n v="0"/>
    <n v="1600000"/>
    <n v="13218328"/>
    <n v="320000"/>
    <n v="2014"/>
    <m/>
    <m/>
    <m/>
    <n v="0.88500000000000001"/>
    <n v="1416000"/>
    <m/>
    <m/>
    <m/>
    <m/>
    <m/>
    <n v="0"/>
    <m/>
    <n v="0.115"/>
    <n v="184000"/>
    <s v="Pavement markings"/>
    <m/>
    <m/>
    <m/>
    <m/>
    <n v="0"/>
    <m/>
    <m/>
    <m/>
    <m/>
    <m/>
    <n v="0"/>
    <m/>
    <m/>
    <m/>
    <m/>
    <m/>
    <n v="0"/>
    <m/>
    <m/>
    <m/>
    <m/>
    <m/>
    <n v="0"/>
    <m/>
    <m/>
    <m/>
    <m/>
    <m/>
    <n v="0"/>
    <m/>
    <m/>
    <m/>
    <m/>
    <m/>
    <n v="0"/>
    <m/>
    <m/>
    <m/>
    <m/>
    <m/>
    <n v="0"/>
    <m/>
    <m/>
    <m/>
    <m/>
    <n v="1"/>
    <n v="1600000"/>
  </r>
  <r>
    <m/>
    <n v="1"/>
    <n v="1"/>
    <s v="MN"/>
    <n v="999"/>
    <s v="MN 999"/>
    <m/>
    <x v="6"/>
    <m/>
    <m/>
    <m/>
    <m/>
    <s v="NHS PAVEMENTS - 2021"/>
    <m/>
    <m/>
    <m/>
    <m/>
    <m/>
    <m/>
    <s v=""/>
    <m/>
    <m/>
    <m/>
    <m/>
    <s v=""/>
    <m/>
    <m/>
    <m/>
    <n v="15200000"/>
    <m/>
    <m/>
    <m/>
    <m/>
    <n v="0"/>
    <m/>
    <m/>
    <m/>
    <n v="0"/>
    <m/>
    <m/>
    <m/>
    <n v="0"/>
    <m/>
    <m/>
    <m/>
    <m/>
    <n v="0"/>
    <m/>
    <n v="15200000"/>
    <n v="15200000"/>
    <n v="13501900"/>
    <n v="6450270"/>
    <n v="2021"/>
    <m/>
    <m/>
    <m/>
    <m/>
    <m/>
    <m/>
    <m/>
    <m/>
    <m/>
    <m/>
    <m/>
    <m/>
    <m/>
    <n v="0.82099999999999995"/>
    <n v="12479200"/>
    <m/>
    <m/>
    <m/>
    <m/>
    <m/>
    <n v="0"/>
    <m/>
    <n v="0.115"/>
    <n v="1748000"/>
    <m/>
    <m/>
    <m/>
    <m/>
    <n v="3.2000000000000001E-2"/>
    <n v="486400"/>
    <m/>
    <m/>
    <m/>
    <m/>
    <m/>
    <n v="0"/>
    <m/>
    <m/>
    <m/>
    <m/>
    <m/>
    <n v="0"/>
    <m/>
    <m/>
    <m/>
    <m/>
    <n v="2.3E-2"/>
    <n v="349600"/>
    <m/>
    <m/>
    <m/>
    <m/>
    <n v="8.9999999999999993E-3"/>
    <n v="136800"/>
    <m/>
    <m/>
    <m/>
    <m/>
    <m/>
    <n v="0"/>
    <m/>
    <m/>
    <m/>
    <m/>
    <m/>
    <n v="0"/>
    <m/>
    <m/>
    <m/>
    <m/>
    <n v="1"/>
    <n v="15200000"/>
  </r>
  <r>
    <m/>
    <n v="1"/>
    <n v="1"/>
    <s v="MN"/>
    <n v="999"/>
    <s v="MN 999"/>
    <m/>
    <x v="7"/>
    <m/>
    <m/>
    <m/>
    <m/>
    <s v="NHS PAVEMENTS - 2022"/>
    <m/>
    <m/>
    <m/>
    <m/>
    <m/>
    <m/>
    <s v=""/>
    <m/>
    <m/>
    <m/>
    <m/>
    <s v=""/>
    <m/>
    <m/>
    <m/>
    <n v="15200000"/>
    <m/>
    <m/>
    <m/>
    <m/>
    <n v="0"/>
    <m/>
    <m/>
    <m/>
    <n v="0"/>
    <m/>
    <m/>
    <m/>
    <n v="0"/>
    <m/>
    <m/>
    <m/>
    <m/>
    <n v="0"/>
    <m/>
    <n v="15200000"/>
    <n v="15200000"/>
    <n v="13501900"/>
    <n v="6450270"/>
    <n v="2022"/>
    <m/>
    <m/>
    <m/>
    <m/>
    <m/>
    <m/>
    <m/>
    <m/>
    <m/>
    <m/>
    <m/>
    <m/>
    <m/>
    <n v="0.82099999999999995"/>
    <n v="12479200"/>
    <m/>
    <m/>
    <m/>
    <m/>
    <m/>
    <n v="0"/>
    <m/>
    <n v="0.115"/>
    <n v="1748000"/>
    <m/>
    <m/>
    <m/>
    <m/>
    <n v="3.2000000000000001E-2"/>
    <n v="486400"/>
    <m/>
    <m/>
    <m/>
    <m/>
    <m/>
    <n v="0"/>
    <m/>
    <m/>
    <m/>
    <m/>
    <m/>
    <n v="0"/>
    <m/>
    <m/>
    <m/>
    <m/>
    <n v="2.3E-2"/>
    <n v="349600"/>
    <m/>
    <m/>
    <m/>
    <m/>
    <n v="8.9999999999999993E-3"/>
    <n v="136800"/>
    <m/>
    <m/>
    <m/>
    <m/>
    <m/>
    <n v="0"/>
    <m/>
    <m/>
    <m/>
    <m/>
    <m/>
    <n v="0"/>
    <m/>
    <m/>
    <m/>
    <m/>
    <n v="1"/>
    <n v="15200000"/>
  </r>
  <r>
    <m/>
    <n v="1"/>
    <n v="1"/>
    <s v="MN"/>
    <n v="999"/>
    <s v="MN 999"/>
    <m/>
    <x v="8"/>
    <m/>
    <m/>
    <m/>
    <m/>
    <s v="NHS PAVEMENTS - 2023"/>
    <m/>
    <m/>
    <m/>
    <m/>
    <m/>
    <m/>
    <s v=""/>
    <m/>
    <m/>
    <m/>
    <m/>
    <s v=""/>
    <m/>
    <m/>
    <m/>
    <n v="15200000"/>
    <m/>
    <m/>
    <m/>
    <m/>
    <n v="0"/>
    <m/>
    <m/>
    <m/>
    <n v="0"/>
    <m/>
    <m/>
    <m/>
    <n v="0"/>
    <m/>
    <m/>
    <m/>
    <m/>
    <n v="0"/>
    <m/>
    <n v="15200000"/>
    <n v="15200000"/>
    <n v="13501900"/>
    <n v="6450270"/>
    <n v="2023"/>
    <m/>
    <m/>
    <m/>
    <m/>
    <m/>
    <m/>
    <m/>
    <m/>
    <m/>
    <m/>
    <m/>
    <m/>
    <m/>
    <n v="0.82099999999999995"/>
    <n v="12479200"/>
    <m/>
    <m/>
    <m/>
    <m/>
    <m/>
    <n v="0"/>
    <m/>
    <n v="0.115"/>
    <n v="1748000"/>
    <m/>
    <m/>
    <m/>
    <m/>
    <n v="3.2000000000000001E-2"/>
    <n v="486400"/>
    <m/>
    <m/>
    <m/>
    <m/>
    <m/>
    <n v="0"/>
    <m/>
    <m/>
    <m/>
    <m/>
    <m/>
    <n v="0"/>
    <m/>
    <m/>
    <m/>
    <m/>
    <n v="2.3E-2"/>
    <n v="349600"/>
    <m/>
    <m/>
    <m/>
    <m/>
    <n v="8.9999999999999993E-3"/>
    <n v="136800"/>
    <m/>
    <m/>
    <m/>
    <m/>
    <m/>
    <n v="0"/>
    <m/>
    <m/>
    <m/>
    <m/>
    <m/>
    <n v="0"/>
    <m/>
    <m/>
    <m/>
    <m/>
    <n v="1"/>
    <n v="15200000"/>
  </r>
  <r>
    <m/>
    <n v="6"/>
    <n v="6"/>
    <s v="MN"/>
    <n v="999"/>
    <s v="MN 999"/>
    <s v="8806-PAV-23"/>
    <x v="8"/>
    <m/>
    <s v="S"/>
    <s v="MNDOT"/>
    <m/>
    <s v="DISTRICTWIDE SETASIDES - PAVEMENT - 2023"/>
    <m/>
    <m/>
    <m/>
    <m/>
    <m/>
    <m/>
    <m/>
    <m/>
    <m/>
    <m/>
    <m/>
    <m/>
    <m/>
    <m/>
    <m/>
    <n v="15000000"/>
    <m/>
    <m/>
    <n v="12000000"/>
    <m/>
    <n v="12000000"/>
    <m/>
    <n v="0"/>
    <m/>
    <n v="0"/>
    <m/>
    <n v="0"/>
    <m/>
    <n v="0"/>
    <m/>
    <m/>
    <n v="3000000"/>
    <m/>
    <n v="3000000"/>
    <m/>
    <m/>
    <n v="15000000"/>
    <m/>
    <m/>
    <n v="2023"/>
    <m/>
    <m/>
    <m/>
    <m/>
    <m/>
    <m/>
    <m/>
    <m/>
    <m/>
    <m/>
    <m/>
    <m/>
    <m/>
    <n v="0.82099999999999995"/>
    <n v="12315000"/>
    <m/>
    <m/>
    <m/>
    <m/>
    <m/>
    <n v="0"/>
    <m/>
    <n v="0.115"/>
    <n v="1725000"/>
    <m/>
    <m/>
    <m/>
    <m/>
    <n v="3.2000000000000001E-2"/>
    <n v="480000"/>
    <m/>
    <m/>
    <m/>
    <m/>
    <m/>
    <n v="0"/>
    <m/>
    <m/>
    <m/>
    <m/>
    <m/>
    <n v="0"/>
    <m/>
    <m/>
    <m/>
    <m/>
    <n v="2.3E-2"/>
    <n v="345000"/>
    <m/>
    <m/>
    <m/>
    <m/>
    <n v="8.9999999999999993E-3"/>
    <n v="135000"/>
    <m/>
    <m/>
    <m/>
    <m/>
    <m/>
    <n v="0"/>
    <m/>
    <m/>
    <m/>
    <m/>
    <m/>
    <n v="0"/>
    <m/>
    <m/>
    <m/>
    <m/>
    <n v="1"/>
    <n v="15000000"/>
  </r>
  <r>
    <m/>
    <n v="3"/>
    <n v="3"/>
    <s v="US"/>
    <n v="10"/>
    <s v="US 10"/>
    <s v="0502-103"/>
    <x v="1"/>
    <s v="2015-37"/>
    <s v="S"/>
    <s v="MNDOT"/>
    <n v="3"/>
    <s v="**ELLA** BENTON CO CSAH 4 TO 0.2 MI. W. OF RAILROAD CROSSING NEAR ST. GERMAIN IN ST CLOUD, UNBONDED CONCRETE OVERLAY, EB &amp; WB AND ON TH 15 FROM JCT. TH 10 TO 1.0 MI S., RECONSTRUCTION"/>
    <s v="168+00.900"/>
    <s v="177+00.340"/>
    <n v="7.548"/>
    <s v="SAINT CLOUD"/>
    <s v="BENTON"/>
    <s v="RC"/>
    <s v="1-P "/>
    <s v="1-P"/>
    <m/>
    <s v="PVTR - PAVEMENT RESURFACE AND REHABILITATION"/>
    <s v="UNBONDED CONCRETE OVERLAY"/>
    <s v="NHPP SF "/>
    <s v="NHPP"/>
    <s v="SF"/>
    <m/>
    <n v="14425000"/>
    <n v="0"/>
    <n v="0"/>
    <n v="0"/>
    <n v="11540000"/>
    <n v="0"/>
    <n v="0"/>
    <n v="0"/>
    <n v="0"/>
    <n v="0"/>
    <n v="0"/>
    <n v="0"/>
    <n v="11540000"/>
    <n v="11540000"/>
    <n v="0"/>
    <n v="11540000"/>
    <n v="0"/>
    <n v="0"/>
    <n v="0"/>
    <n v="0"/>
    <n v="0"/>
    <n v="0"/>
    <n v="0"/>
    <n v="0"/>
    <n v="0"/>
    <n v="0"/>
    <n v="2885000"/>
    <n v="0"/>
    <n v="2885000"/>
    <n v="0"/>
    <n v="0"/>
    <n v="14425000"/>
    <n v="22322595"/>
    <n v="4366971"/>
    <n v="2015"/>
    <m/>
    <m/>
    <s v="Do Not Know"/>
    <n v="0.82099999999999995"/>
    <n v="11842925"/>
    <m/>
    <m/>
    <m/>
    <m/>
    <m/>
    <n v="0"/>
    <m/>
    <n v="0.115"/>
    <n v="1658875"/>
    <s v="Drainage and culverts"/>
    <m/>
    <m/>
    <m/>
    <n v="3.2000000000000001E-2"/>
    <n v="461600"/>
    <s v="Sustained crash locations"/>
    <m/>
    <m/>
    <m/>
    <m/>
    <n v="0"/>
    <m/>
    <m/>
    <m/>
    <m/>
    <m/>
    <n v="0"/>
    <m/>
    <m/>
    <m/>
    <m/>
    <n v="2.3E-2"/>
    <n v="331775"/>
    <m/>
    <m/>
    <m/>
    <m/>
    <n v="8.9999999999999993E-3"/>
    <n v="129824.99999999999"/>
    <m/>
    <m/>
    <m/>
    <m/>
    <m/>
    <n v="0"/>
    <m/>
    <m/>
    <m/>
    <m/>
    <m/>
    <n v="0"/>
    <m/>
    <m/>
    <m/>
    <m/>
    <n v="1"/>
    <n v="14425000"/>
  </r>
  <r>
    <n v="174"/>
    <n v="3"/>
    <n v="3"/>
    <s v="MN"/>
    <n v="10"/>
    <s v="MN 10"/>
    <s v="0502-107"/>
    <x v="0"/>
    <m/>
    <s v="S"/>
    <s v="MNDOT"/>
    <n v="3"/>
    <s v="**TED12** INTERCHANGE IMPROVEMENTS AT TH 10 AND BENTON CSAH 3 IN SAUK RAPIDS (BENTON COUNTY IS THE LEAD AGENCY)"/>
    <m/>
    <m/>
    <m/>
    <s v="SAUK RAPIDS"/>
    <s v="BENTON"/>
    <s v="AM"/>
    <s v=" "/>
    <m/>
    <m/>
    <s v="GSBR - GRADE, SURFACE AND BRIDGE"/>
    <s v="GRADE AND SURFACE"/>
    <s v="LF  "/>
    <s v="LF"/>
    <m/>
    <m/>
    <n v="4890000"/>
    <n v="0"/>
    <n v="2934000"/>
    <n v="0"/>
    <n v="0"/>
    <n v="2934000"/>
    <n v="0"/>
    <n v="0"/>
    <n v="0"/>
    <n v="0"/>
    <n v="0"/>
    <n v="0"/>
    <n v="0"/>
    <n v="0"/>
    <n v="0"/>
    <n v="0"/>
    <n v="0"/>
    <n v="0"/>
    <n v="0"/>
    <n v="0"/>
    <n v="1956000"/>
    <n v="4890000"/>
    <n v="2934000"/>
    <n v="13620000"/>
    <s v="0502-107"/>
    <s v="TED 12-OK per Chris"/>
    <s v="Benton county is the lead agency"/>
    <m/>
    <m/>
    <m/>
    <m/>
    <m/>
    <m/>
    <m/>
    <m/>
    <m/>
    <m/>
    <m/>
    <m/>
    <n v="0"/>
    <m/>
    <m/>
    <m/>
    <m/>
    <m/>
    <n v="0"/>
    <m/>
    <m/>
    <n v="0"/>
    <m/>
    <m/>
    <m/>
    <m/>
    <m/>
    <n v="0"/>
    <m/>
    <m/>
    <m/>
    <m/>
    <m/>
    <n v="0"/>
    <m/>
    <m/>
    <m/>
    <m/>
    <m/>
    <n v="0"/>
    <m/>
    <m/>
    <m/>
    <m/>
    <m/>
    <n v="0"/>
    <m/>
    <m/>
    <m/>
    <m/>
    <m/>
    <n v="0"/>
    <m/>
    <m/>
    <m/>
    <m/>
    <n v="1"/>
    <n v="4890000"/>
    <m/>
    <m/>
    <m/>
    <m/>
    <m/>
    <n v="0"/>
    <m/>
    <m/>
    <m/>
    <m/>
    <n v="1"/>
    <n v="4890000"/>
  </r>
  <r>
    <m/>
    <n v="3"/>
    <n v="3"/>
    <s v="MN"/>
    <n v="25"/>
    <s v="MN 25"/>
    <s v="0507-14"/>
    <x v="9"/>
    <s v="2015-28"/>
    <s v="S"/>
    <s v="MNDOT"/>
    <m/>
    <s v="TH 95 TO FOLEY, MILL AND OVERLAY INCLUDING SIX FOOT PAVED SHOULDER "/>
    <s v="93+00.873"/>
    <s v="99+00.180"/>
    <n v="5.03"/>
    <m/>
    <s v="BENTON"/>
    <s v="RS"/>
    <s v="1-P "/>
    <s v="1-P"/>
    <m/>
    <s v="PVTR - PAVEMENT RESURFACE AND REHABILITATION"/>
    <s v="MILL AND OVERLAY"/>
    <s v="STP Statewide SF "/>
    <s v="STP Statewide"/>
    <s v="SF"/>
    <m/>
    <n v="2000000"/>
    <n v="0"/>
    <n v="0"/>
    <n v="0"/>
    <n v="0"/>
    <n v="0"/>
    <n v="1600000"/>
    <n v="0"/>
    <n v="0"/>
    <n v="0"/>
    <n v="0"/>
    <n v="0"/>
    <n v="1600000"/>
    <n v="1600000"/>
    <n v="0"/>
    <n v="1600000"/>
    <n v="0"/>
    <n v="0"/>
    <n v="0"/>
    <n v="0"/>
    <n v="0"/>
    <n v="0"/>
    <n v="0"/>
    <n v="0"/>
    <n v="0"/>
    <n v="0"/>
    <n v="400000"/>
    <n v="0"/>
    <n v="400000"/>
    <n v="0"/>
    <n v="0"/>
    <n v="2000000"/>
    <n v="24497300"/>
    <n v="4550000"/>
    <n v="2017"/>
    <m/>
    <m/>
    <m/>
    <n v="0.7"/>
    <n v="1400000"/>
    <m/>
    <m/>
    <m/>
    <m/>
    <m/>
    <n v="0"/>
    <m/>
    <n v="0.1"/>
    <n v="200000"/>
    <s v="Pavement markings"/>
    <m/>
    <m/>
    <m/>
    <n v="0.1"/>
    <n v="200000"/>
    <s v="Low cost high benefit"/>
    <m/>
    <m/>
    <m/>
    <m/>
    <n v="0"/>
    <m/>
    <m/>
    <m/>
    <m/>
    <m/>
    <n v="0"/>
    <m/>
    <m/>
    <m/>
    <m/>
    <n v="0.1"/>
    <n v="200000"/>
    <m/>
    <m/>
    <m/>
    <m/>
    <m/>
    <n v="0"/>
    <m/>
    <m/>
    <m/>
    <m/>
    <m/>
    <n v="0"/>
    <m/>
    <m/>
    <m/>
    <m/>
    <m/>
    <n v="0"/>
    <m/>
    <m/>
    <m/>
    <m/>
    <n v="0.99999999999999989"/>
    <n v="2000000"/>
  </r>
  <r>
    <m/>
    <n v="4"/>
    <n v="4"/>
    <s v="MN"/>
    <n v="28"/>
    <s v="MN 28"/>
    <s v="0605-16"/>
    <x v="9"/>
    <s v="2017-20"/>
    <s v="S"/>
    <s v="MNDOT"/>
    <m/>
    <s v="EAST OF BEARDSLEY TO WEST OF GRACEVILLE, MILL AND BIT OVERLAY"/>
    <n v="2734300"/>
    <n v="0"/>
    <n v="0"/>
    <n v="2187400"/>
    <n v="0"/>
    <n v="2187400"/>
    <n v="0"/>
    <n v="0"/>
    <n v="0"/>
    <n v="0"/>
    <n v="0"/>
    <n v="0"/>
    <n v="0"/>
    <n v="0"/>
    <n v="0"/>
    <n v="2734300"/>
    <n v="546900"/>
    <n v="0"/>
    <n v="546900"/>
    <n v="0"/>
    <n v="0"/>
    <n v="2734300"/>
    <n v="102519627.5"/>
    <n v="59806543"/>
    <n v="2017"/>
    <m/>
    <m/>
    <m/>
    <m/>
    <m/>
    <m/>
    <s v="yes"/>
    <s v="NO"/>
    <s v="7th District"/>
    <s v="NO"/>
    <n v="0"/>
    <s v="YES"/>
    <s v="NO"/>
    <n v="0.77078911000000006"/>
    <n v="2107568.6634730003"/>
    <m/>
    <m/>
    <m/>
    <m/>
    <m/>
    <n v="0"/>
    <m/>
    <m/>
    <m/>
    <m/>
    <n v="0.17285015000000001"/>
    <n v="472624.16514500004"/>
    <m/>
    <n v="0.77078911000000006"/>
    <n v="2107568.6634730003"/>
    <m/>
    <m/>
    <m/>
    <m/>
    <m/>
    <n v="0"/>
    <m/>
    <n v="0.17285015000000001"/>
    <n v="472624.16514500004"/>
    <m/>
    <m/>
    <m/>
    <m/>
    <n v="1.297159E-2"/>
    <n v="35468.218537000001"/>
    <m/>
    <m/>
    <m/>
    <m/>
    <m/>
    <n v="0"/>
    <m/>
    <m/>
    <m/>
    <m/>
    <m/>
    <n v="0"/>
    <m/>
    <m/>
    <m/>
    <m/>
    <m/>
    <n v="0"/>
    <m/>
    <m/>
    <m/>
    <m/>
    <n v="4.1321860000000002E-2"/>
    <n v="112986.361798"/>
    <m/>
    <m/>
    <m/>
    <m/>
    <n v="1.23364E-3"/>
    <n v="3373.1418520000002"/>
    <m/>
    <m/>
    <m/>
    <m/>
    <m/>
    <n v="0"/>
    <m/>
    <m/>
    <m/>
    <m/>
    <n v="0.9991663500000002"/>
    <n v="2732020.5508050001"/>
  </r>
  <r>
    <m/>
    <n v="7"/>
    <n v="7"/>
    <s v="MN"/>
    <n v="22"/>
    <s v="MN 22"/>
    <s v="0704-100"/>
    <x v="9"/>
    <m/>
    <s v="S"/>
    <s v="MNDOT"/>
    <m/>
    <s v="FROM 0.3 MI N OF TH 30 TO 0.3 MI N OF JCT CR 90, UNBONDED OVERLAY"/>
    <s v="034+00.400"/>
    <s v="048+00.221"/>
    <n v="12.8"/>
    <m/>
    <s v="BLUE EARTH"/>
    <s v="RS"/>
    <m/>
    <m/>
    <m/>
    <s v="PVTR - PAVEMENT RESURFACE AND REHABILITATION"/>
    <s v="UNBONDED CONCRETE OVERLAY"/>
    <s v="STP5K  "/>
    <s v="STP5K"/>
    <m/>
    <m/>
    <n v="9437000"/>
    <n v="0"/>
    <n v="0"/>
    <n v="7549600"/>
    <n v="0"/>
    <n v="7549600"/>
    <n v="0"/>
    <n v="0"/>
    <n v="0"/>
    <n v="0"/>
    <n v="0"/>
    <n v="0"/>
    <n v="0"/>
    <n v="0"/>
    <n v="0"/>
    <n v="0"/>
    <n v="1887400"/>
    <n v="0"/>
    <n v="1887400"/>
    <n v="0"/>
    <n v="0"/>
    <n v="9437000"/>
    <n v="56815600"/>
    <n v="10194200"/>
    <n v="2017"/>
    <m/>
    <m/>
    <m/>
    <m/>
    <m/>
    <m/>
    <m/>
    <s v="NO"/>
    <m/>
    <s v="NO"/>
    <s v="NO"/>
    <s v="Yes"/>
    <s v="NO"/>
    <n v="0.82099999999999995"/>
    <n v="7747777"/>
    <m/>
    <m/>
    <m/>
    <m/>
    <m/>
    <n v="0"/>
    <m/>
    <n v="0.115"/>
    <n v="1085255"/>
    <m/>
    <m/>
    <m/>
    <m/>
    <n v="3.2000000000000001E-2"/>
    <n v="301984"/>
    <m/>
    <m/>
    <m/>
    <m/>
    <m/>
    <n v="0"/>
    <m/>
    <m/>
    <m/>
    <m/>
    <m/>
    <n v="0"/>
    <m/>
    <m/>
    <m/>
    <m/>
    <n v="2.3E-2"/>
    <n v="217051"/>
    <m/>
    <m/>
    <m/>
    <m/>
    <n v="8.9999999999999993E-3"/>
    <n v="84933"/>
    <m/>
    <m/>
    <m/>
    <m/>
    <m/>
    <n v="0"/>
    <m/>
    <m/>
    <m/>
    <m/>
    <m/>
    <n v="0"/>
    <m/>
    <m/>
    <m/>
    <m/>
    <n v="1"/>
    <n v="9437000"/>
  </r>
  <r>
    <m/>
    <n v="7"/>
    <n v="7"/>
    <s v="MN"/>
    <n v="22"/>
    <s v="MN 22"/>
    <s v="0704-101"/>
    <x v="9"/>
    <m/>
    <s v="S"/>
    <s v="MNDOT"/>
    <m/>
    <s v="FROM 0.5 MI S OF CSAH 10 TO 0.8 MI N OF CSAH 15, REPLACE BR#5959 &amp; 6497"/>
    <s v="040+00.311"/>
    <s v="046+00.666"/>
    <n v="6.4"/>
    <m/>
    <s v="BLUE EARTH"/>
    <s v="BR"/>
    <m/>
    <m/>
    <m/>
    <s v="BRPC - BRIDGE REPLACEMENT OR CONSTRUCTION"/>
    <s v="BRIDGE REPLACEMENT"/>
    <s v="STP5K  "/>
    <s v="STP5K"/>
    <m/>
    <m/>
    <n v="2200000"/>
    <n v="0"/>
    <n v="0"/>
    <n v="1760000"/>
    <n v="0"/>
    <n v="1760000"/>
    <n v="0"/>
    <n v="0"/>
    <n v="0"/>
    <n v="0"/>
    <n v="0"/>
    <n v="0"/>
    <n v="0"/>
    <n v="0"/>
    <n v="0"/>
    <n v="0"/>
    <n v="440000"/>
    <n v="0"/>
    <n v="440000"/>
    <n v="0"/>
    <n v="0"/>
    <n v="2200000"/>
    <n v="63450000"/>
    <n v="11852800"/>
    <n v="2017"/>
    <m/>
    <m/>
    <m/>
    <m/>
    <m/>
    <m/>
    <m/>
    <s v="NO"/>
    <m/>
    <s v="NO"/>
    <s v="NO"/>
    <s v="Yes"/>
    <s v="NO"/>
    <m/>
    <n v="0"/>
    <m/>
    <m/>
    <m/>
    <m/>
    <n v="0.92900000000000005"/>
    <n v="2043800"/>
    <m/>
    <m/>
    <n v="0"/>
    <m/>
    <m/>
    <m/>
    <m/>
    <m/>
    <n v="0"/>
    <m/>
    <m/>
    <m/>
    <m/>
    <m/>
    <n v="0"/>
    <m/>
    <m/>
    <m/>
    <m/>
    <m/>
    <n v="0"/>
    <m/>
    <m/>
    <m/>
    <m/>
    <n v="3.5000000000000003E-2"/>
    <n v="77000.000000000015"/>
    <m/>
    <m/>
    <m/>
    <m/>
    <n v="3.5999999999999997E-2"/>
    <n v="79200"/>
    <m/>
    <m/>
    <m/>
    <m/>
    <m/>
    <n v="0"/>
    <m/>
    <m/>
    <m/>
    <m/>
    <m/>
    <n v="0"/>
    <m/>
    <m/>
    <m/>
    <m/>
    <n v="1"/>
    <n v="2200000"/>
  </r>
  <r>
    <m/>
    <n v="7"/>
    <n v="7"/>
    <s v="MN"/>
    <n v="22"/>
    <s v="MN 22"/>
    <s v="0704-88"/>
    <x v="0"/>
    <s v="2014-TH-8"/>
    <s v="S"/>
    <s v="MNDOT"/>
    <n v="8"/>
    <s v="AT THE JCT OF TH 22 AND MADISON AVE AND CSAH 17 IN MANKATO, CONSTRUCT ROUNDABOUT"/>
    <s v="052+00.038"/>
    <s v="052+00.038"/>
    <n v="0"/>
    <s v="MANKATO"/>
    <s v="BLUE EARTH"/>
    <s v="MC"/>
    <s v="7-O-C "/>
    <s v="7-O-C"/>
    <m/>
    <s v="GRSU - GRADE AND SURFACE"/>
    <s v="GRADE AND SURFACE"/>
    <s v="NHPP  "/>
    <s v="NHPP"/>
    <m/>
    <m/>
    <n v="6060000"/>
    <n v="0"/>
    <n v="0"/>
    <n v="2768000"/>
    <n v="0"/>
    <n v="2768000"/>
    <n v="0"/>
    <n v="0"/>
    <n v="0"/>
    <n v="0"/>
    <n v="0"/>
    <n v="0"/>
    <n v="0"/>
    <n v="0"/>
    <n v="0"/>
    <n v="0"/>
    <n v="692000"/>
    <n v="0"/>
    <n v="692000"/>
    <n v="0"/>
    <n v="2600000"/>
    <n v="6060000"/>
    <n v="9678935"/>
    <n v="692000"/>
    <n v="2014"/>
    <m/>
    <m/>
    <m/>
    <m/>
    <m/>
    <m/>
    <s v="YES"/>
    <s v="NO"/>
    <m/>
    <s v="NO"/>
    <s v="NO"/>
    <s v="Yes"/>
    <s v="NO"/>
    <n v="0.82099999999999995"/>
    <n v="2840660"/>
    <m/>
    <m/>
    <m/>
    <m/>
    <m/>
    <n v="0"/>
    <m/>
    <n v="0.115"/>
    <n v="397900"/>
    <m/>
    <m/>
    <m/>
    <m/>
    <n v="3.2000000000000001E-2"/>
    <n v="110720"/>
    <m/>
    <m/>
    <m/>
    <m/>
    <m/>
    <n v="0"/>
    <m/>
    <m/>
    <m/>
    <m/>
    <m/>
    <n v="0"/>
    <m/>
    <m/>
    <m/>
    <m/>
    <n v="2.3E-2"/>
    <n v="79580"/>
    <m/>
    <m/>
    <m/>
    <m/>
    <n v="8.9999999999999993E-3"/>
    <n v="31139.999999999996"/>
    <m/>
    <m/>
    <m/>
    <m/>
    <m/>
    <n v="0"/>
    <m/>
    <m/>
    <m/>
    <m/>
    <m/>
    <n v="0"/>
    <m/>
    <m/>
    <m/>
    <m/>
    <n v="1"/>
    <n v="3460000"/>
  </r>
  <r>
    <m/>
    <n v="7"/>
    <n v="7"/>
    <s v="MN"/>
    <n v="22"/>
    <s v="MN 22"/>
    <s v="0704-88S"/>
    <x v="0"/>
    <s v="2014-TH-8"/>
    <s v="S"/>
    <s v="MNDOT"/>
    <m/>
    <s v="AT THE JCT OF TH 22 AND MADISON AVE AND CSAH 17 IN MANKATO, CONSTRUCT ROUNDABOUT"/>
    <s v="052+00.038"/>
    <s v="052+00.038"/>
    <n v="0"/>
    <s v="MANKATO"/>
    <s v="BLUE EARTH"/>
    <s v="MC"/>
    <s v="7-O-C "/>
    <s v="7-O-C"/>
    <m/>
    <s v="GRSU - GRADE AND SURFACE"/>
    <s v="GRADE AND SURFACE"/>
    <s v="HSIP  "/>
    <s v="HSIP"/>
    <m/>
    <m/>
    <n v="980000"/>
    <n v="0"/>
    <n v="0"/>
    <n v="882000"/>
    <n v="0"/>
    <n v="882000"/>
    <n v="0"/>
    <n v="0"/>
    <n v="0"/>
    <n v="0"/>
    <n v="0"/>
    <n v="0"/>
    <n v="0"/>
    <n v="0"/>
    <n v="0"/>
    <n v="0"/>
    <n v="98000"/>
    <n v="0"/>
    <n v="98000"/>
    <n v="0"/>
    <n v="0"/>
    <n v="980000"/>
    <n v="10560935"/>
    <n v="790000"/>
    <n v="2014"/>
    <m/>
    <m/>
    <m/>
    <m/>
    <m/>
    <m/>
    <s v="YES"/>
    <s v="NO"/>
    <m/>
    <s v="NO"/>
    <s v="NO"/>
    <s v="Yes"/>
    <s v="NO"/>
    <n v="0.82099999999999995"/>
    <n v="804580"/>
    <m/>
    <m/>
    <m/>
    <m/>
    <m/>
    <n v="0"/>
    <m/>
    <n v="0.115"/>
    <n v="112700"/>
    <m/>
    <m/>
    <m/>
    <m/>
    <n v="3.2000000000000001E-2"/>
    <n v="31360"/>
    <m/>
    <m/>
    <m/>
    <m/>
    <m/>
    <n v="0"/>
    <m/>
    <m/>
    <m/>
    <m/>
    <m/>
    <n v="0"/>
    <m/>
    <m/>
    <m/>
    <m/>
    <n v="2.3E-2"/>
    <n v="22540"/>
    <m/>
    <m/>
    <m/>
    <m/>
    <n v="8.9999999999999993E-3"/>
    <n v="8820"/>
    <m/>
    <m/>
    <m/>
    <m/>
    <m/>
    <n v="0"/>
    <m/>
    <m/>
    <m/>
    <m/>
    <m/>
    <n v="0"/>
    <m/>
    <m/>
    <m/>
    <m/>
    <n v="1"/>
    <n v="980000"/>
  </r>
  <r>
    <m/>
    <n v="7"/>
    <n v="7"/>
    <s v="MN"/>
    <n v="4"/>
    <s v="MN 4"/>
    <s v="0802-41"/>
    <x v="9"/>
    <m/>
    <s v="S"/>
    <s v="MNDOT"/>
    <m/>
    <s v="FROM JCT TH 68 TO THE BROWN/NICOLLET COUNTY LINE, MILL &amp; OVERLAY"/>
    <s v="063+00.430"/>
    <s v="074+00.310"/>
    <n v="10.9"/>
    <m/>
    <s v="BROWN"/>
    <s v="RS"/>
    <m/>
    <m/>
    <m/>
    <s v="PVTR - PAVEMENT RESURFACE AND REHABILITATION"/>
    <s v="MILL AND OVERLAY"/>
    <s v="STP5K  "/>
    <s v="STP5K"/>
    <m/>
    <m/>
    <n v="3904000"/>
    <n v="0"/>
    <n v="0"/>
    <n v="3123200"/>
    <n v="0"/>
    <n v="3123200"/>
    <n v="0"/>
    <n v="0"/>
    <n v="0"/>
    <n v="0"/>
    <n v="0"/>
    <n v="0"/>
    <n v="0"/>
    <n v="0"/>
    <n v="0"/>
    <n v="0"/>
    <n v="780800"/>
    <n v="0"/>
    <n v="780800"/>
    <n v="0"/>
    <n v="0"/>
    <n v="3904000"/>
    <n v="46002000"/>
    <n v="7490800"/>
    <n v="2017"/>
    <m/>
    <m/>
    <m/>
    <m/>
    <m/>
    <m/>
    <m/>
    <s v="NO"/>
    <m/>
    <s v="NO"/>
    <s v="NO"/>
    <s v="Yes"/>
    <s v="NO"/>
    <n v="0.82099999999999995"/>
    <n v="3205184"/>
    <m/>
    <m/>
    <m/>
    <m/>
    <m/>
    <n v="0"/>
    <m/>
    <n v="0.115"/>
    <n v="448960"/>
    <m/>
    <m/>
    <m/>
    <m/>
    <n v="3.2000000000000001E-2"/>
    <n v="124928"/>
    <m/>
    <m/>
    <m/>
    <m/>
    <m/>
    <n v="0"/>
    <m/>
    <m/>
    <m/>
    <m/>
    <m/>
    <n v="0"/>
    <m/>
    <m/>
    <m/>
    <m/>
    <n v="2.3E-2"/>
    <n v="89792"/>
    <m/>
    <m/>
    <m/>
    <m/>
    <n v="8.9999999999999993E-3"/>
    <n v="35136"/>
    <m/>
    <m/>
    <m/>
    <m/>
    <m/>
    <n v="0"/>
    <m/>
    <m/>
    <m/>
    <m/>
    <m/>
    <n v="0"/>
    <m/>
    <m/>
    <m/>
    <m/>
    <n v="1"/>
    <n v="3904000"/>
  </r>
  <r>
    <n v="142"/>
    <n v="7"/>
    <n v="7"/>
    <s v="US"/>
    <n v="14"/>
    <s v="US 14"/>
    <s v="0804-113"/>
    <x v="9"/>
    <m/>
    <s v="S"/>
    <s v="MNDOT"/>
    <m/>
    <s v="FROM EAST LIMITS OF SLEEPY EYE TO THE WEST LIMITS OF NEW ULM, MILL &amp; OVERLAY AND CPR WITH DIAMOND GRINDING"/>
    <s v="088+00.795"/>
    <s v="100+00.240"/>
    <n v="11.4"/>
    <m/>
    <s v="BROWN"/>
    <s v="RS"/>
    <m/>
    <m/>
    <m/>
    <s v="PVTR - PAVEMENT RESURFACE AND REHABILITATION"/>
    <s v="MILL AND OVERLAY"/>
    <s v="NHPP  "/>
    <s v="NHPP"/>
    <m/>
    <m/>
    <n v="4300000"/>
    <n v="0"/>
    <n v="0"/>
    <n v="3440000"/>
    <n v="0"/>
    <n v="3440000"/>
    <n v="0"/>
    <n v="0"/>
    <n v="0"/>
    <n v="0"/>
    <n v="0"/>
    <n v="0"/>
    <n v="0"/>
    <n v="0"/>
    <n v="0"/>
    <n v="0"/>
    <n v="860000"/>
    <n v="0"/>
    <n v="860000"/>
    <n v="0"/>
    <n v="0"/>
    <n v="4300000"/>
    <n v="30781200"/>
    <n v="3685600"/>
    <n v="2017"/>
    <m/>
    <m/>
    <m/>
    <m/>
    <m/>
    <m/>
    <m/>
    <s v="NO"/>
    <m/>
    <s v="NO"/>
    <s v="NO"/>
    <s v="Yes"/>
    <s v="NO"/>
    <n v="0.82099999999999995"/>
    <n v="3530300"/>
    <m/>
    <m/>
    <m/>
    <m/>
    <m/>
    <n v="0"/>
    <m/>
    <n v="0.115"/>
    <n v="494500"/>
    <m/>
    <m/>
    <m/>
    <m/>
    <n v="3.2000000000000001E-2"/>
    <n v="137600"/>
    <m/>
    <m/>
    <m/>
    <m/>
    <m/>
    <n v="0"/>
    <m/>
    <m/>
    <m/>
    <m/>
    <m/>
    <n v="0"/>
    <m/>
    <m/>
    <m/>
    <m/>
    <n v="2.3E-2"/>
    <n v="98900"/>
    <m/>
    <m/>
    <m/>
    <m/>
    <n v="8.9999999999999993E-3"/>
    <n v="38700"/>
    <m/>
    <m/>
    <m/>
    <m/>
    <m/>
    <n v="0"/>
    <m/>
    <m/>
    <m/>
    <m/>
    <m/>
    <n v="0"/>
    <m/>
    <m/>
    <m/>
    <m/>
    <n v="1"/>
    <n v="4300000"/>
  </r>
  <r>
    <n v="187"/>
    <n v="7"/>
    <n v="7"/>
    <s v="MN"/>
    <n v="15"/>
    <s v="MN 15"/>
    <s v="0805-112"/>
    <x v="1"/>
    <m/>
    <s v="S"/>
    <s v="MNDOT"/>
    <m/>
    <s v="FROM BROWN COUNTY LINE TO 1100' SOUTH OF 170TH ST, MILL &amp; OVERLAY"/>
    <s v="042+00.578"/>
    <s v="049+00.620"/>
    <n v="7"/>
    <m/>
    <s v="BROWN"/>
    <s v="RS"/>
    <m/>
    <m/>
    <m/>
    <s v="PVTR - PAVEMENT RESURFACE AND REHABILITATION"/>
    <s v="MILL AND OVERLAY"/>
    <s v="NHPP  "/>
    <s v="NHPP"/>
    <m/>
    <m/>
    <n v="3300000"/>
    <n v="0"/>
    <n v="0"/>
    <n v="2640000"/>
    <n v="0"/>
    <n v="2640000"/>
    <n v="0"/>
    <n v="0"/>
    <n v="0"/>
    <n v="0"/>
    <n v="0"/>
    <n v="0"/>
    <n v="0"/>
    <n v="0"/>
    <n v="0"/>
    <n v="0"/>
    <n v="660000"/>
    <n v="0"/>
    <n v="660000"/>
    <n v="0"/>
    <n v="0"/>
    <n v="3300000"/>
    <n v="9899434"/>
    <n v="1128356"/>
    <n v="2015"/>
    <m/>
    <m/>
    <m/>
    <m/>
    <m/>
    <m/>
    <s v="NO"/>
    <s v="NO"/>
    <m/>
    <s v="NO"/>
    <s v="NO"/>
    <s v="Yes"/>
    <s v="NO"/>
    <n v="0.82099999999999995"/>
    <n v="2709300"/>
    <m/>
    <m/>
    <m/>
    <m/>
    <m/>
    <n v="0"/>
    <m/>
    <n v="0.115"/>
    <n v="379500"/>
    <m/>
    <m/>
    <m/>
    <m/>
    <n v="3.2000000000000001E-2"/>
    <n v="105600"/>
    <m/>
    <m/>
    <m/>
    <m/>
    <m/>
    <n v="0"/>
    <m/>
    <m/>
    <m/>
    <m/>
    <m/>
    <n v="0"/>
    <m/>
    <m/>
    <m/>
    <m/>
    <n v="2.3E-2"/>
    <n v="75900"/>
    <m/>
    <m/>
    <m/>
    <m/>
    <n v="8.9999999999999993E-3"/>
    <n v="29699.999999999996"/>
    <m/>
    <m/>
    <m/>
    <m/>
    <m/>
    <n v="0"/>
    <m/>
    <m/>
    <m/>
    <m/>
    <m/>
    <n v="0"/>
    <m/>
    <m/>
    <m/>
    <m/>
    <n v="1"/>
    <n v="3300000"/>
  </r>
  <r>
    <m/>
    <n v="4"/>
    <n v="4"/>
    <s v="MN"/>
    <n v="999"/>
    <s v="MN999"/>
    <m/>
    <x v="8"/>
    <m/>
    <m/>
    <m/>
    <m/>
    <s v="DISTRICTWIDE SETASIDES -PAVEMENT"/>
    <m/>
    <m/>
    <m/>
    <m/>
    <m/>
    <m/>
    <s v=""/>
    <m/>
    <m/>
    <s v="SETA - SETASIDE"/>
    <m/>
    <s v="SF"/>
    <s v="SF"/>
    <m/>
    <m/>
    <n v="12600000"/>
    <m/>
    <m/>
    <m/>
    <m/>
    <n v="0"/>
    <m/>
    <m/>
    <m/>
    <n v="0"/>
    <m/>
    <m/>
    <m/>
    <n v="0"/>
    <m/>
    <m/>
    <n v="12600000"/>
    <m/>
    <n v="12600000"/>
    <m/>
    <m/>
    <n v="12600000"/>
    <n v="48211600"/>
    <n v="27468470"/>
    <n v="2023"/>
    <m/>
    <m/>
    <m/>
    <m/>
    <m/>
    <m/>
    <m/>
    <m/>
    <m/>
    <m/>
    <m/>
    <m/>
    <m/>
    <n v="0.82099999999999995"/>
    <n v="10344600"/>
    <s v="Preventative maintenance"/>
    <m/>
    <m/>
    <m/>
    <m/>
    <n v="0"/>
    <m/>
    <n v="0.115"/>
    <n v="1449000"/>
    <m/>
    <m/>
    <m/>
    <m/>
    <n v="3.2000000000000001E-2"/>
    <n v="403200"/>
    <m/>
    <m/>
    <m/>
    <m/>
    <m/>
    <n v="0"/>
    <m/>
    <m/>
    <m/>
    <m/>
    <m/>
    <n v="0"/>
    <m/>
    <m/>
    <m/>
    <m/>
    <n v="2.3E-2"/>
    <n v="289800"/>
    <m/>
    <m/>
    <m/>
    <m/>
    <n v="8.9999999999999993E-3"/>
    <n v="113399.99999999999"/>
    <m/>
    <m/>
    <m/>
    <m/>
    <m/>
    <n v="0"/>
    <m/>
    <m/>
    <m/>
    <m/>
    <m/>
    <n v="0"/>
    <m/>
    <m/>
    <m/>
    <m/>
    <n v="1"/>
    <n v="12600000"/>
  </r>
  <r>
    <m/>
    <n v="7"/>
    <n v="7"/>
    <s v="MN"/>
    <n v="15"/>
    <s v="MN 15"/>
    <s v="0805-113"/>
    <x v="9"/>
    <m/>
    <s v="S"/>
    <s v="MNDOT"/>
    <m/>
    <s v="FROM 0.2 MI S OF TWP RD 46 TO 12TH ST SOUTH, MILL &amp; OVERLAY"/>
    <s v="049+00.620"/>
    <s v="058+00.130"/>
    <n v="8.5"/>
    <m/>
    <s v="BROWN"/>
    <s v="RS"/>
    <m/>
    <m/>
    <m/>
    <s v="PVTR - PAVEMENT RESURFACE AND REHABILITATION"/>
    <s v="MILL AND OVERLAY"/>
    <s v="NHPP  "/>
    <s v="NHPP"/>
    <m/>
    <m/>
    <n v="7180000"/>
    <n v="0"/>
    <n v="0"/>
    <n v="5744000"/>
    <n v="0"/>
    <n v="5744000"/>
    <n v="0"/>
    <n v="0"/>
    <n v="0"/>
    <n v="0"/>
    <n v="0"/>
    <n v="0"/>
    <n v="0"/>
    <n v="0"/>
    <n v="0"/>
    <n v="0"/>
    <n v="1436000"/>
    <n v="0"/>
    <n v="1436000"/>
    <n v="0"/>
    <n v="0"/>
    <n v="7180000"/>
    <n v="41118800"/>
    <n v="6270000"/>
    <n v="2017"/>
    <m/>
    <m/>
    <m/>
    <m/>
    <m/>
    <m/>
    <m/>
    <s v="NO"/>
    <m/>
    <s v="NO"/>
    <s v="NO"/>
    <s v="Yes"/>
    <s v="NO"/>
    <n v="0.82099999999999995"/>
    <n v="5894780"/>
    <m/>
    <m/>
    <m/>
    <m/>
    <m/>
    <n v="0"/>
    <m/>
    <n v="0.115"/>
    <n v="825700"/>
    <m/>
    <m/>
    <m/>
    <m/>
    <n v="3.2000000000000001E-2"/>
    <n v="229760"/>
    <m/>
    <m/>
    <m/>
    <m/>
    <m/>
    <n v="0"/>
    <m/>
    <m/>
    <m/>
    <m/>
    <m/>
    <n v="0"/>
    <m/>
    <m/>
    <m/>
    <m/>
    <n v="2.3E-2"/>
    <n v="165140"/>
    <m/>
    <m/>
    <m/>
    <m/>
    <n v="8.9999999999999993E-3"/>
    <n v="64619.999999999993"/>
    <m/>
    <m/>
    <m/>
    <m/>
    <m/>
    <n v="0"/>
    <m/>
    <m/>
    <m/>
    <m/>
    <m/>
    <n v="0"/>
    <m/>
    <m/>
    <m/>
    <m/>
    <n v="1"/>
    <n v="7180000"/>
  </r>
  <r>
    <m/>
    <n v="1"/>
    <n v="1"/>
    <s v="MN"/>
    <n v="23"/>
    <s v="MN 23"/>
    <s v="0901-67"/>
    <x v="1"/>
    <m/>
    <s v="S"/>
    <s v="MNDOT"/>
    <m/>
    <s v="15.9 MI NE OF SOUTH CARLTON CO LINE, REPLACE BR # 5470 (NEW BR # 09015) AND APPROACHES "/>
    <s v="331+00.875"/>
    <s v="332+00.450"/>
    <n v="0.57999999999999996"/>
    <m/>
    <s v="CARLTON"/>
    <s v="BR"/>
    <s v="1-B "/>
    <s v="1-B"/>
    <m/>
    <s v="BRPC - BRIDGE REPLACEMENT OR CONSTRUCTION"/>
    <s v="BRIDGE REPLACEMENT"/>
    <s v="STP5K  "/>
    <s v="STP5K"/>
    <m/>
    <m/>
    <n v="3800000"/>
    <n v="0"/>
    <n v="0"/>
    <n v="3040000"/>
    <n v="0"/>
    <n v="3040000"/>
    <n v="0"/>
    <n v="0"/>
    <n v="0"/>
    <n v="0"/>
    <n v="0"/>
    <n v="0"/>
    <n v="0"/>
    <n v="0"/>
    <n v="0"/>
    <n v="0"/>
    <n v="760000"/>
    <n v="0"/>
    <n v="760000"/>
    <n v="0"/>
    <n v="0"/>
    <n v="3800000"/>
    <n v="32336412"/>
    <n v="12086200"/>
    <n v="2015"/>
    <m/>
    <m/>
    <m/>
    <m/>
    <m/>
    <s v="YES"/>
    <s v="NO"/>
    <s v="NO"/>
    <s v="8th District"/>
    <s v="NO"/>
    <s v="NO"/>
    <s v="NO"/>
    <s v="NO"/>
    <m/>
    <n v="0"/>
    <m/>
    <m/>
    <m/>
    <m/>
    <n v="0.5"/>
    <n v="1900000"/>
    <s v="Improvement - Major rehabilitation or replacement"/>
    <m/>
    <n v="0"/>
    <m/>
    <m/>
    <m/>
    <m/>
    <m/>
    <n v="0"/>
    <m/>
    <m/>
    <m/>
    <m/>
    <m/>
    <n v="0"/>
    <m/>
    <m/>
    <m/>
    <m/>
    <m/>
    <n v="0"/>
    <m/>
    <m/>
    <m/>
    <m/>
    <m/>
    <n v="0"/>
    <m/>
    <m/>
    <m/>
    <m/>
    <m/>
    <n v="0"/>
    <m/>
    <m/>
    <m/>
    <m/>
    <n v="0.5"/>
    <n v="1900000"/>
    <m/>
    <m/>
    <m/>
    <m/>
    <m/>
    <n v="0"/>
    <m/>
    <m/>
    <m/>
    <m/>
    <n v="1"/>
    <n v="3800000"/>
  </r>
  <r>
    <m/>
    <n v="1"/>
    <n v="1"/>
    <s v="MN"/>
    <n v="23"/>
    <s v="MN 23"/>
    <s v="0901-70"/>
    <x v="1"/>
    <m/>
    <s v="S"/>
    <s v="MNDOT"/>
    <m/>
    <s v="9.5 MI NE OF SOUTH CARLTON CO LINE, REPLACE BR # 8501 (BOX CULVERT) (ASSOC. 0901-(8501))"/>
    <n v="0"/>
    <n v="0"/>
    <n v="0"/>
    <m/>
    <s v="CARLTON"/>
    <s v="BR"/>
    <s v="1-B "/>
    <s v="1-B"/>
    <m/>
    <s v="BRPC - BRIDGE REPLACEMENT OR CONSTRUCTION"/>
    <s v="BRIDGE REPLACEMENT"/>
    <s v="STP5K  "/>
    <s v="STP5K"/>
    <m/>
    <m/>
    <n v="800000"/>
    <n v="0"/>
    <n v="0"/>
    <n v="640000"/>
    <n v="0"/>
    <n v="640000"/>
    <n v="0"/>
    <n v="0"/>
    <n v="0"/>
    <n v="0"/>
    <n v="0"/>
    <n v="0"/>
    <n v="0"/>
    <n v="0"/>
    <n v="0"/>
    <n v="0"/>
    <n v="160000"/>
    <n v="0"/>
    <n v="160000"/>
    <n v="0"/>
    <n v="0"/>
    <n v="800000"/>
    <n v="32976412"/>
    <n v="12246200"/>
    <n v="2015"/>
    <m/>
    <m/>
    <m/>
    <m/>
    <m/>
    <s v="YES"/>
    <s v="NO"/>
    <s v="NO"/>
    <s v="8th District"/>
    <s v="NO"/>
    <s v="NO"/>
    <s v="Yes"/>
    <s v="NO"/>
    <m/>
    <n v="0"/>
    <m/>
    <m/>
    <m/>
    <m/>
    <n v="1"/>
    <n v="800000"/>
    <s v="Improvement - Major rehabilitation or replacement"/>
    <m/>
    <n v="0"/>
    <m/>
    <m/>
    <m/>
    <m/>
    <m/>
    <n v="0"/>
    <m/>
    <m/>
    <m/>
    <m/>
    <m/>
    <n v="0"/>
    <m/>
    <m/>
    <m/>
    <m/>
    <m/>
    <n v="0"/>
    <m/>
    <m/>
    <m/>
    <m/>
    <m/>
    <n v="0"/>
    <m/>
    <m/>
    <m/>
    <m/>
    <m/>
    <n v="0"/>
    <m/>
    <m/>
    <m/>
    <m/>
    <m/>
    <n v="0"/>
    <m/>
    <m/>
    <m/>
    <m/>
    <m/>
    <n v="0"/>
    <m/>
    <m/>
    <m/>
    <m/>
    <n v="1"/>
    <n v="800000"/>
  </r>
  <r>
    <m/>
    <n v="1"/>
    <n v="1"/>
    <s v="MN"/>
    <n v="999"/>
    <s v="MN 999"/>
    <s v="8801-MSC-18"/>
    <x v="3"/>
    <m/>
    <m/>
    <m/>
    <m/>
    <s v="DISTRICTWIDE SETASIDE - MISCELANEOUS - 2018"/>
    <m/>
    <m/>
    <m/>
    <m/>
    <m/>
    <m/>
    <m/>
    <m/>
    <m/>
    <m/>
    <m/>
    <m/>
    <m/>
    <m/>
    <m/>
    <n v="2500000"/>
    <m/>
    <m/>
    <m/>
    <m/>
    <m/>
    <m/>
    <m/>
    <m/>
    <m/>
    <m/>
    <m/>
    <m/>
    <m/>
    <m/>
    <m/>
    <m/>
    <m/>
    <m/>
    <m/>
    <n v="2500000"/>
    <n v="2500000"/>
    <m/>
    <m/>
    <n v="2018"/>
    <m/>
    <m/>
    <m/>
    <m/>
    <m/>
    <m/>
    <m/>
    <m/>
    <m/>
    <m/>
    <m/>
    <m/>
    <m/>
    <m/>
    <n v="0"/>
    <m/>
    <m/>
    <m/>
    <m/>
    <m/>
    <n v="0"/>
    <m/>
    <m/>
    <m/>
    <m/>
    <m/>
    <m/>
    <m/>
    <m/>
    <m/>
    <m/>
    <m/>
    <m/>
    <m/>
    <m/>
    <n v="0"/>
    <m/>
    <m/>
    <m/>
    <m/>
    <m/>
    <n v="0"/>
    <m/>
    <m/>
    <m/>
    <m/>
    <n v="0.115"/>
    <n v="287500"/>
    <m/>
    <m/>
    <m/>
    <m/>
    <n v="0.55500000000000005"/>
    <n v="1387500.0000000002"/>
    <m/>
    <m/>
    <m/>
    <m/>
    <n v="0.33"/>
    <n v="825000"/>
    <m/>
    <m/>
    <m/>
    <m/>
    <m/>
    <n v="0"/>
    <m/>
    <m/>
    <m/>
    <m/>
    <n v="1"/>
    <n v="2500000"/>
  </r>
  <r>
    <m/>
    <n v="1"/>
    <n v="1"/>
    <s v="MN"/>
    <n v="23"/>
    <s v="MN 23"/>
    <s v="0901-75"/>
    <x v="1"/>
    <m/>
    <s v="S"/>
    <s v="MNDOT"/>
    <m/>
    <s v="9.0 MI NE OF SOUTH CARLTON CO LINE, REPLACE BR # 5554 AND APPROACHES "/>
    <n v="0"/>
    <n v="0"/>
    <n v="0"/>
    <m/>
    <s v="CARLTON"/>
    <s v="BR"/>
    <s v="1-B "/>
    <s v="1-B"/>
    <m/>
    <s v="BRPC - BRIDGE REPLACEMENT OR CONSTRUCTION"/>
    <s v="BRIDGE REPLACEMENT"/>
    <s v="STP5K  "/>
    <s v="STP5K"/>
    <m/>
    <m/>
    <n v="1800000"/>
    <n v="0"/>
    <n v="0"/>
    <n v="1440000"/>
    <n v="0"/>
    <n v="1440000"/>
    <n v="0"/>
    <n v="0"/>
    <n v="0"/>
    <n v="0"/>
    <n v="0"/>
    <n v="0"/>
    <n v="0"/>
    <n v="0"/>
    <n v="0"/>
    <n v="0"/>
    <n v="360000"/>
    <n v="0"/>
    <n v="360000"/>
    <n v="0"/>
    <n v="0"/>
    <n v="1800000"/>
    <n v="34416412"/>
    <n v="12606200"/>
    <n v="2015"/>
    <m/>
    <m/>
    <m/>
    <m/>
    <m/>
    <s v="YES"/>
    <s v="NO"/>
    <s v="NO"/>
    <s v="8th District"/>
    <s v="NO"/>
    <s v="NO"/>
    <s v="Yes"/>
    <s v="NO"/>
    <m/>
    <n v="0"/>
    <m/>
    <m/>
    <m/>
    <m/>
    <n v="1"/>
    <n v="1800000"/>
    <s v="Improvement - Major rehabilitation or replacement"/>
    <m/>
    <n v="0"/>
    <m/>
    <m/>
    <m/>
    <m/>
    <m/>
    <n v="0"/>
    <m/>
    <m/>
    <m/>
    <m/>
    <m/>
    <n v="0"/>
    <m/>
    <m/>
    <m/>
    <m/>
    <m/>
    <n v="0"/>
    <m/>
    <m/>
    <m/>
    <m/>
    <m/>
    <n v="0"/>
    <m/>
    <m/>
    <m/>
    <m/>
    <m/>
    <n v="0"/>
    <m/>
    <m/>
    <m/>
    <m/>
    <m/>
    <n v="0"/>
    <m/>
    <m/>
    <m/>
    <m/>
    <m/>
    <n v="0"/>
    <m/>
    <m/>
    <m/>
    <m/>
    <n v="1"/>
    <n v="1800000"/>
  </r>
  <r>
    <m/>
    <n v="1"/>
    <n v="1"/>
    <s v="MN"/>
    <n v="27"/>
    <s v="MN 27"/>
    <s v="0902-12"/>
    <x v="9"/>
    <m/>
    <s v="S"/>
    <s v="MNDOT"/>
    <m/>
    <s v="FR. AITKIN/CARLTON CO. LINE TO W. JCT TH 73, MILL AND OVERLAY"/>
    <s v="231+00.365"/>
    <s v="240+00.765"/>
    <n v="9.4"/>
    <m/>
    <s v="CARLTON"/>
    <s v="RS"/>
    <m/>
    <m/>
    <m/>
    <s v="PVTR - PAVEMENT RESURFACE AND REHABILITATION"/>
    <s v="CULVERT"/>
    <s v="SF  "/>
    <s v="SF"/>
    <m/>
    <m/>
    <n v="2400000"/>
    <m/>
    <m/>
    <m/>
    <m/>
    <n v="0"/>
    <m/>
    <m/>
    <m/>
    <n v="0"/>
    <m/>
    <m/>
    <m/>
    <n v="0"/>
    <m/>
    <m/>
    <n v="2400000"/>
    <m/>
    <n v="2400000"/>
    <m/>
    <n v="0"/>
    <n v="2400000"/>
    <n v="25728499.699999999"/>
    <n v="12293233.300000001"/>
    <n v="2017"/>
    <m/>
    <m/>
    <m/>
    <m/>
    <m/>
    <s v="NO"/>
    <s v="NO"/>
    <s v="NO"/>
    <s v="8th District"/>
    <s v="NO"/>
    <s v="NO"/>
    <s v="Yes"/>
    <s v="NO"/>
    <n v="0.98124999999999996"/>
    <n v="2355000"/>
    <s v="Mill and/or overlay"/>
    <m/>
    <m/>
    <m/>
    <m/>
    <n v="0"/>
    <m/>
    <n v="1.8749999999999999E-2"/>
    <n v="45000"/>
    <s v="Drainage and culverts"/>
    <m/>
    <m/>
    <m/>
    <m/>
    <n v="0"/>
    <m/>
    <m/>
    <m/>
    <m/>
    <m/>
    <n v="0"/>
    <m/>
    <m/>
    <m/>
    <m/>
    <m/>
    <n v="0"/>
    <m/>
    <m/>
    <m/>
    <m/>
    <m/>
    <n v="0"/>
    <m/>
    <m/>
    <m/>
    <m/>
    <m/>
    <n v="0"/>
    <m/>
    <m/>
    <m/>
    <m/>
    <m/>
    <n v="0"/>
    <m/>
    <m/>
    <m/>
    <m/>
    <m/>
    <n v="0"/>
    <m/>
    <m/>
    <m/>
    <m/>
    <n v="1"/>
    <n v="2400000"/>
  </r>
  <r>
    <m/>
    <n v="1"/>
    <n v="1"/>
    <s v="MN"/>
    <n v="999"/>
    <s v="MN 999"/>
    <s v="8801-MSC-19"/>
    <x v="4"/>
    <m/>
    <m/>
    <m/>
    <m/>
    <s v="DISTRICTWIDE SETASIDE - MISCELANEOUS - 2019"/>
    <m/>
    <m/>
    <m/>
    <m/>
    <m/>
    <m/>
    <m/>
    <m/>
    <m/>
    <m/>
    <m/>
    <m/>
    <m/>
    <m/>
    <m/>
    <n v="6250000"/>
    <m/>
    <m/>
    <m/>
    <m/>
    <m/>
    <m/>
    <m/>
    <m/>
    <m/>
    <m/>
    <m/>
    <m/>
    <m/>
    <m/>
    <m/>
    <m/>
    <m/>
    <m/>
    <m/>
    <n v="6250000"/>
    <m/>
    <m/>
    <m/>
    <m/>
    <m/>
    <m/>
    <m/>
    <m/>
    <m/>
    <m/>
    <m/>
    <m/>
    <m/>
    <m/>
    <m/>
    <m/>
    <m/>
    <m/>
    <n v="0"/>
    <m/>
    <m/>
    <m/>
    <m/>
    <m/>
    <n v="0"/>
    <m/>
    <m/>
    <m/>
    <m/>
    <m/>
    <m/>
    <m/>
    <m/>
    <n v="0"/>
    <m/>
    <m/>
    <m/>
    <m/>
    <m/>
    <n v="0"/>
    <m/>
    <m/>
    <m/>
    <m/>
    <m/>
    <n v="0"/>
    <m/>
    <m/>
    <m/>
    <m/>
    <n v="4.2500000000000003E-2"/>
    <n v="265625"/>
    <m/>
    <m/>
    <m/>
    <m/>
    <n v="0.22750000000000001"/>
    <n v="1421875"/>
    <m/>
    <m/>
    <m/>
    <m/>
    <n v="0.73"/>
    <n v="4562500"/>
    <m/>
    <m/>
    <m/>
    <m/>
    <m/>
    <n v="0"/>
    <m/>
    <m/>
    <m/>
    <m/>
    <n v="1"/>
    <n v="6250000"/>
  </r>
  <r>
    <m/>
    <n v="1"/>
    <n v="1"/>
    <s v="MN"/>
    <n v="999"/>
    <s v="MN 999"/>
    <s v="8801-MSC-20"/>
    <x v="5"/>
    <m/>
    <m/>
    <m/>
    <m/>
    <s v="DISTRICTWIDE SETASIDE - MISCELANEOUS - 2020"/>
    <m/>
    <m/>
    <m/>
    <m/>
    <m/>
    <m/>
    <m/>
    <m/>
    <m/>
    <m/>
    <m/>
    <m/>
    <m/>
    <m/>
    <m/>
    <n v="6250000"/>
    <m/>
    <m/>
    <m/>
    <m/>
    <m/>
    <m/>
    <m/>
    <m/>
    <m/>
    <m/>
    <m/>
    <m/>
    <m/>
    <m/>
    <m/>
    <m/>
    <m/>
    <m/>
    <m/>
    <n v="6250000"/>
    <m/>
    <m/>
    <m/>
    <m/>
    <m/>
    <m/>
    <m/>
    <m/>
    <m/>
    <m/>
    <m/>
    <m/>
    <m/>
    <m/>
    <m/>
    <m/>
    <m/>
    <m/>
    <n v="0"/>
    <m/>
    <m/>
    <m/>
    <m/>
    <m/>
    <n v="0"/>
    <m/>
    <m/>
    <m/>
    <m/>
    <m/>
    <m/>
    <m/>
    <m/>
    <n v="0"/>
    <m/>
    <m/>
    <m/>
    <m/>
    <m/>
    <n v="0"/>
    <m/>
    <m/>
    <m/>
    <m/>
    <m/>
    <n v="0"/>
    <m/>
    <m/>
    <m/>
    <m/>
    <n v="4.2500000000000003E-2"/>
    <n v="265625"/>
    <m/>
    <m/>
    <m/>
    <m/>
    <n v="0.22750000000000001"/>
    <n v="1450000"/>
    <m/>
    <m/>
    <m/>
    <m/>
    <n v="0.73"/>
    <n v="4562500"/>
    <m/>
    <m/>
    <m/>
    <m/>
    <m/>
    <n v="0"/>
    <m/>
    <m/>
    <m/>
    <m/>
    <n v="1"/>
    <n v="6250000"/>
  </r>
  <r>
    <m/>
    <n v="1"/>
    <n v="1"/>
    <s v="MN"/>
    <n v="999"/>
    <s v="MN 999"/>
    <s v="8801-MSC-21"/>
    <x v="6"/>
    <s v="DISTRICTWIDE SETASIDE - MISCELANEOUS -2022"/>
    <m/>
    <m/>
    <m/>
    <s v="DISTRICTWIDE SETASIDE - MISCELANEOUS -2021"/>
    <m/>
    <m/>
    <m/>
    <m/>
    <m/>
    <m/>
    <m/>
    <m/>
    <m/>
    <m/>
    <m/>
    <m/>
    <m/>
    <m/>
    <m/>
    <n v="6250000"/>
    <m/>
    <m/>
    <m/>
    <m/>
    <m/>
    <m/>
    <m/>
    <m/>
    <m/>
    <m/>
    <m/>
    <m/>
    <m/>
    <m/>
    <m/>
    <m/>
    <m/>
    <m/>
    <m/>
    <n v="6250000"/>
    <m/>
    <m/>
    <m/>
    <m/>
    <m/>
    <m/>
    <m/>
    <m/>
    <m/>
    <m/>
    <m/>
    <m/>
    <m/>
    <m/>
    <m/>
    <m/>
    <m/>
    <m/>
    <n v="0"/>
    <m/>
    <m/>
    <m/>
    <m/>
    <m/>
    <n v="0"/>
    <m/>
    <m/>
    <m/>
    <m/>
    <m/>
    <m/>
    <m/>
    <m/>
    <n v="0"/>
    <m/>
    <m/>
    <m/>
    <m/>
    <m/>
    <n v="0"/>
    <m/>
    <m/>
    <m/>
    <m/>
    <m/>
    <n v="0"/>
    <m/>
    <m/>
    <m/>
    <m/>
    <n v="4.2500000000000003E-2"/>
    <n v="265625"/>
    <m/>
    <m/>
    <m/>
    <m/>
    <n v="0.22750000000000001"/>
    <n v="1421875"/>
    <m/>
    <m/>
    <m/>
    <m/>
    <n v="0.73"/>
    <n v="4562500"/>
    <m/>
    <m/>
    <m/>
    <m/>
    <m/>
    <n v="0"/>
    <m/>
    <m/>
    <m/>
    <m/>
    <n v="1"/>
    <n v="6250000"/>
  </r>
  <r>
    <m/>
    <n v="1"/>
    <n v="1"/>
    <s v="MN"/>
    <n v="999"/>
    <s v="MN 999"/>
    <s v="8801-MSC-22"/>
    <x v="7"/>
    <m/>
    <m/>
    <m/>
    <m/>
    <s v="DISTRICTWIDE SETASIDE - MISCELANEOUS -2022"/>
    <m/>
    <m/>
    <m/>
    <m/>
    <m/>
    <m/>
    <m/>
    <m/>
    <m/>
    <m/>
    <m/>
    <m/>
    <m/>
    <m/>
    <m/>
    <n v="6250000"/>
    <m/>
    <m/>
    <m/>
    <m/>
    <m/>
    <m/>
    <m/>
    <m/>
    <m/>
    <m/>
    <m/>
    <m/>
    <m/>
    <m/>
    <m/>
    <m/>
    <m/>
    <m/>
    <m/>
    <n v="6250000"/>
    <m/>
    <m/>
    <m/>
    <m/>
    <m/>
    <m/>
    <m/>
    <m/>
    <m/>
    <m/>
    <m/>
    <m/>
    <m/>
    <m/>
    <m/>
    <m/>
    <m/>
    <m/>
    <n v="0"/>
    <m/>
    <m/>
    <m/>
    <m/>
    <m/>
    <n v="0"/>
    <m/>
    <m/>
    <m/>
    <m/>
    <m/>
    <m/>
    <m/>
    <m/>
    <n v="0"/>
    <m/>
    <m/>
    <m/>
    <m/>
    <m/>
    <n v="0"/>
    <m/>
    <m/>
    <m/>
    <m/>
    <m/>
    <n v="0"/>
    <m/>
    <m/>
    <m/>
    <m/>
    <n v="4.2500000000000003E-2"/>
    <n v="265625"/>
    <m/>
    <m/>
    <m/>
    <m/>
    <n v="0.22750000000000001"/>
    <n v="1421875"/>
    <m/>
    <m/>
    <m/>
    <m/>
    <n v="0.73"/>
    <n v="4562500"/>
    <m/>
    <m/>
    <m/>
    <m/>
    <m/>
    <n v="0"/>
    <m/>
    <m/>
    <m/>
    <m/>
    <n v="1"/>
    <n v="6250000"/>
  </r>
  <r>
    <m/>
    <n v="1"/>
    <n v="1"/>
    <s v="MN"/>
    <n v="999"/>
    <s v="MN 999"/>
    <s v="8801-MSC-23"/>
    <x v="8"/>
    <m/>
    <m/>
    <m/>
    <m/>
    <s v="DISTRICTWIDE SETASIDE - MISCELANEOUS -2023"/>
    <m/>
    <m/>
    <m/>
    <m/>
    <m/>
    <m/>
    <m/>
    <m/>
    <m/>
    <m/>
    <m/>
    <m/>
    <m/>
    <m/>
    <m/>
    <n v="6250000"/>
    <m/>
    <m/>
    <m/>
    <m/>
    <m/>
    <m/>
    <m/>
    <m/>
    <m/>
    <m/>
    <m/>
    <m/>
    <m/>
    <m/>
    <m/>
    <m/>
    <m/>
    <m/>
    <m/>
    <n v="6250000"/>
    <m/>
    <m/>
    <m/>
    <m/>
    <m/>
    <m/>
    <m/>
    <m/>
    <m/>
    <m/>
    <m/>
    <m/>
    <m/>
    <m/>
    <m/>
    <m/>
    <m/>
    <m/>
    <n v="0"/>
    <m/>
    <m/>
    <m/>
    <m/>
    <m/>
    <n v="0"/>
    <m/>
    <m/>
    <m/>
    <m/>
    <m/>
    <m/>
    <m/>
    <m/>
    <n v="0"/>
    <m/>
    <m/>
    <m/>
    <m/>
    <m/>
    <n v="0"/>
    <m/>
    <m/>
    <m/>
    <m/>
    <m/>
    <n v="0"/>
    <m/>
    <m/>
    <m/>
    <m/>
    <n v="4.2500000000000003E-2"/>
    <n v="265625"/>
    <m/>
    <m/>
    <m/>
    <m/>
    <n v="0.22750000000000001"/>
    <n v="1421875"/>
    <m/>
    <m/>
    <m/>
    <m/>
    <n v="0.73"/>
    <n v="4562500"/>
    <m/>
    <m/>
    <m/>
    <m/>
    <m/>
    <n v="0"/>
    <m/>
    <m/>
    <m/>
    <m/>
    <n v="1"/>
    <n v="6250000"/>
  </r>
  <r>
    <m/>
    <n v="1"/>
    <n v="1"/>
    <s v="MN"/>
    <n v="33"/>
    <s v="MN 33"/>
    <s v="0905-53"/>
    <x v="0"/>
    <m/>
    <s v="S"/>
    <s v="MNDOT"/>
    <m/>
    <s v="**AB**JCT I-35 TO 1.4MI NORTH IN CLOQUET, PAVEMENT REMOVAL &amp; REPLACEMENT, SIGNAL REPLACEMENT AT DODRIDGE AVE. (ASSOC.  009-607-021, 112-102-005) "/>
    <s v="0+00.00"/>
    <s v="1+00.802"/>
    <n v="2.1"/>
    <s v="CLOQUET"/>
    <s v="CARLTON"/>
    <s v="RC"/>
    <s v="1-P "/>
    <s v="1-P"/>
    <m/>
    <s v="GRSU - GRADE AND SURFACE"/>
    <s v="TRAFFIC SIGNAL REVISION"/>
    <s v="NHPP  "/>
    <s v="NHPP"/>
    <m/>
    <m/>
    <n v="7400000"/>
    <n v="0"/>
    <n v="0"/>
    <n v="5600000"/>
    <n v="0"/>
    <n v="5600000"/>
    <n v="0"/>
    <n v="0"/>
    <n v="0"/>
    <n v="0"/>
    <n v="0"/>
    <n v="0"/>
    <n v="0"/>
    <n v="0"/>
    <n v="0"/>
    <n v="0"/>
    <n v="1400000"/>
    <n v="0"/>
    <n v="1400000"/>
    <n v="0"/>
    <n v="0"/>
    <n v="7000000"/>
    <n v="35445530"/>
    <n v="5571996"/>
    <n v="2014"/>
    <m/>
    <s v="REPAIR ROAD SOUTH OF GORDY'S? WAITING ON ROD &amp; TODD"/>
    <m/>
    <m/>
    <m/>
    <s v="YES"/>
    <s v="NO"/>
    <s v="YES"/>
    <s v="8th District"/>
    <s v="NO"/>
    <s v="NO"/>
    <s v="Yes"/>
    <s v="NO"/>
    <n v="0.97"/>
    <n v="7178000"/>
    <s v="Reconstruction"/>
    <m/>
    <m/>
    <m/>
    <m/>
    <n v="0"/>
    <m/>
    <n v="0.03"/>
    <n v="222000"/>
    <s v="Drainage and culverts"/>
    <n v="0.01"/>
    <s v="Signals"/>
    <n v="0.02"/>
    <m/>
    <n v="0"/>
    <m/>
    <m/>
    <m/>
    <m/>
    <m/>
    <n v="0"/>
    <m/>
    <m/>
    <m/>
    <m/>
    <m/>
    <n v="0"/>
    <m/>
    <m/>
    <m/>
    <m/>
    <m/>
    <n v="0"/>
    <m/>
    <m/>
    <m/>
    <m/>
    <m/>
    <n v="0"/>
    <s v="ADA improvements - curb"/>
    <m/>
    <s v="ADA improvements - APS"/>
    <m/>
    <m/>
    <n v="0"/>
    <m/>
    <m/>
    <m/>
    <m/>
    <m/>
    <n v="0"/>
    <m/>
    <m/>
    <m/>
    <m/>
    <n v="1"/>
    <n v="7400000"/>
  </r>
  <r>
    <m/>
    <n v="1"/>
    <n v="1"/>
    <s v="MN"/>
    <n v="73"/>
    <s v="MN 73"/>
    <s v="0912-32"/>
    <x v="9"/>
    <m/>
    <s v="S"/>
    <s v="MNDOT"/>
    <m/>
    <s v="TH 73 APPROACH GRADING AND BRIDGE REPLACEMENT #3006 OVER KETTLE RIVER"/>
    <s v="014+00.876"/>
    <m/>
    <m/>
    <m/>
    <s v="CARLTON"/>
    <s v="BR"/>
    <m/>
    <m/>
    <m/>
    <s v="BRPC - BRIDGE REPLACEMENT OR CONSTRUCTION"/>
    <m/>
    <s v="SF  "/>
    <s v="SF"/>
    <m/>
    <m/>
    <n v="600000"/>
    <m/>
    <m/>
    <m/>
    <m/>
    <n v="0"/>
    <m/>
    <m/>
    <m/>
    <n v="0"/>
    <m/>
    <m/>
    <m/>
    <n v="0"/>
    <m/>
    <m/>
    <n v="600000"/>
    <m/>
    <n v="600000"/>
    <m/>
    <n v="0"/>
    <n v="600000"/>
    <n v="41568499.700000003"/>
    <n v="19503233.300000001"/>
    <n v="2017"/>
    <m/>
    <m/>
    <m/>
    <m/>
    <m/>
    <s v="YES"/>
    <s v="NO"/>
    <s v="NO"/>
    <s v="8th District"/>
    <s v="NO"/>
    <s v="NO"/>
    <s v="Yes"/>
    <s v="NO"/>
    <m/>
    <n v="0"/>
    <m/>
    <m/>
    <m/>
    <m/>
    <n v="1"/>
    <n v="600000"/>
    <m/>
    <m/>
    <n v="0"/>
    <m/>
    <m/>
    <m/>
    <m/>
    <m/>
    <n v="0"/>
    <m/>
    <m/>
    <m/>
    <m/>
    <m/>
    <n v="0"/>
    <m/>
    <m/>
    <m/>
    <m/>
    <m/>
    <n v="0"/>
    <m/>
    <m/>
    <m/>
    <m/>
    <m/>
    <n v="0"/>
    <m/>
    <m/>
    <m/>
    <m/>
    <m/>
    <n v="0"/>
    <m/>
    <m/>
    <m/>
    <m/>
    <m/>
    <n v="0"/>
    <m/>
    <m/>
    <m/>
    <m/>
    <m/>
    <n v="0"/>
    <m/>
    <m/>
    <m/>
    <m/>
    <n v="1"/>
    <n v="600000"/>
  </r>
  <r>
    <m/>
    <n v="1"/>
    <n v="1"/>
    <s v="I"/>
    <n v="35"/>
    <s v="I 35"/>
    <s v="0980-143"/>
    <x v="0"/>
    <m/>
    <s v="S"/>
    <s v="MNDOT"/>
    <n v="1"/>
    <s v="**ELLA**2 MILES SOUTH TO MIDWAY RD, CABLE MEDIAN BARRIER INSTALLATION (ASSOC. SP 6982-299)"/>
    <n v="0"/>
    <n v="0"/>
    <n v="1.8"/>
    <m/>
    <s v="MULTICOUNTY"/>
    <s v="SH"/>
    <s v="7-IRC-P "/>
    <s v="7-IRC-P"/>
    <m/>
    <s v="TRCD - TRAFFIC CONTROL DEVICES"/>
    <s v="SAFETY TARGET "/>
    <s v="HSIP  "/>
    <s v="HSIP"/>
    <m/>
    <m/>
    <n v="579956"/>
    <n v="0"/>
    <n v="0"/>
    <n v="521960"/>
    <n v="0"/>
    <n v="521960"/>
    <n v="0"/>
    <n v="0"/>
    <n v="0"/>
    <n v="0"/>
    <n v="0"/>
    <n v="0"/>
    <n v="0"/>
    <n v="0"/>
    <n v="0"/>
    <n v="0"/>
    <n v="57996"/>
    <n v="0"/>
    <n v="57996"/>
    <n v="0"/>
    <n v="0"/>
    <n v="579956"/>
    <n v="14441181"/>
    <n v="57996"/>
    <n v="2014"/>
    <m/>
    <s v="Includes all 2014 HSIP Funds"/>
    <m/>
    <m/>
    <m/>
    <s v="NO"/>
    <s v="NO"/>
    <s v="NO"/>
    <s v="8th District"/>
    <s v="YES"/>
    <s v="NO"/>
    <s v="Yes"/>
    <s v="NO"/>
    <m/>
    <n v="0"/>
    <m/>
    <m/>
    <m/>
    <m/>
    <m/>
    <n v="0"/>
    <m/>
    <m/>
    <n v="0"/>
    <m/>
    <m/>
    <m/>
    <m/>
    <n v="1"/>
    <n v="579956"/>
    <m/>
    <m/>
    <m/>
    <m/>
    <m/>
    <n v="0"/>
    <m/>
    <m/>
    <m/>
    <m/>
    <m/>
    <n v="0"/>
    <m/>
    <m/>
    <m/>
    <m/>
    <m/>
    <n v="0"/>
    <m/>
    <m/>
    <m/>
    <m/>
    <m/>
    <n v="0"/>
    <m/>
    <m/>
    <m/>
    <m/>
    <m/>
    <n v="0"/>
    <m/>
    <m/>
    <m/>
    <m/>
    <m/>
    <n v="0"/>
    <m/>
    <m/>
    <m/>
    <m/>
    <n v="1"/>
    <n v="579956"/>
  </r>
  <r>
    <m/>
    <n v="7"/>
    <n v="7"/>
    <s v="MN"/>
    <n v="999"/>
    <s v="MN999"/>
    <m/>
    <x v="6"/>
    <m/>
    <m/>
    <m/>
    <m/>
    <s v="NHS BRIDGE SETASIDE"/>
    <m/>
    <m/>
    <m/>
    <m/>
    <m/>
    <m/>
    <s v=""/>
    <m/>
    <m/>
    <m/>
    <m/>
    <s v=""/>
    <m/>
    <m/>
    <m/>
    <n v="7000000"/>
    <m/>
    <m/>
    <m/>
    <m/>
    <n v="0"/>
    <m/>
    <m/>
    <m/>
    <n v="0"/>
    <m/>
    <m/>
    <m/>
    <n v="0"/>
    <m/>
    <m/>
    <m/>
    <m/>
    <n v="0"/>
    <m/>
    <n v="7000000"/>
    <n v="7000000"/>
    <n v="65197560"/>
    <n v="32292196"/>
    <n v="2021"/>
    <m/>
    <m/>
    <m/>
    <m/>
    <m/>
    <m/>
    <m/>
    <m/>
    <m/>
    <m/>
    <m/>
    <m/>
    <m/>
    <m/>
    <n v="0"/>
    <m/>
    <m/>
    <m/>
    <m/>
    <n v="0.92900000000000005"/>
    <n v="6503000"/>
    <m/>
    <m/>
    <n v="0"/>
    <m/>
    <m/>
    <m/>
    <m/>
    <m/>
    <n v="0"/>
    <m/>
    <m/>
    <m/>
    <m/>
    <m/>
    <n v="0"/>
    <m/>
    <m/>
    <m/>
    <m/>
    <m/>
    <n v="0"/>
    <m/>
    <m/>
    <m/>
    <m/>
    <n v="3.5000000000000003E-2"/>
    <n v="245000.00000000003"/>
    <m/>
    <m/>
    <m/>
    <m/>
    <n v="3.5999999999999997E-2"/>
    <n v="251999.99999999997"/>
    <m/>
    <m/>
    <m/>
    <m/>
    <m/>
    <n v="0"/>
    <m/>
    <m/>
    <m/>
    <m/>
    <m/>
    <n v="0"/>
    <m/>
    <m/>
    <m/>
    <m/>
    <n v="1"/>
    <n v="7000000"/>
  </r>
  <r>
    <m/>
    <n v="7"/>
    <n v="7"/>
    <s v="MN"/>
    <n v="999"/>
    <s v="MN999"/>
    <m/>
    <x v="7"/>
    <m/>
    <m/>
    <m/>
    <m/>
    <s v="NHS BRIDGE SETASIDE"/>
    <m/>
    <m/>
    <m/>
    <m/>
    <m/>
    <m/>
    <s v=""/>
    <m/>
    <m/>
    <m/>
    <m/>
    <s v=""/>
    <m/>
    <m/>
    <m/>
    <n v="7000000"/>
    <m/>
    <m/>
    <m/>
    <m/>
    <n v="0"/>
    <m/>
    <m/>
    <m/>
    <n v="0"/>
    <m/>
    <m/>
    <m/>
    <n v="0"/>
    <m/>
    <m/>
    <m/>
    <m/>
    <n v="0"/>
    <m/>
    <n v="7000000"/>
    <n v="7000000"/>
    <n v="65197560"/>
    <n v="32292196"/>
    <n v="2022"/>
    <m/>
    <m/>
    <m/>
    <m/>
    <m/>
    <m/>
    <m/>
    <m/>
    <m/>
    <m/>
    <m/>
    <m/>
    <m/>
    <m/>
    <n v="0"/>
    <m/>
    <m/>
    <m/>
    <m/>
    <n v="0.92900000000000005"/>
    <n v="6503000"/>
    <m/>
    <m/>
    <n v="0"/>
    <m/>
    <m/>
    <m/>
    <m/>
    <m/>
    <n v="0"/>
    <m/>
    <m/>
    <m/>
    <m/>
    <m/>
    <n v="0"/>
    <m/>
    <m/>
    <m/>
    <m/>
    <m/>
    <n v="0"/>
    <m/>
    <m/>
    <m/>
    <m/>
    <n v="3.5000000000000003E-2"/>
    <n v="245000.00000000003"/>
    <m/>
    <m/>
    <m/>
    <m/>
    <n v="3.5999999999999997E-2"/>
    <n v="251999.99999999997"/>
    <m/>
    <m/>
    <m/>
    <m/>
    <m/>
    <n v="0"/>
    <m/>
    <m/>
    <m/>
    <m/>
    <m/>
    <n v="0"/>
    <m/>
    <m/>
    <m/>
    <m/>
    <n v="1"/>
    <n v="7000000"/>
  </r>
  <r>
    <m/>
    <n v="7"/>
    <n v="7"/>
    <s v="MN"/>
    <n v="999"/>
    <s v="MN999"/>
    <m/>
    <x v="8"/>
    <m/>
    <m/>
    <m/>
    <m/>
    <s v="NHS BRIDGE SETASIDE"/>
    <m/>
    <m/>
    <m/>
    <m/>
    <m/>
    <m/>
    <s v=""/>
    <m/>
    <m/>
    <m/>
    <m/>
    <s v=""/>
    <m/>
    <m/>
    <m/>
    <n v="7000000"/>
    <m/>
    <m/>
    <m/>
    <m/>
    <n v="0"/>
    <m/>
    <m/>
    <m/>
    <n v="0"/>
    <m/>
    <m/>
    <m/>
    <n v="0"/>
    <m/>
    <m/>
    <m/>
    <m/>
    <n v="0"/>
    <m/>
    <n v="7000000"/>
    <n v="7000000"/>
    <n v="65197560"/>
    <n v="32592196"/>
    <n v="2023"/>
    <m/>
    <m/>
    <m/>
    <m/>
    <m/>
    <m/>
    <m/>
    <m/>
    <m/>
    <m/>
    <m/>
    <m/>
    <m/>
    <m/>
    <n v="0"/>
    <m/>
    <m/>
    <m/>
    <m/>
    <n v="0.92900000000000005"/>
    <n v="6503000"/>
    <m/>
    <m/>
    <n v="0"/>
    <m/>
    <m/>
    <m/>
    <m/>
    <m/>
    <n v="0"/>
    <m/>
    <m/>
    <m/>
    <m/>
    <m/>
    <n v="0"/>
    <m/>
    <m/>
    <m/>
    <m/>
    <m/>
    <n v="0"/>
    <m/>
    <m/>
    <m/>
    <m/>
    <n v="3.5000000000000003E-2"/>
    <n v="245000.00000000003"/>
    <m/>
    <m/>
    <m/>
    <m/>
    <n v="3.5999999999999997E-2"/>
    <n v="251999.99999999997"/>
    <m/>
    <m/>
    <m/>
    <m/>
    <m/>
    <n v="0"/>
    <m/>
    <m/>
    <m/>
    <m/>
    <m/>
    <n v="0"/>
    <m/>
    <m/>
    <m/>
    <m/>
    <n v="1"/>
    <n v="7000000"/>
  </r>
  <r>
    <m/>
    <n v="1"/>
    <n v="1"/>
    <s v="I"/>
    <n v="35"/>
    <s v="I 35"/>
    <s v="0980-148"/>
    <x v="0"/>
    <m/>
    <s v="S"/>
    <s v="MNDOT"/>
    <m/>
    <s v=" **AC**1 MI N JCT TH 27 TO ST LOUIS RIVER, SCANLON, PAINT BR #S 09807, 09808, 09837, 09838, DECK OVERLAY BR #S 09819, 09832 (AC PROJECT, PAYBACK IN 2015)"/>
    <s v="239+00.542"/>
    <n v="0"/>
    <n v="0"/>
    <s v="SCANLON"/>
    <s v="CARLTON"/>
    <s v="BI"/>
    <s v="1-B "/>
    <s v="1-B"/>
    <m/>
    <s v="BRRH - BRIDGE REHABILITATION"/>
    <s v="BRIDGE REPAIR"/>
    <s v="NHPP  "/>
    <s v="NHPP"/>
    <m/>
    <m/>
    <n v="1500000"/>
    <n v="0"/>
    <n v="0"/>
    <n v="0"/>
    <n v="0"/>
    <n v="0"/>
    <n v="0"/>
    <n v="2700000"/>
    <n v="0"/>
    <n v="2700000"/>
    <n v="0"/>
    <n v="0"/>
    <n v="0"/>
    <n v="0"/>
    <n v="0"/>
    <n v="0"/>
    <n v="300000"/>
    <n v="0"/>
    <n v="300000"/>
    <n v="0"/>
    <n v="0"/>
    <n v="3000000"/>
    <n v="14441181"/>
    <n v="357996"/>
    <n v="2014"/>
    <m/>
    <m/>
    <m/>
    <m/>
    <m/>
    <s v="NO"/>
    <s v="NO"/>
    <s v="NO"/>
    <s v="8th District"/>
    <s v="NO"/>
    <s v="NO"/>
    <s v="Yes"/>
    <s v="NO"/>
    <m/>
    <n v="0"/>
    <m/>
    <m/>
    <m/>
    <m/>
    <n v="0.92900000000000005"/>
    <n v="1393500"/>
    <s v="Preservation - Painting"/>
    <m/>
    <n v="0"/>
    <m/>
    <m/>
    <m/>
    <m/>
    <m/>
    <n v="0"/>
    <m/>
    <m/>
    <m/>
    <m/>
    <m/>
    <n v="0"/>
    <m/>
    <m/>
    <m/>
    <m/>
    <m/>
    <n v="0"/>
    <m/>
    <m/>
    <m/>
    <m/>
    <n v="3.5000000000000003E-2"/>
    <n v="52500.000000000007"/>
    <m/>
    <m/>
    <m/>
    <m/>
    <n v="3.5999999999999997E-2"/>
    <n v="53999.999999999993"/>
    <m/>
    <m/>
    <m/>
    <m/>
    <m/>
    <n v="0"/>
    <m/>
    <m/>
    <m/>
    <m/>
    <m/>
    <n v="0"/>
    <m/>
    <m/>
    <m/>
    <m/>
    <n v="1"/>
    <n v="1500000"/>
  </r>
  <r>
    <m/>
    <n v="1"/>
    <n v="1"/>
    <s v="I"/>
    <n v="35"/>
    <s v="I 35"/>
    <s v="0980-148AC"/>
    <x v="1"/>
    <m/>
    <s v="S"/>
    <s v="MNDOT"/>
    <m/>
    <s v=" **AC**1 MI N JCT TH 27 TO ST LOUIS RIVER, SCANLON, PAINT BR #S 09807, 09808, 09837, 09838, DECK OVERLAY BR #S 09819, 09832 (AC PAYBACK 1 OF 1)"/>
    <s v="239+00.542"/>
    <n v="0"/>
    <n v="0"/>
    <s v="SCANLON"/>
    <s v="CARLTON"/>
    <s v="BI"/>
    <s v="1-B "/>
    <s v="1-B"/>
    <m/>
    <s v="BRRH - BRIDGE REHABILITATION"/>
    <s v="BRIDGE REPAIR"/>
    <s v="NHPP  "/>
    <s v="NHPP"/>
    <m/>
    <m/>
    <n v="1500000"/>
    <n v="0"/>
    <n v="0"/>
    <n v="0"/>
    <n v="0"/>
    <n v="0"/>
    <n v="0"/>
    <n v="0"/>
    <n v="0"/>
    <n v="0"/>
    <n v="0"/>
    <n v="3000000"/>
    <n v="0"/>
    <n v="3000000"/>
    <n v="0"/>
    <n v="0"/>
    <n v="0"/>
    <n v="0"/>
    <n v="0"/>
    <n v="0"/>
    <n v="0"/>
    <n v="0"/>
    <n v="14234974"/>
    <n v="3750000"/>
    <n v="2015"/>
    <m/>
    <m/>
    <m/>
    <m/>
    <m/>
    <s v="NO"/>
    <s v="NO"/>
    <s v="NO"/>
    <s v="8th District"/>
    <s v="NO"/>
    <s v="NO"/>
    <s v="Yes"/>
    <s v="NO"/>
    <m/>
    <n v="0"/>
    <m/>
    <m/>
    <m/>
    <m/>
    <n v="0.92900000000000005"/>
    <n v="1393500"/>
    <m/>
    <m/>
    <n v="0"/>
    <m/>
    <m/>
    <m/>
    <m/>
    <m/>
    <n v="0"/>
    <m/>
    <m/>
    <m/>
    <m/>
    <m/>
    <n v="0"/>
    <m/>
    <m/>
    <m/>
    <m/>
    <m/>
    <n v="0"/>
    <m/>
    <m/>
    <m/>
    <m/>
    <n v="3.5000000000000003E-2"/>
    <n v="52500.000000000007"/>
    <m/>
    <m/>
    <m/>
    <m/>
    <n v="3.5999999999999997E-2"/>
    <n v="53999.999999999993"/>
    <m/>
    <m/>
    <m/>
    <m/>
    <m/>
    <n v="0"/>
    <m/>
    <m/>
    <m/>
    <m/>
    <m/>
    <n v="0"/>
    <m/>
    <m/>
    <m/>
    <m/>
    <n v="1"/>
    <n v="1500000"/>
  </r>
  <r>
    <m/>
    <n v="1"/>
    <n v="1"/>
    <s v="I"/>
    <n v="35"/>
    <s v="I 35"/>
    <s v="0980-150"/>
    <x v="9"/>
    <m/>
    <s v="S"/>
    <s v="MNDOT"/>
    <m/>
    <s v="I-35 BRIDGE # 09824 OVER CSAH 61 3.5 MI S OF JCT TH 210 REPAIR, RE-DECK. (ASSOC. 0980-09824)"/>
    <m/>
    <m/>
    <m/>
    <m/>
    <s v="CARLTON"/>
    <s v="BI"/>
    <m/>
    <m/>
    <m/>
    <s v="BRRH - BRIDGE REHABILITATION"/>
    <m/>
    <s v="NHPP  "/>
    <s v="NHPP"/>
    <m/>
    <m/>
    <n v="1309000"/>
    <n v="0"/>
    <n v="0"/>
    <n v="1178100"/>
    <n v="0"/>
    <n v="1178100"/>
    <n v="0"/>
    <n v="0"/>
    <n v="0"/>
    <n v="0"/>
    <n v="0"/>
    <n v="0"/>
    <n v="0"/>
    <n v="0"/>
    <n v="0"/>
    <n v="0"/>
    <n v="130900"/>
    <n v="0"/>
    <n v="130900"/>
    <n v="0"/>
    <n v="0"/>
    <n v="1309000"/>
    <n v="10688500"/>
    <n v="630900"/>
    <n v="2017"/>
    <m/>
    <m/>
    <m/>
    <m/>
    <m/>
    <s v="YES"/>
    <s v="NO"/>
    <s v="NO"/>
    <s v="8th District"/>
    <s v="NO"/>
    <s v="NO"/>
    <s v="Yes"/>
    <s v="NO"/>
    <m/>
    <n v="0"/>
    <m/>
    <m/>
    <m/>
    <m/>
    <n v="1"/>
    <n v="1309000"/>
    <s v="Improvement - Deck replacement"/>
    <m/>
    <n v="0"/>
    <m/>
    <m/>
    <m/>
    <m/>
    <m/>
    <n v="0"/>
    <m/>
    <m/>
    <m/>
    <m/>
    <m/>
    <n v="0"/>
    <m/>
    <m/>
    <m/>
    <m/>
    <m/>
    <n v="0"/>
    <m/>
    <m/>
    <m/>
    <m/>
    <m/>
    <n v="0"/>
    <m/>
    <m/>
    <m/>
    <m/>
    <m/>
    <n v="0"/>
    <m/>
    <m/>
    <m/>
    <m/>
    <m/>
    <n v="0"/>
    <m/>
    <m/>
    <m/>
    <m/>
    <m/>
    <n v="0"/>
    <m/>
    <m/>
    <m/>
    <m/>
    <n v="1"/>
    <n v="1309000"/>
  </r>
  <r>
    <m/>
    <s v="M"/>
    <s v="M"/>
    <s v="MN"/>
    <n v="5"/>
    <s v="MN 5"/>
    <s v="1002-100"/>
    <x v="2"/>
    <m/>
    <s v="S"/>
    <s v="MNDOT"/>
    <n v="7"/>
    <s v="E AND W JCT MN101 IN CHANHASSEN-ACCELERATION LANES"/>
    <m/>
    <m/>
    <m/>
    <m/>
    <m/>
    <m/>
    <m/>
    <m/>
    <m/>
    <m/>
    <m/>
    <m/>
    <m/>
    <m/>
    <m/>
    <n v="1680000"/>
    <m/>
    <m/>
    <m/>
    <m/>
    <m/>
    <m/>
    <m/>
    <m/>
    <m/>
    <m/>
    <m/>
    <m/>
    <m/>
    <m/>
    <m/>
    <m/>
    <m/>
    <m/>
    <m/>
    <n v="0"/>
    <m/>
    <m/>
    <m/>
    <m/>
    <m/>
    <m/>
    <m/>
    <m/>
    <m/>
    <m/>
    <m/>
    <m/>
    <m/>
    <m/>
    <m/>
    <m/>
    <m/>
    <m/>
    <n v="0"/>
    <m/>
    <m/>
    <m/>
    <m/>
    <m/>
    <n v="0"/>
    <m/>
    <n v="3.1340617700868482E-2"/>
    <n v="52652.237737459051"/>
    <s v="Drainage and culverts"/>
    <m/>
    <m/>
    <m/>
    <m/>
    <n v="0"/>
    <m/>
    <n v="1"/>
    <m/>
    <m/>
    <m/>
    <n v="0"/>
    <m/>
    <m/>
    <m/>
    <m/>
    <n v="0.96865938229913151"/>
    <n v="1627347.7622625409"/>
    <m/>
    <m/>
    <m/>
    <m/>
    <m/>
    <n v="0"/>
    <m/>
    <m/>
    <m/>
    <m/>
    <m/>
    <n v="0"/>
    <m/>
    <m/>
    <m/>
    <m/>
    <m/>
    <n v="0"/>
    <m/>
    <m/>
    <m/>
    <m/>
    <m/>
    <n v="0"/>
    <m/>
    <m/>
    <m/>
    <m/>
    <n v="1"/>
    <n v="1680000"/>
  </r>
  <r>
    <m/>
    <s v="M"/>
    <s v="M"/>
    <s v="MN"/>
    <n v="5"/>
    <s v="MN 5"/>
    <s v="1002-101"/>
    <x v="1"/>
    <m/>
    <s v="S"/>
    <s v="MNDOT"/>
    <n v="7"/>
    <s v="FROM JUST E OF SCANDIA RD IN LAKETOWN TWP TO ROLLING ACRES RD/BAVARIA RD IN VICTORIA - MILL &amp; OVERLAY, DRAINAGE, GUARDRAIL"/>
    <m/>
    <m/>
    <m/>
    <m/>
    <m/>
    <m/>
    <m/>
    <m/>
    <m/>
    <m/>
    <m/>
    <m/>
    <m/>
    <m/>
    <m/>
    <n v="5490000"/>
    <m/>
    <m/>
    <m/>
    <m/>
    <m/>
    <m/>
    <m/>
    <m/>
    <m/>
    <m/>
    <m/>
    <m/>
    <m/>
    <m/>
    <m/>
    <m/>
    <m/>
    <m/>
    <m/>
    <n v="0"/>
    <m/>
    <m/>
    <m/>
    <m/>
    <m/>
    <m/>
    <m/>
    <m/>
    <m/>
    <m/>
    <m/>
    <m/>
    <m/>
    <m/>
    <m/>
    <m/>
    <m/>
    <n v="0.84642975111819696"/>
    <n v="4646899.3336389009"/>
    <m/>
    <m/>
    <m/>
    <m/>
    <m/>
    <n v="0"/>
    <m/>
    <n v="1.9415607980190892E-2"/>
    <n v="106591.68781124799"/>
    <s v="Drainage and culverts"/>
    <m/>
    <m/>
    <m/>
    <n v="7.2300000000000003E-2"/>
    <n v="396927"/>
    <s v="Low cost high benefit"/>
    <n v="0.99999999999999967"/>
    <m/>
    <m/>
    <m/>
    <n v="0"/>
    <m/>
    <m/>
    <m/>
    <m/>
    <n v="6.1854640901611746E-2"/>
    <n v="339581.97854984849"/>
    <m/>
    <m/>
    <m/>
    <m/>
    <m/>
    <n v="0"/>
    <m/>
    <m/>
    <m/>
    <m/>
    <m/>
    <n v="0"/>
    <m/>
    <m/>
    <m/>
    <m/>
    <m/>
    <n v="0"/>
    <m/>
    <m/>
    <m/>
    <m/>
    <m/>
    <n v="0"/>
    <m/>
    <m/>
    <m/>
    <m/>
    <n v="0.99999999999999967"/>
    <n v="5489999.9999999972"/>
  </r>
  <r>
    <m/>
    <s v="M"/>
    <s v="M"/>
    <s v="MN"/>
    <n v="5"/>
    <s v="MN 5"/>
    <s v="1002-102"/>
    <x v="1"/>
    <m/>
    <s v="S"/>
    <s v="MNDOT"/>
    <n v="7"/>
    <s v="FROM JUST E OF JCT MN25 IN CAMDEN TWP TO JUST EAST OF BIRCH ST IN WACONIA- MILL &amp; OVERLAY, GUARDRAIL, ACCESS MANAGEMENT, DRAINAGE"/>
    <m/>
    <m/>
    <m/>
    <m/>
    <m/>
    <m/>
    <m/>
    <m/>
    <m/>
    <m/>
    <m/>
    <m/>
    <m/>
    <m/>
    <m/>
    <n v="3325000"/>
    <m/>
    <m/>
    <m/>
    <m/>
    <m/>
    <m/>
    <m/>
    <m/>
    <m/>
    <m/>
    <m/>
    <m/>
    <m/>
    <m/>
    <m/>
    <m/>
    <m/>
    <m/>
    <m/>
    <n v="0"/>
    <m/>
    <m/>
    <m/>
    <m/>
    <m/>
    <m/>
    <m/>
    <m/>
    <m/>
    <m/>
    <m/>
    <m/>
    <m/>
    <m/>
    <m/>
    <m/>
    <m/>
    <n v="0.63405730239527103"/>
    <n v="2108240.5304642762"/>
    <m/>
    <m/>
    <m/>
    <m/>
    <m/>
    <n v="0"/>
    <m/>
    <n v="2.7944725630323342E-2"/>
    <n v="92916.212720825119"/>
    <s v="Drainage and culverts"/>
    <m/>
    <m/>
    <m/>
    <n v="8.3500000000000005E-2"/>
    <n v="277637.5"/>
    <s v="Low cost high benefit"/>
    <n v="1.0000000000000002"/>
    <m/>
    <m/>
    <m/>
    <n v="0"/>
    <m/>
    <m/>
    <m/>
    <m/>
    <n v="0.25449797197440588"/>
    <n v="846205.75681489951"/>
    <m/>
    <m/>
    <m/>
    <m/>
    <m/>
    <n v="0"/>
    <m/>
    <m/>
    <m/>
    <m/>
    <m/>
    <n v="0"/>
    <m/>
    <m/>
    <m/>
    <m/>
    <m/>
    <n v="0"/>
    <m/>
    <m/>
    <m/>
    <m/>
    <m/>
    <n v="0"/>
    <m/>
    <m/>
    <m/>
    <m/>
    <n v="1.0000000000000002"/>
    <n v="3325000.0000000009"/>
  </r>
  <r>
    <m/>
    <s v="M"/>
    <s v="M"/>
    <s v="MN"/>
    <n v="5"/>
    <s v="MN 5"/>
    <s v="1002-104"/>
    <x v="0"/>
    <m/>
    <s v="S"/>
    <s v="MNDOT"/>
    <n v="7"/>
    <s v="FROM JUST W OF CARVER CSAH 11 W JCT IN VICTORIA TO JUST E OF MN41 IN CHANHASSEN-LANDSCAPING"/>
    <m/>
    <m/>
    <m/>
    <m/>
    <m/>
    <m/>
    <m/>
    <m/>
    <m/>
    <m/>
    <m/>
    <m/>
    <m/>
    <m/>
    <m/>
    <n v="150000"/>
    <m/>
    <m/>
    <m/>
    <m/>
    <m/>
    <m/>
    <m/>
    <m/>
    <m/>
    <m/>
    <m/>
    <m/>
    <m/>
    <m/>
    <m/>
    <m/>
    <m/>
    <m/>
    <m/>
    <n v="0"/>
    <m/>
    <m/>
    <m/>
    <m/>
    <m/>
    <m/>
    <m/>
    <m/>
    <m/>
    <m/>
    <m/>
    <m/>
    <m/>
    <m/>
    <m/>
    <m/>
    <m/>
    <m/>
    <n v="0"/>
    <m/>
    <m/>
    <m/>
    <m/>
    <m/>
    <n v="0"/>
    <m/>
    <n v="1"/>
    <n v="150000"/>
    <s v="Rest areas"/>
    <m/>
    <m/>
    <m/>
    <m/>
    <n v="0"/>
    <m/>
    <n v="1"/>
    <m/>
    <m/>
    <m/>
    <n v="0"/>
    <m/>
    <m/>
    <m/>
    <m/>
    <m/>
    <n v="0"/>
    <m/>
    <m/>
    <m/>
    <m/>
    <m/>
    <n v="0"/>
    <m/>
    <m/>
    <m/>
    <m/>
    <m/>
    <n v="0"/>
    <m/>
    <m/>
    <m/>
    <m/>
    <m/>
    <n v="0"/>
    <m/>
    <m/>
    <m/>
    <m/>
    <m/>
    <n v="0"/>
    <m/>
    <m/>
    <m/>
    <m/>
    <n v="1"/>
    <n v="150000"/>
  </r>
  <r>
    <m/>
    <s v="M"/>
    <s v="M"/>
    <s v="MN"/>
    <n v="5"/>
    <s v="MN 5"/>
    <s v="1002-XXX"/>
    <x v="1"/>
    <m/>
    <s v="S"/>
    <s v="MNDOT"/>
    <m/>
    <s v="**TED14** TH 5 Improvements in Waconia"/>
    <m/>
    <m/>
    <m/>
    <m/>
    <m/>
    <m/>
    <m/>
    <m/>
    <m/>
    <m/>
    <m/>
    <m/>
    <m/>
    <m/>
    <m/>
    <n v="11100000"/>
    <m/>
    <m/>
    <m/>
    <m/>
    <m/>
    <m/>
    <m/>
    <m/>
    <m/>
    <m/>
    <m/>
    <m/>
    <m/>
    <m/>
    <m/>
    <m/>
    <m/>
    <m/>
    <m/>
    <n v="6600000"/>
    <n v="11100000"/>
    <m/>
    <m/>
    <m/>
    <m/>
    <m/>
    <m/>
    <m/>
    <m/>
    <m/>
    <m/>
    <m/>
    <m/>
    <m/>
    <m/>
    <m/>
    <m/>
    <m/>
    <m/>
    <m/>
    <m/>
    <m/>
    <m/>
    <m/>
    <m/>
    <m/>
    <m/>
    <m/>
    <m/>
    <m/>
    <m/>
    <m/>
    <m/>
    <m/>
    <m/>
    <m/>
    <m/>
    <m/>
    <m/>
    <m/>
    <m/>
    <m/>
    <m/>
    <m/>
    <m/>
    <m/>
    <m/>
    <m/>
    <m/>
    <m/>
    <m/>
    <m/>
    <m/>
    <m/>
    <m/>
    <m/>
    <m/>
    <m/>
    <m/>
    <m/>
    <m/>
    <m/>
    <n v="1"/>
    <n v="4500000"/>
    <m/>
    <m/>
    <m/>
    <m/>
    <m/>
    <m/>
    <m/>
    <m/>
    <m/>
    <m/>
    <n v="1"/>
    <n v="4500000"/>
  </r>
  <r>
    <m/>
    <n v="2"/>
    <n v="2"/>
    <s v="MN"/>
    <n v="999"/>
    <s v="MN999"/>
    <m/>
    <x v="6"/>
    <m/>
    <m/>
    <m/>
    <m/>
    <s v="NON-NHS PAVEMENTS "/>
    <m/>
    <m/>
    <m/>
    <m/>
    <m/>
    <m/>
    <s v=""/>
    <m/>
    <m/>
    <m/>
    <m/>
    <s v=""/>
    <m/>
    <m/>
    <m/>
    <n v="9660000"/>
    <m/>
    <m/>
    <m/>
    <m/>
    <n v="0"/>
    <m/>
    <m/>
    <m/>
    <n v="0"/>
    <m/>
    <m/>
    <m/>
    <n v="0"/>
    <m/>
    <m/>
    <m/>
    <m/>
    <n v="0"/>
    <m/>
    <n v="9660000"/>
    <n v="9660000"/>
    <n v="0"/>
    <n v="0"/>
    <n v="2021"/>
    <m/>
    <m/>
    <m/>
    <m/>
    <m/>
    <m/>
    <m/>
    <m/>
    <m/>
    <m/>
    <m/>
    <m/>
    <m/>
    <n v="0.82099999999999995"/>
    <n v="7930860"/>
    <m/>
    <m/>
    <m/>
    <m/>
    <m/>
    <n v="0"/>
    <m/>
    <n v="0.115"/>
    <n v="1110900"/>
    <m/>
    <m/>
    <m/>
    <m/>
    <n v="3.2000000000000001E-2"/>
    <n v="309120"/>
    <m/>
    <m/>
    <m/>
    <m/>
    <m/>
    <n v="0"/>
    <m/>
    <m/>
    <m/>
    <m/>
    <m/>
    <n v="0"/>
    <m/>
    <m/>
    <m/>
    <m/>
    <n v="2.3E-2"/>
    <n v="222180"/>
    <m/>
    <m/>
    <m/>
    <m/>
    <n v="8.9999999999999993E-3"/>
    <n v="86940"/>
    <m/>
    <m/>
    <m/>
    <m/>
    <m/>
    <n v="0"/>
    <m/>
    <m/>
    <m/>
    <m/>
    <m/>
    <n v="0"/>
    <m/>
    <m/>
    <m/>
    <m/>
    <n v="1"/>
    <n v="9660000"/>
  </r>
  <r>
    <m/>
    <n v="2"/>
    <n v="2"/>
    <s v="MN"/>
    <n v="999"/>
    <s v="MN999"/>
    <m/>
    <x v="7"/>
    <m/>
    <m/>
    <m/>
    <m/>
    <s v="NON-NHS PAVEMENTS "/>
    <m/>
    <m/>
    <m/>
    <m/>
    <m/>
    <m/>
    <s v=""/>
    <m/>
    <m/>
    <m/>
    <m/>
    <s v=""/>
    <m/>
    <m/>
    <m/>
    <n v="9660000"/>
    <m/>
    <m/>
    <m/>
    <m/>
    <n v="0"/>
    <m/>
    <m/>
    <m/>
    <n v="0"/>
    <m/>
    <m/>
    <m/>
    <n v="0"/>
    <m/>
    <m/>
    <m/>
    <m/>
    <n v="0"/>
    <m/>
    <n v="9660000"/>
    <n v="9660000"/>
    <n v="0"/>
    <n v="0"/>
    <n v="2022"/>
    <m/>
    <m/>
    <m/>
    <m/>
    <m/>
    <m/>
    <m/>
    <m/>
    <m/>
    <m/>
    <m/>
    <m/>
    <m/>
    <n v="0.82099999999999995"/>
    <n v="7930860"/>
    <m/>
    <m/>
    <m/>
    <m/>
    <m/>
    <n v="0"/>
    <m/>
    <n v="0.115"/>
    <n v="1110900"/>
    <m/>
    <m/>
    <m/>
    <m/>
    <n v="3.2000000000000001E-2"/>
    <n v="309120"/>
    <m/>
    <m/>
    <m/>
    <m/>
    <m/>
    <n v="0"/>
    <m/>
    <m/>
    <m/>
    <m/>
    <m/>
    <n v="0"/>
    <m/>
    <m/>
    <m/>
    <m/>
    <n v="2.3E-2"/>
    <n v="222180"/>
    <m/>
    <m/>
    <m/>
    <m/>
    <n v="8.9999999999999993E-3"/>
    <n v="86940"/>
    <m/>
    <m/>
    <m/>
    <m/>
    <m/>
    <n v="0"/>
    <m/>
    <m/>
    <m/>
    <m/>
    <m/>
    <n v="0"/>
    <m/>
    <m/>
    <m/>
    <m/>
    <n v="1"/>
    <n v="9660000"/>
  </r>
  <r>
    <m/>
    <n v="2"/>
    <n v="2"/>
    <s v="MN"/>
    <n v="999"/>
    <s v="MN999"/>
    <m/>
    <x v="8"/>
    <m/>
    <m/>
    <m/>
    <m/>
    <s v="NON-NHS PAVEMENTS "/>
    <m/>
    <m/>
    <m/>
    <m/>
    <m/>
    <m/>
    <s v=""/>
    <m/>
    <m/>
    <m/>
    <m/>
    <s v=""/>
    <m/>
    <m/>
    <m/>
    <n v="9660000"/>
    <m/>
    <m/>
    <m/>
    <m/>
    <n v="0"/>
    <m/>
    <m/>
    <m/>
    <n v="0"/>
    <m/>
    <m/>
    <m/>
    <n v="0"/>
    <m/>
    <m/>
    <m/>
    <m/>
    <n v="0"/>
    <m/>
    <n v="9660000"/>
    <n v="9660000"/>
    <n v="0"/>
    <n v="0"/>
    <n v="2023"/>
    <m/>
    <m/>
    <m/>
    <m/>
    <m/>
    <m/>
    <m/>
    <m/>
    <m/>
    <m/>
    <m/>
    <m/>
    <m/>
    <n v="0.82099999999999995"/>
    <n v="7930860"/>
    <m/>
    <m/>
    <m/>
    <m/>
    <m/>
    <n v="0"/>
    <m/>
    <n v="0.115"/>
    <n v="1110900"/>
    <m/>
    <m/>
    <m/>
    <m/>
    <n v="3.2000000000000001E-2"/>
    <n v="309120"/>
    <m/>
    <m/>
    <m/>
    <m/>
    <m/>
    <n v="0"/>
    <m/>
    <m/>
    <m/>
    <m/>
    <m/>
    <n v="0"/>
    <m/>
    <m/>
    <m/>
    <m/>
    <n v="2.3E-2"/>
    <n v="222180"/>
    <m/>
    <m/>
    <m/>
    <m/>
    <n v="8.9999999999999993E-3"/>
    <n v="86940"/>
    <m/>
    <m/>
    <m/>
    <m/>
    <m/>
    <n v="0"/>
    <m/>
    <m/>
    <m/>
    <m/>
    <m/>
    <n v="0"/>
    <m/>
    <m/>
    <m/>
    <m/>
    <n v="1"/>
    <n v="9660000"/>
  </r>
  <r>
    <m/>
    <n v="1"/>
    <n v="1"/>
    <s v="MN"/>
    <n v="999"/>
    <s v="MN 999"/>
    <m/>
    <x v="6"/>
    <m/>
    <m/>
    <m/>
    <m/>
    <s v="NHS BRIDGE - 2021"/>
    <m/>
    <m/>
    <m/>
    <m/>
    <m/>
    <m/>
    <m/>
    <m/>
    <m/>
    <m/>
    <m/>
    <m/>
    <m/>
    <m/>
    <m/>
    <n v="6300000"/>
    <m/>
    <m/>
    <m/>
    <m/>
    <m/>
    <m/>
    <m/>
    <m/>
    <m/>
    <m/>
    <m/>
    <m/>
    <m/>
    <m/>
    <m/>
    <m/>
    <m/>
    <m/>
    <m/>
    <n v="6300000"/>
    <m/>
    <m/>
    <m/>
    <m/>
    <m/>
    <m/>
    <m/>
    <m/>
    <m/>
    <m/>
    <m/>
    <m/>
    <m/>
    <m/>
    <m/>
    <m/>
    <m/>
    <m/>
    <n v="0"/>
    <m/>
    <m/>
    <m/>
    <m/>
    <n v="0.92900000000000005"/>
    <n v="5852700"/>
    <m/>
    <m/>
    <n v="0"/>
    <m/>
    <m/>
    <m/>
    <m/>
    <m/>
    <n v="0"/>
    <m/>
    <m/>
    <m/>
    <m/>
    <m/>
    <n v="0"/>
    <m/>
    <m/>
    <m/>
    <m/>
    <m/>
    <n v="0"/>
    <m/>
    <m/>
    <m/>
    <m/>
    <n v="3.5000000000000003E-2"/>
    <n v="220500.00000000003"/>
    <m/>
    <m/>
    <m/>
    <m/>
    <n v="3.5999999999999997E-2"/>
    <n v="226799.99999999997"/>
    <m/>
    <m/>
    <m/>
    <m/>
    <m/>
    <n v="0"/>
    <m/>
    <m/>
    <m/>
    <m/>
    <m/>
    <n v="0"/>
    <m/>
    <m/>
    <m/>
    <m/>
    <n v="1"/>
    <n v="6300000"/>
  </r>
  <r>
    <m/>
    <n v="1"/>
    <n v="1"/>
    <s v="MN"/>
    <n v="999"/>
    <s v="MN 999"/>
    <m/>
    <x v="7"/>
    <m/>
    <m/>
    <m/>
    <m/>
    <s v="NHS BRIDGE - 2022"/>
    <m/>
    <m/>
    <m/>
    <m/>
    <m/>
    <m/>
    <m/>
    <m/>
    <m/>
    <m/>
    <m/>
    <m/>
    <m/>
    <m/>
    <m/>
    <n v="6300000"/>
    <m/>
    <m/>
    <m/>
    <m/>
    <m/>
    <m/>
    <m/>
    <m/>
    <m/>
    <m/>
    <m/>
    <m/>
    <m/>
    <m/>
    <m/>
    <m/>
    <m/>
    <m/>
    <m/>
    <n v="6300000"/>
    <m/>
    <m/>
    <m/>
    <m/>
    <m/>
    <m/>
    <m/>
    <m/>
    <m/>
    <m/>
    <m/>
    <m/>
    <m/>
    <m/>
    <m/>
    <m/>
    <m/>
    <m/>
    <n v="0"/>
    <m/>
    <m/>
    <m/>
    <m/>
    <n v="0.92900000000000005"/>
    <n v="5852700"/>
    <m/>
    <m/>
    <n v="0"/>
    <m/>
    <m/>
    <m/>
    <m/>
    <m/>
    <n v="0"/>
    <m/>
    <m/>
    <m/>
    <m/>
    <m/>
    <n v="0"/>
    <m/>
    <m/>
    <m/>
    <m/>
    <m/>
    <n v="0"/>
    <m/>
    <m/>
    <m/>
    <m/>
    <n v="3.5000000000000003E-2"/>
    <n v="220500.00000000003"/>
    <m/>
    <m/>
    <m/>
    <m/>
    <n v="3.5999999999999997E-2"/>
    <n v="226799.99999999997"/>
    <m/>
    <m/>
    <m/>
    <m/>
    <m/>
    <n v="0"/>
    <m/>
    <m/>
    <m/>
    <m/>
    <m/>
    <n v="0"/>
    <m/>
    <m/>
    <m/>
    <m/>
    <n v="1"/>
    <n v="6300000"/>
  </r>
  <r>
    <m/>
    <n v="1"/>
    <n v="1"/>
    <s v="MN"/>
    <n v="999"/>
    <s v="MN 999"/>
    <m/>
    <x v="8"/>
    <m/>
    <m/>
    <m/>
    <m/>
    <s v="NHS BRIDGE - 2023"/>
    <m/>
    <m/>
    <m/>
    <m/>
    <m/>
    <m/>
    <m/>
    <m/>
    <m/>
    <m/>
    <m/>
    <m/>
    <m/>
    <m/>
    <m/>
    <n v="6300000"/>
    <m/>
    <m/>
    <m/>
    <m/>
    <m/>
    <m/>
    <m/>
    <m/>
    <m/>
    <m/>
    <m/>
    <m/>
    <m/>
    <m/>
    <m/>
    <m/>
    <m/>
    <m/>
    <m/>
    <n v="6300000"/>
    <m/>
    <m/>
    <m/>
    <m/>
    <m/>
    <m/>
    <m/>
    <m/>
    <m/>
    <m/>
    <m/>
    <m/>
    <m/>
    <m/>
    <m/>
    <m/>
    <m/>
    <m/>
    <n v="0"/>
    <m/>
    <m/>
    <m/>
    <m/>
    <n v="0.92900000000000005"/>
    <n v="5852700"/>
    <m/>
    <m/>
    <n v="0"/>
    <m/>
    <m/>
    <m/>
    <m/>
    <m/>
    <n v="0"/>
    <m/>
    <m/>
    <m/>
    <m/>
    <m/>
    <n v="0"/>
    <m/>
    <m/>
    <m/>
    <m/>
    <m/>
    <n v="0"/>
    <m/>
    <m/>
    <m/>
    <m/>
    <n v="3.5000000000000003E-2"/>
    <n v="220500.00000000003"/>
    <m/>
    <m/>
    <m/>
    <m/>
    <n v="3.5999999999999997E-2"/>
    <n v="226799.99999999997"/>
    <m/>
    <m/>
    <m/>
    <m/>
    <m/>
    <n v="0"/>
    <m/>
    <m/>
    <m/>
    <m/>
    <m/>
    <n v="0"/>
    <m/>
    <m/>
    <m/>
    <m/>
    <n v="1"/>
    <n v="6300000"/>
  </r>
  <r>
    <m/>
    <s v="M"/>
    <s v="M"/>
    <s v="MN"/>
    <n v="25"/>
    <s v="MN 25"/>
    <s v="1006-28"/>
    <x v="0"/>
    <m/>
    <s v="S"/>
    <s v="MNDOT"/>
    <n v="7"/>
    <s v="AT 7TH ST (62ND ST) IN MAYER - ROUNDABOUT"/>
    <m/>
    <m/>
    <m/>
    <m/>
    <m/>
    <m/>
    <m/>
    <m/>
    <m/>
    <m/>
    <m/>
    <m/>
    <m/>
    <m/>
    <m/>
    <n v="391000"/>
    <m/>
    <m/>
    <m/>
    <m/>
    <m/>
    <m/>
    <m/>
    <m/>
    <m/>
    <m/>
    <m/>
    <m/>
    <m/>
    <m/>
    <m/>
    <m/>
    <m/>
    <m/>
    <m/>
    <n v="0"/>
    <m/>
    <m/>
    <m/>
    <m/>
    <m/>
    <m/>
    <m/>
    <m/>
    <m/>
    <m/>
    <m/>
    <m/>
    <m/>
    <m/>
    <m/>
    <m/>
    <m/>
    <m/>
    <n v="0"/>
    <m/>
    <m/>
    <m/>
    <m/>
    <m/>
    <n v="0"/>
    <m/>
    <m/>
    <n v="0"/>
    <m/>
    <m/>
    <m/>
    <m/>
    <m/>
    <n v="0"/>
    <m/>
    <n v="1"/>
    <m/>
    <m/>
    <m/>
    <n v="0"/>
    <m/>
    <m/>
    <m/>
    <m/>
    <m/>
    <n v="0"/>
    <m/>
    <m/>
    <m/>
    <m/>
    <m/>
    <n v="0"/>
    <m/>
    <m/>
    <m/>
    <m/>
    <m/>
    <n v="0"/>
    <m/>
    <m/>
    <m/>
    <m/>
    <n v="1"/>
    <n v="391000"/>
    <m/>
    <m/>
    <m/>
    <m/>
    <m/>
    <n v="0"/>
    <m/>
    <m/>
    <m/>
    <m/>
    <n v="1"/>
    <n v="391000"/>
  </r>
  <r>
    <m/>
    <s v="M"/>
    <s v="M"/>
    <s v="MN"/>
    <n v="25"/>
    <s v="MN 25"/>
    <s v="1007-19"/>
    <x v="0"/>
    <m/>
    <s v="S"/>
    <s v="MNDOT"/>
    <n v="7"/>
    <s v="**FMP**MN25 FLOOD MITIGATION ALONG S FORK OF CROW RIVER-RAISING RDWY GRADE SOUTH OF WATERTOWN"/>
    <m/>
    <m/>
    <m/>
    <m/>
    <m/>
    <m/>
    <m/>
    <m/>
    <m/>
    <m/>
    <m/>
    <m/>
    <m/>
    <m/>
    <m/>
    <n v="350000"/>
    <m/>
    <m/>
    <m/>
    <m/>
    <m/>
    <m/>
    <m/>
    <m/>
    <m/>
    <m/>
    <m/>
    <m/>
    <m/>
    <m/>
    <m/>
    <m/>
    <m/>
    <m/>
    <m/>
    <n v="0"/>
    <m/>
    <m/>
    <m/>
    <m/>
    <m/>
    <m/>
    <m/>
    <m/>
    <m/>
    <m/>
    <m/>
    <m/>
    <m/>
    <m/>
    <m/>
    <m/>
    <m/>
    <n v="0.82099999999999995"/>
    <n v="287350"/>
    <m/>
    <m/>
    <m/>
    <m/>
    <m/>
    <n v="0"/>
    <m/>
    <n v="0.115"/>
    <n v="40250"/>
    <s v="Drainage and culverts"/>
    <m/>
    <m/>
    <m/>
    <n v="3.2000000000000001E-2"/>
    <n v="11200"/>
    <s v="Low cost high benefit"/>
    <n v="1"/>
    <m/>
    <m/>
    <m/>
    <n v="0"/>
    <m/>
    <m/>
    <m/>
    <m/>
    <m/>
    <n v="0"/>
    <m/>
    <m/>
    <m/>
    <m/>
    <n v="2.3E-2"/>
    <n v="8050"/>
    <m/>
    <m/>
    <m/>
    <m/>
    <n v="8.9999999999999993E-3"/>
    <n v="3149.9999999999995"/>
    <m/>
    <m/>
    <m/>
    <m/>
    <m/>
    <n v="0"/>
    <m/>
    <m/>
    <m/>
    <m/>
    <m/>
    <n v="0"/>
    <m/>
    <m/>
    <m/>
    <m/>
    <n v="1"/>
    <n v="350000"/>
  </r>
  <r>
    <m/>
    <s v="M"/>
    <s v="M"/>
    <s v="MN"/>
    <n v="41"/>
    <s v="MN 41"/>
    <s v="1008-81"/>
    <x v="2"/>
    <m/>
    <s v="S"/>
    <s v="MNDOT"/>
    <n v="7"/>
    <s v="HISTORIC CHASKA ATHLETIC PARK IN CHASKA-LANDSCAPING"/>
    <m/>
    <m/>
    <m/>
    <m/>
    <m/>
    <m/>
    <m/>
    <m/>
    <m/>
    <m/>
    <m/>
    <m/>
    <m/>
    <m/>
    <m/>
    <n v="50000"/>
    <m/>
    <m/>
    <m/>
    <m/>
    <m/>
    <m/>
    <m/>
    <m/>
    <m/>
    <m/>
    <m/>
    <m/>
    <m/>
    <m/>
    <m/>
    <m/>
    <m/>
    <m/>
    <m/>
    <n v="0"/>
    <m/>
    <m/>
    <m/>
    <m/>
    <m/>
    <m/>
    <m/>
    <m/>
    <m/>
    <m/>
    <m/>
    <m/>
    <m/>
    <m/>
    <m/>
    <m/>
    <m/>
    <m/>
    <n v="0"/>
    <m/>
    <m/>
    <m/>
    <m/>
    <m/>
    <n v="0"/>
    <m/>
    <m/>
    <n v="0"/>
    <s v="Other structures"/>
    <m/>
    <m/>
    <m/>
    <m/>
    <n v="0"/>
    <m/>
    <n v="1"/>
    <m/>
    <m/>
    <m/>
    <n v="0"/>
    <m/>
    <m/>
    <m/>
    <m/>
    <m/>
    <n v="0"/>
    <m/>
    <m/>
    <m/>
    <m/>
    <m/>
    <n v="0"/>
    <m/>
    <m/>
    <m/>
    <m/>
    <m/>
    <n v="0"/>
    <m/>
    <m/>
    <m/>
    <m/>
    <n v="1"/>
    <n v="50000"/>
    <m/>
    <m/>
    <m/>
    <m/>
    <m/>
    <n v="0"/>
    <m/>
    <m/>
    <m/>
    <m/>
    <n v="1"/>
    <n v="50000"/>
  </r>
  <r>
    <m/>
    <s v="M"/>
    <s v="M"/>
    <s v="MN"/>
    <n v="101"/>
    <s v="MN 101"/>
    <s v="1009-24"/>
    <x v="0"/>
    <m/>
    <s v="S"/>
    <s v="MNDOT"/>
    <n v="7"/>
    <s v="FROM CARVER CSAH 61 IN CHANHASSEN TO MINN RIVER BR APPROACH IN SHAKOPEE- GRADE, SURFACE, NEW FLOODPLAIN BR 10004 (REP BR 10007),PED/BIKE TRAIL, SIGNING, REMOVE BOX CULVERT #4528, DRAINAGE ($5M IN OTHER IS LOCAL FUNDS; $9M IN OTHER IS LRIP-GO BONDS)"/>
    <m/>
    <m/>
    <m/>
    <m/>
    <m/>
    <m/>
    <m/>
    <m/>
    <m/>
    <m/>
    <m/>
    <m/>
    <m/>
    <m/>
    <m/>
    <n v="33835500"/>
    <m/>
    <m/>
    <m/>
    <m/>
    <m/>
    <m/>
    <m/>
    <m/>
    <m/>
    <m/>
    <m/>
    <m/>
    <m/>
    <m/>
    <m/>
    <m/>
    <m/>
    <m/>
    <m/>
    <n v="14000000"/>
    <m/>
    <m/>
    <m/>
    <m/>
    <m/>
    <m/>
    <m/>
    <m/>
    <m/>
    <m/>
    <m/>
    <m/>
    <m/>
    <m/>
    <m/>
    <m/>
    <m/>
    <m/>
    <n v="0"/>
    <m/>
    <m/>
    <m/>
    <m/>
    <n v="0.47900000000000004"/>
    <n v="9501204.5"/>
    <m/>
    <m/>
    <n v="0"/>
    <m/>
    <m/>
    <m/>
    <m/>
    <m/>
    <n v="0"/>
    <m/>
    <n v="1"/>
    <m/>
    <m/>
    <m/>
    <n v="0"/>
    <m/>
    <m/>
    <m/>
    <m/>
    <m/>
    <n v="0"/>
    <m/>
    <m/>
    <m/>
    <m/>
    <n v="3.5000000000000003E-2"/>
    <n v="694242.50000000012"/>
    <m/>
    <m/>
    <m/>
    <m/>
    <n v="3.5999999999999997E-2"/>
    <n v="714078"/>
    <m/>
    <m/>
    <m/>
    <m/>
    <n v="0.45"/>
    <n v="8925975"/>
    <m/>
    <m/>
    <m/>
    <m/>
    <m/>
    <n v="0"/>
    <m/>
    <m/>
    <m/>
    <m/>
    <n v="1"/>
    <n v="19835500"/>
  </r>
  <r>
    <m/>
    <n v="2"/>
    <n v="2"/>
    <s v="US"/>
    <n v="999"/>
    <s v="US999"/>
    <m/>
    <x v="6"/>
    <m/>
    <m/>
    <m/>
    <m/>
    <s v="NHS PAVEMENTS "/>
    <m/>
    <m/>
    <m/>
    <m/>
    <m/>
    <m/>
    <s v=""/>
    <m/>
    <m/>
    <m/>
    <m/>
    <s v=""/>
    <m/>
    <m/>
    <m/>
    <n v="9100000"/>
    <m/>
    <m/>
    <m/>
    <m/>
    <n v="0"/>
    <m/>
    <m/>
    <m/>
    <n v="0"/>
    <m/>
    <m/>
    <m/>
    <n v="0"/>
    <m/>
    <m/>
    <m/>
    <m/>
    <n v="0"/>
    <m/>
    <n v="9100000"/>
    <n v="9100000"/>
    <n v="0"/>
    <n v="0"/>
    <n v="2021"/>
    <m/>
    <m/>
    <m/>
    <m/>
    <m/>
    <m/>
    <m/>
    <m/>
    <m/>
    <m/>
    <m/>
    <m/>
    <m/>
    <n v="0.82099999999999995"/>
    <n v="7471100"/>
    <m/>
    <m/>
    <m/>
    <m/>
    <m/>
    <n v="0"/>
    <m/>
    <n v="0.115"/>
    <n v="1046500"/>
    <m/>
    <m/>
    <m/>
    <m/>
    <n v="3.2000000000000001E-2"/>
    <n v="291200"/>
    <m/>
    <m/>
    <m/>
    <m/>
    <m/>
    <n v="0"/>
    <m/>
    <m/>
    <m/>
    <m/>
    <m/>
    <n v="0"/>
    <m/>
    <m/>
    <m/>
    <m/>
    <n v="2.3E-2"/>
    <n v="209300"/>
    <m/>
    <m/>
    <m/>
    <m/>
    <n v="8.9999999999999993E-3"/>
    <n v="81900"/>
    <m/>
    <m/>
    <m/>
    <m/>
    <m/>
    <n v="0"/>
    <m/>
    <m/>
    <m/>
    <m/>
    <m/>
    <n v="0"/>
    <m/>
    <m/>
    <m/>
    <m/>
    <n v="1"/>
    <n v="9100000"/>
  </r>
  <r>
    <m/>
    <s v="M"/>
    <s v="M"/>
    <s v="MN"/>
    <n v="101"/>
    <s v="MN 101"/>
    <s v="1009-29"/>
    <x v="0"/>
    <m/>
    <s v="S"/>
    <s v="MNDOT"/>
    <n v="7"/>
    <s v="NORTH OF SCOTT-CARVER COUNTY LINE TO SOUTH END OF OLD US212-PILE LOAD TEST"/>
    <m/>
    <m/>
    <m/>
    <m/>
    <m/>
    <m/>
    <m/>
    <m/>
    <m/>
    <m/>
    <m/>
    <m/>
    <m/>
    <m/>
    <m/>
    <n v="200000"/>
    <m/>
    <m/>
    <m/>
    <m/>
    <m/>
    <m/>
    <m/>
    <m/>
    <m/>
    <m/>
    <m/>
    <m/>
    <m/>
    <m/>
    <m/>
    <m/>
    <m/>
    <m/>
    <m/>
    <n v="0"/>
    <m/>
    <m/>
    <m/>
    <m/>
    <m/>
    <m/>
    <m/>
    <m/>
    <m/>
    <m/>
    <m/>
    <m/>
    <m/>
    <m/>
    <m/>
    <m/>
    <m/>
    <m/>
    <n v="0"/>
    <m/>
    <m/>
    <m/>
    <m/>
    <n v="0.92900000000000005"/>
    <n v="185800"/>
    <m/>
    <m/>
    <n v="0"/>
    <m/>
    <m/>
    <m/>
    <m/>
    <m/>
    <n v="0"/>
    <m/>
    <n v="1"/>
    <m/>
    <m/>
    <m/>
    <n v="0"/>
    <m/>
    <m/>
    <m/>
    <m/>
    <m/>
    <n v="0"/>
    <m/>
    <m/>
    <m/>
    <m/>
    <n v="3.5000000000000003E-2"/>
    <n v="7000.0000000000009"/>
    <m/>
    <m/>
    <m/>
    <m/>
    <n v="3.5999999999999997E-2"/>
    <n v="7199.9999999999991"/>
    <m/>
    <m/>
    <m/>
    <m/>
    <m/>
    <n v="0"/>
    <m/>
    <m/>
    <m/>
    <m/>
    <m/>
    <n v="0"/>
    <m/>
    <m/>
    <m/>
    <m/>
    <n v="1"/>
    <n v="200000"/>
  </r>
  <r>
    <m/>
    <s v="M"/>
    <s v="M"/>
    <s v="MN"/>
    <s v="284"/>
    <s v="MN 284"/>
    <s v="1014-15"/>
    <x v="0"/>
    <m/>
    <s v="S"/>
    <s v="MNDOT"/>
    <n v="7"/>
    <s v="E 10TH ST IN WACONIA-ROUNDABOUT ($702K IS CO-OP AGMT FUNDS)"/>
    <m/>
    <m/>
    <m/>
    <m/>
    <m/>
    <m/>
    <m/>
    <m/>
    <m/>
    <m/>
    <m/>
    <m/>
    <m/>
    <m/>
    <m/>
    <n v="1102000"/>
    <m/>
    <m/>
    <m/>
    <m/>
    <m/>
    <m/>
    <m/>
    <m/>
    <m/>
    <m/>
    <m/>
    <m/>
    <m/>
    <m/>
    <m/>
    <m/>
    <m/>
    <m/>
    <m/>
    <n v="0"/>
    <m/>
    <m/>
    <m/>
    <m/>
    <m/>
    <m/>
    <m/>
    <m/>
    <m/>
    <m/>
    <m/>
    <m/>
    <m/>
    <m/>
    <m/>
    <m/>
    <m/>
    <m/>
    <n v="0"/>
    <m/>
    <m/>
    <m/>
    <m/>
    <m/>
    <n v="0"/>
    <m/>
    <m/>
    <n v="0"/>
    <m/>
    <m/>
    <m/>
    <m/>
    <m/>
    <n v="0"/>
    <m/>
    <n v="1"/>
    <m/>
    <m/>
    <m/>
    <n v="0"/>
    <m/>
    <m/>
    <m/>
    <m/>
    <n v="1"/>
    <n v="1102000"/>
    <m/>
    <m/>
    <m/>
    <m/>
    <m/>
    <n v="0"/>
    <m/>
    <m/>
    <m/>
    <m/>
    <m/>
    <n v="0"/>
    <m/>
    <m/>
    <m/>
    <m/>
    <m/>
    <n v="0"/>
    <m/>
    <m/>
    <m/>
    <m/>
    <m/>
    <n v="0"/>
    <m/>
    <m/>
    <m/>
    <m/>
    <n v="1"/>
    <n v="1102000"/>
  </r>
  <r>
    <m/>
    <s v="M"/>
    <s v="M"/>
    <s v="US"/>
    <n v="212"/>
    <s v="US 212"/>
    <s v="1017-101"/>
    <x v="0"/>
    <m/>
    <s v="S"/>
    <s v="MNDOT"/>
    <n v="7"/>
    <s v="AT DELL RD IN EDEN PRAIRIE AND AT MN101 &amp; POWERS BLVD (CARVER CSAH17) IN CHANHASSEN - ATMS INSTALLATION (FEDERAL AMOUNT IS DISTRICT C ITS FUNDS)"/>
    <m/>
    <m/>
    <m/>
    <m/>
    <m/>
    <m/>
    <m/>
    <m/>
    <m/>
    <m/>
    <m/>
    <m/>
    <m/>
    <m/>
    <m/>
    <n v="150000"/>
    <m/>
    <m/>
    <m/>
    <m/>
    <m/>
    <m/>
    <m/>
    <m/>
    <m/>
    <m/>
    <m/>
    <m/>
    <m/>
    <m/>
    <m/>
    <m/>
    <m/>
    <m/>
    <m/>
    <n v="0"/>
    <m/>
    <m/>
    <m/>
    <m/>
    <m/>
    <m/>
    <m/>
    <m/>
    <m/>
    <m/>
    <m/>
    <m/>
    <m/>
    <m/>
    <m/>
    <m/>
    <m/>
    <m/>
    <n v="0"/>
    <m/>
    <m/>
    <m/>
    <m/>
    <m/>
    <n v="0"/>
    <m/>
    <m/>
    <n v="0"/>
    <m/>
    <m/>
    <m/>
    <m/>
    <m/>
    <n v="0"/>
    <m/>
    <n v="1"/>
    <m/>
    <m/>
    <m/>
    <n v="0"/>
    <m/>
    <m/>
    <m/>
    <m/>
    <n v="1"/>
    <n v="150000"/>
    <m/>
    <m/>
    <m/>
    <m/>
    <m/>
    <n v="0"/>
    <m/>
    <m/>
    <m/>
    <m/>
    <m/>
    <n v="0"/>
    <m/>
    <m/>
    <m/>
    <m/>
    <m/>
    <n v="0"/>
    <m/>
    <m/>
    <m/>
    <m/>
    <m/>
    <n v="0"/>
    <m/>
    <m/>
    <m/>
    <m/>
    <n v="1"/>
    <n v="150000"/>
  </r>
  <r>
    <m/>
    <n v="3"/>
    <n v="3"/>
    <s v="MN"/>
    <n v="84"/>
    <s v="MN 84"/>
    <s v="1110-11"/>
    <x v="1"/>
    <s v="2014-12"/>
    <s v="S"/>
    <s v="MNDOT"/>
    <m/>
    <s v="REPLACE BRIDGE #6499 OVER NORWAY BROOK DAM IN PINE RIVER"/>
    <s v="00+00.273"/>
    <s v="00+00.273"/>
    <n v="0"/>
    <s v="PINE RIVER"/>
    <s v="CASS"/>
    <s v="BR"/>
    <s v="1-B "/>
    <s v="1-B"/>
    <m/>
    <s v="BRPC - BRIDGE REPLACEMENT OR CONSTRUCTION"/>
    <s v="BRIDGE REPLACEMENT"/>
    <s v="STP5K SF "/>
    <s v="STP5K"/>
    <s v="SF"/>
    <m/>
    <n v="3043334"/>
    <n v="0"/>
    <n v="0"/>
    <n v="0"/>
    <n v="0"/>
    <n v="0"/>
    <n v="0"/>
    <n v="0"/>
    <n v="2434667"/>
    <n v="0"/>
    <n v="0"/>
    <n v="0"/>
    <n v="2434667"/>
    <n v="2434667"/>
    <n v="0"/>
    <n v="2434667"/>
    <n v="0"/>
    <n v="0"/>
    <n v="0"/>
    <n v="0"/>
    <n v="0"/>
    <n v="0"/>
    <n v="0"/>
    <n v="0"/>
    <n v="0"/>
    <n v="0"/>
    <n v="608667"/>
    <n v="0"/>
    <n v="608667"/>
    <n v="0"/>
    <n v="0"/>
    <n v="3043334"/>
    <n v="32849695"/>
    <n v="7006246"/>
    <n v="2015"/>
    <m/>
    <m/>
    <m/>
    <m/>
    <n v="0"/>
    <m/>
    <m/>
    <m/>
    <m/>
    <n v="0.92900000000000005"/>
    <n v="2827257.2860000003"/>
    <m/>
    <m/>
    <n v="0"/>
    <m/>
    <m/>
    <m/>
    <m/>
    <m/>
    <n v="0"/>
    <m/>
    <m/>
    <m/>
    <m/>
    <m/>
    <n v="0"/>
    <m/>
    <m/>
    <m/>
    <m/>
    <m/>
    <n v="0"/>
    <m/>
    <m/>
    <m/>
    <m/>
    <n v="3.5000000000000003E-2"/>
    <n v="106516.69000000002"/>
    <m/>
    <m/>
    <m/>
    <m/>
    <n v="3.5999999999999997E-2"/>
    <n v="109560.02399999999"/>
    <m/>
    <m/>
    <m/>
    <m/>
    <m/>
    <n v="0"/>
    <m/>
    <m/>
    <m/>
    <m/>
    <m/>
    <n v="0"/>
    <m/>
    <m/>
    <m/>
    <m/>
    <n v="1"/>
    <n v="3043334.0000000005"/>
  </r>
  <r>
    <m/>
    <n v="3"/>
    <n v="3"/>
    <s v="MN"/>
    <n v="84"/>
    <s v="MN 84"/>
    <s v="1110-12"/>
    <x v="1"/>
    <s v="2015-21"/>
    <s v="S"/>
    <s v="MNDOT"/>
    <m/>
    <s v="REPLACE BRIDGE #6974 OVER ADA BROOK, 7.3 MI N OF PINE RIVER, NEW BR. NO. 11002"/>
    <s v="7+00.269"/>
    <s v="7+00.269"/>
    <n v="0"/>
    <m/>
    <s v="CASS"/>
    <s v="BR"/>
    <s v="1-B "/>
    <s v="1-B"/>
    <m/>
    <s v="BRPC - BRIDGE REPLACEMENT OR CONSTRUCTION"/>
    <s v="BRIDGE REPLACEMENT"/>
    <s v="SF  "/>
    <s v="SF"/>
    <m/>
    <m/>
    <n v="575933"/>
    <n v="0"/>
    <n v="0"/>
    <n v="0"/>
    <n v="0"/>
    <n v="0"/>
    <n v="0"/>
    <n v="0"/>
    <n v="0"/>
    <n v="0"/>
    <n v="0"/>
    <n v="0"/>
    <n v="0"/>
    <n v="0"/>
    <n v="0"/>
    <n v="0"/>
    <n v="0"/>
    <n v="0"/>
    <n v="0"/>
    <n v="0"/>
    <n v="0"/>
    <n v="0"/>
    <n v="0"/>
    <n v="0"/>
    <n v="0"/>
    <n v="0"/>
    <n v="575933"/>
    <n v="0"/>
    <n v="575933"/>
    <n v="0"/>
    <n v="0"/>
    <n v="575933"/>
    <n v="32849695"/>
    <n v="7582179"/>
    <n v="2015"/>
    <m/>
    <m/>
    <m/>
    <m/>
    <n v="0"/>
    <m/>
    <m/>
    <m/>
    <m/>
    <n v="1"/>
    <n v="575933"/>
    <m/>
    <m/>
    <n v="0"/>
    <m/>
    <m/>
    <m/>
    <m/>
    <m/>
    <n v="0"/>
    <m/>
    <m/>
    <m/>
    <m/>
    <m/>
    <n v="0"/>
    <m/>
    <m/>
    <m/>
    <m/>
    <m/>
    <n v="0"/>
    <m/>
    <m/>
    <m/>
    <m/>
    <m/>
    <n v="0"/>
    <m/>
    <m/>
    <m/>
    <m/>
    <m/>
    <n v="0"/>
    <m/>
    <m/>
    <m/>
    <m/>
    <m/>
    <n v="0"/>
    <m/>
    <m/>
    <m/>
    <m/>
    <m/>
    <n v="0"/>
    <m/>
    <m/>
    <m/>
    <m/>
    <n v="1"/>
    <n v="575933"/>
  </r>
  <r>
    <m/>
    <n v="3"/>
    <n v="3"/>
    <s v="MN"/>
    <n v="84"/>
    <s v="MN 84"/>
    <s v="1111-13"/>
    <x v="0"/>
    <s v="2014-21"/>
    <s v="S"/>
    <s v="MNDOT"/>
    <m/>
    <s v="**ELLA** REPLACE BRIDGE (OLD BR#984 WITH NEW BR 11X03 OVER BOY RIVER 0.2 MI S OF LONGVILLE"/>
    <s v="25+00.156"/>
    <s v="25+00.156"/>
    <n v="0"/>
    <m/>
    <s v="CASS"/>
    <s v="BR"/>
    <s v="1-B "/>
    <s v="1-B"/>
    <m/>
    <s v="BRPC - BRIDGE REPLACEMENT OR CONSTRUCTION"/>
    <s v="BRIDGE REPLACEMENT"/>
    <s v="SF  "/>
    <s v="SF"/>
    <m/>
    <m/>
    <n v="1402958"/>
    <n v="0"/>
    <n v="0"/>
    <n v="0"/>
    <n v="0"/>
    <n v="0"/>
    <n v="0"/>
    <n v="0"/>
    <n v="0"/>
    <n v="0"/>
    <n v="0"/>
    <n v="0"/>
    <n v="0"/>
    <n v="0"/>
    <n v="0"/>
    <n v="0"/>
    <n v="0"/>
    <n v="0"/>
    <n v="0"/>
    <n v="0"/>
    <n v="0"/>
    <n v="0"/>
    <n v="0"/>
    <n v="0"/>
    <n v="0"/>
    <n v="0"/>
    <n v="1402958"/>
    <n v="0"/>
    <n v="1402958"/>
    <n v="0"/>
    <n v="0"/>
    <n v="1402958"/>
    <n v="26223626"/>
    <n v="15105095"/>
    <n v="2014"/>
    <m/>
    <m/>
    <m/>
    <m/>
    <n v="0"/>
    <m/>
    <m/>
    <m/>
    <m/>
    <n v="0.92900000000000005"/>
    <n v="1303347.9820000001"/>
    <m/>
    <m/>
    <n v="0"/>
    <m/>
    <m/>
    <m/>
    <m/>
    <m/>
    <n v="0"/>
    <m/>
    <m/>
    <m/>
    <m/>
    <m/>
    <n v="0"/>
    <m/>
    <m/>
    <m/>
    <m/>
    <m/>
    <n v="0"/>
    <m/>
    <m/>
    <m/>
    <m/>
    <n v="3.5000000000000003E-2"/>
    <n v="49103.530000000006"/>
    <m/>
    <m/>
    <m/>
    <m/>
    <n v="3.5999999999999997E-2"/>
    <n v="50506.487999999998"/>
    <m/>
    <m/>
    <m/>
    <m/>
    <m/>
    <n v="0"/>
    <m/>
    <m/>
    <m/>
    <m/>
    <m/>
    <n v="0"/>
    <m/>
    <m/>
    <m/>
    <m/>
    <n v="1"/>
    <n v="1402958"/>
  </r>
  <r>
    <m/>
    <n v="3"/>
    <n v="3"/>
    <s v="MN"/>
    <n v="371"/>
    <s v="MN 371"/>
    <s v="1117-23"/>
    <x v="0"/>
    <s v="2014-00"/>
    <s v="S"/>
    <s v="MNDOT"/>
    <m/>
    <s v="N END OF PINE RIVER TO BACKUS, MILL AND OVERLAY, PAVE SHOULDERS"/>
    <m/>
    <m/>
    <m/>
    <m/>
    <s v="CASS"/>
    <s v="RS"/>
    <s v=" "/>
    <m/>
    <m/>
    <s v="PVTR - PAVEMENT RESURFACE AND REHABILITATION"/>
    <s v="MILL AND OVERLAY"/>
    <s v="NHPP SF "/>
    <s v="NHPP"/>
    <s v="SF"/>
    <m/>
    <n v="2138486"/>
    <n v="0"/>
    <n v="0"/>
    <n v="0"/>
    <n v="1710789"/>
    <n v="0"/>
    <n v="0"/>
    <n v="0"/>
    <n v="0"/>
    <n v="0"/>
    <n v="0"/>
    <n v="0"/>
    <n v="1710789"/>
    <n v="1710789"/>
    <n v="0"/>
    <n v="1710789"/>
    <n v="0"/>
    <n v="0"/>
    <n v="0"/>
    <n v="0"/>
    <n v="0"/>
    <n v="0"/>
    <n v="0"/>
    <n v="0"/>
    <n v="0"/>
    <n v="0"/>
    <n v="427697"/>
    <n v="0"/>
    <n v="427697"/>
    <n v="0"/>
    <n v="0"/>
    <n v="2138486"/>
    <n v="39531415"/>
    <n v="18347492"/>
    <n v="2014"/>
    <m/>
    <m/>
    <s v="Do Not Know"/>
    <n v="0.82099999999999995"/>
    <n v="1755697.0059999998"/>
    <m/>
    <m/>
    <m/>
    <m/>
    <m/>
    <n v="0"/>
    <m/>
    <n v="0.115"/>
    <n v="245925.89"/>
    <s v="Other structures"/>
    <m/>
    <m/>
    <m/>
    <n v="3.2000000000000001E-2"/>
    <n v="68431.551999999996"/>
    <s v="Low cost high benefit"/>
    <m/>
    <m/>
    <m/>
    <m/>
    <n v="0"/>
    <m/>
    <m/>
    <m/>
    <m/>
    <m/>
    <n v="0"/>
    <m/>
    <m/>
    <m/>
    <m/>
    <n v="3.2000000000000001E-2"/>
    <n v="68431.551999999996"/>
    <m/>
    <m/>
    <m/>
    <m/>
    <m/>
    <n v="0"/>
    <m/>
    <m/>
    <m/>
    <m/>
    <m/>
    <n v="0"/>
    <m/>
    <m/>
    <m/>
    <m/>
    <m/>
    <n v="0"/>
    <m/>
    <m/>
    <m/>
    <m/>
    <n v="1"/>
    <n v="2138485.9999999995"/>
  </r>
  <r>
    <m/>
    <n v="3"/>
    <n v="2"/>
    <s v="MN"/>
    <n v="371"/>
    <s v="MN 371"/>
    <s v="1120-55"/>
    <x v="1"/>
    <s v="2015-33"/>
    <s v="S"/>
    <s v="MNDOT"/>
    <m/>
    <s v="FROM WALKER TO CASS LAKE, MILL &amp; OVERLAY, (DESIGNED BY DIST 2, FUNDED BY ATP 3 UNDER SP 1120-55M, $3,588,935)"/>
    <s v="091+00.870"/>
    <s v="112+00.394"/>
    <n v="20.5"/>
    <m/>
    <s v="CASS"/>
    <s v="RS"/>
    <s v="1-P "/>
    <s v="1-P"/>
    <m/>
    <s v="PVTR - PAVEMENT RESURFACE AND REHABILITATION"/>
    <s v="MILL AND OVERLAY"/>
    <s v="  "/>
    <m/>
    <m/>
    <m/>
    <n v="4588935"/>
    <n v="0"/>
    <n v="0"/>
    <n v="0"/>
    <n v="0"/>
    <n v="0"/>
    <n v="0"/>
    <n v="0"/>
    <n v="0"/>
    <n v="0"/>
    <n v="0"/>
    <n v="0"/>
    <n v="0"/>
    <n v="0"/>
    <n v="0"/>
    <n v="0"/>
    <n v="0"/>
    <n v="0"/>
    <n v="0"/>
    <n v="0"/>
    <n v="0"/>
    <n v="0"/>
    <n v="24233835"/>
    <n v="4672600"/>
    <n v="2015"/>
    <m/>
    <s v="Added on 7/9/12. Funding from ATP 3, SP 1120-55M"/>
    <m/>
    <m/>
    <m/>
    <m/>
    <s v="NO"/>
    <s v="NO"/>
    <s v="8th District"/>
    <s v="NO"/>
    <s v="NO"/>
    <s v="NO"/>
    <s v="NO"/>
    <n v="0.82099999999999995"/>
    <n v="3767515.6349999998"/>
    <m/>
    <n v="0"/>
    <n v="0.115"/>
    <e v="#VALUE!"/>
    <n v="0"/>
    <n v="0"/>
    <m/>
    <n v="0.115"/>
    <n v="527727.52500000002"/>
    <n v="0"/>
    <n v="2.3E-2"/>
    <n v="14490"/>
    <n v="8.9999999999999993E-3"/>
    <n v="3.2000000000000001E-2"/>
    <n v="146845.92000000001"/>
    <n v="0"/>
    <m/>
    <n v="0"/>
    <n v="1"/>
    <n v="0"/>
    <n v="0"/>
    <m/>
    <m/>
    <m/>
    <m/>
    <n v="0"/>
    <n v="0"/>
    <m/>
    <m/>
    <m/>
    <m/>
    <n v="2.3E-2"/>
    <n v="13110"/>
    <m/>
    <m/>
    <m/>
    <m/>
    <n v="9.0000000000000011E-3"/>
    <n v="5130.0000000000009"/>
    <m/>
    <m/>
    <m/>
    <m/>
    <n v="0"/>
    <n v="0"/>
    <m/>
    <m/>
    <m/>
    <m/>
    <n v="0"/>
    <n v="0"/>
    <m/>
    <m/>
    <m/>
    <m/>
    <n v="1"/>
    <n v="4460329.08"/>
  </r>
  <r>
    <m/>
    <n v="3"/>
    <n v="2"/>
    <s v="MN"/>
    <n v="371"/>
    <s v="MN 371"/>
    <s v="1120-55M"/>
    <x v="1"/>
    <s v="2015-23"/>
    <s v="S"/>
    <s v="MNDOT"/>
    <m/>
    <s v="WALKER TO CASS LAKE, MILL AND OVERLAY (ATP-3 PORTION)"/>
    <s v="91+00.870"/>
    <s v="112+00.394"/>
    <n v="20.5"/>
    <m/>
    <s v="CASS"/>
    <s v="RS"/>
    <s v="1-P "/>
    <s v="1-P"/>
    <m/>
    <s v="PVTR - PAVEMENT RESURFACE AND REHABILITATION"/>
    <s v="MILL AND OVERLAY"/>
    <s v="NHPP SF "/>
    <s v="NHPP"/>
    <s v="SF"/>
    <m/>
    <n v="4588935"/>
    <n v="0"/>
    <n v="0"/>
    <n v="0"/>
    <n v="3671148"/>
    <n v="0"/>
    <n v="0"/>
    <n v="0"/>
    <n v="0"/>
    <n v="0"/>
    <n v="0"/>
    <n v="0"/>
    <n v="3671148"/>
    <n v="3671148"/>
    <n v="0"/>
    <n v="3671148"/>
    <n v="0"/>
    <n v="0"/>
    <n v="0"/>
    <n v="0"/>
    <n v="0"/>
    <n v="0"/>
    <n v="0"/>
    <n v="0"/>
    <n v="0"/>
    <n v="0"/>
    <n v="917787"/>
    <n v="0"/>
    <n v="917787"/>
    <n v="0"/>
    <n v="0"/>
    <n v="4588935"/>
    <n v="42288403"/>
    <n v="9512668"/>
    <n v="2015"/>
    <m/>
    <m/>
    <m/>
    <n v="0.88500000000000001"/>
    <n v="4061207.4750000001"/>
    <m/>
    <m/>
    <m/>
    <m/>
    <m/>
    <n v="0"/>
    <m/>
    <n v="0.115"/>
    <n v="527727.52500000002"/>
    <s v="Pavement markings"/>
    <m/>
    <m/>
    <m/>
    <m/>
    <n v="0"/>
    <m/>
    <m/>
    <m/>
    <m/>
    <m/>
    <n v="0"/>
    <m/>
    <m/>
    <m/>
    <m/>
    <m/>
    <n v="0"/>
    <m/>
    <m/>
    <m/>
    <m/>
    <m/>
    <n v="0"/>
    <m/>
    <m/>
    <m/>
    <m/>
    <m/>
    <n v="0"/>
    <m/>
    <m/>
    <m/>
    <m/>
    <m/>
    <n v="0"/>
    <m/>
    <m/>
    <m/>
    <m/>
    <m/>
    <n v="0"/>
    <m/>
    <m/>
    <m/>
    <m/>
    <n v="1"/>
    <n v="4588935"/>
  </r>
  <r>
    <m/>
    <n v="1"/>
    <n v="1"/>
    <s v="MN"/>
    <n v="23"/>
    <s v="MN 23"/>
    <s v="118-010-026"/>
    <x v="1"/>
    <m/>
    <s v="S"/>
    <s v="DULUTH"/>
    <m/>
    <s v="**CIMS**FROM I-35 TO BECKS ROAD"/>
    <m/>
    <m/>
    <m/>
    <s v="DULUTH"/>
    <s v="ST. LOUIS"/>
    <m/>
    <m/>
    <m/>
    <m/>
    <s v="SETA - SET ASIDE"/>
    <m/>
    <s v="SF  "/>
    <s v="SF"/>
    <m/>
    <m/>
    <n v="3035000"/>
    <n v="0"/>
    <n v="0"/>
    <m/>
    <n v="0"/>
    <n v="0"/>
    <n v="0"/>
    <n v="0"/>
    <n v="0"/>
    <n v="0"/>
    <n v="0"/>
    <n v="0"/>
    <n v="0"/>
    <n v="0"/>
    <n v="0"/>
    <n v="0"/>
    <n v="3035000"/>
    <n v="0"/>
    <n v="3035000"/>
    <n v="0"/>
    <n v="0"/>
    <n v="3035000"/>
    <m/>
    <m/>
    <m/>
    <m/>
    <m/>
    <m/>
    <m/>
    <m/>
    <m/>
    <m/>
    <m/>
    <m/>
    <m/>
    <m/>
    <m/>
    <m/>
    <m/>
    <m/>
    <m/>
    <m/>
    <m/>
    <m/>
    <m/>
    <m/>
    <m/>
    <m/>
    <m/>
    <m/>
    <m/>
    <m/>
    <m/>
    <m/>
    <m/>
    <m/>
    <m/>
    <m/>
    <m/>
    <m/>
    <m/>
    <m/>
    <m/>
    <m/>
    <m/>
    <m/>
    <m/>
    <m/>
    <m/>
    <m/>
    <m/>
    <m/>
    <m/>
    <m/>
    <m/>
    <m/>
    <m/>
    <m/>
    <m/>
    <m/>
    <m/>
    <m/>
    <m/>
    <n v="1"/>
    <n v="3035000"/>
    <m/>
    <m/>
    <m/>
    <m/>
    <m/>
    <m/>
    <m/>
    <m/>
    <m/>
    <m/>
    <n v="1"/>
    <n v="3035000"/>
  </r>
  <r>
    <m/>
    <n v="8"/>
    <n v="8"/>
    <s v="MN"/>
    <n v="7"/>
    <s v="MN 7"/>
    <s v="1201-32"/>
    <x v="0"/>
    <m/>
    <s v="S"/>
    <s v="MNDOT"/>
    <m/>
    <s v="**BP08** NW OF JCT. MN 29 (MONTEVIDEO), REPLACE BRIDGE 9114 (NEW BRIDGE #12015) (BOND FUNDS)"/>
    <n v="72"/>
    <n v="72.614999999999995"/>
    <n v="0.6"/>
    <m/>
    <s v="CHIPPEWA"/>
    <s v="BR"/>
    <s v=" "/>
    <m/>
    <m/>
    <s v="BRPC - BRIDGE REPLACEMENT OR CONSTRUCTION"/>
    <s v="BRIDGE REPLACEMENT"/>
    <s v="BF  "/>
    <s v="BF"/>
    <m/>
    <m/>
    <n v="3900000"/>
    <n v="0"/>
    <n v="0"/>
    <n v="0"/>
    <n v="0"/>
    <n v="0"/>
    <n v="0"/>
    <n v="0"/>
    <n v="0"/>
    <n v="0"/>
    <n v="0"/>
    <n v="0"/>
    <n v="0"/>
    <n v="0"/>
    <n v="0"/>
    <n v="0"/>
    <n v="0"/>
    <n v="0"/>
    <n v="0"/>
    <n v="3800000"/>
    <n v="0"/>
    <n v="3800000"/>
    <n v="6704908"/>
    <n v="0"/>
    <n v="2014"/>
    <m/>
    <m/>
    <s v="BP08"/>
    <m/>
    <m/>
    <s v="YES"/>
    <s v="NO"/>
    <s v="NO"/>
    <s v="7th District"/>
    <s v="NO"/>
    <s v="NO"/>
    <s v="NO"/>
    <s v="NO"/>
    <n v="0.13"/>
    <n v="507000"/>
    <s v="Reconstruction"/>
    <n v="1"/>
    <m/>
    <m/>
    <n v="0.79"/>
    <n v="3081000"/>
    <s v="Improvement - Major rehabilitation or replacement"/>
    <n v="0.08"/>
    <n v="312000"/>
    <s v="Guardrails and fencing"/>
    <n v="0.5"/>
    <s v="Pavement markings"/>
    <n v="0.5"/>
    <m/>
    <n v="0"/>
    <m/>
    <m/>
    <m/>
    <m/>
    <m/>
    <n v="0"/>
    <m/>
    <m/>
    <m/>
    <m/>
    <m/>
    <n v="0"/>
    <m/>
    <m/>
    <m/>
    <m/>
    <m/>
    <n v="0"/>
    <m/>
    <m/>
    <m/>
    <m/>
    <m/>
    <n v="0"/>
    <m/>
    <m/>
    <m/>
    <m/>
    <m/>
    <n v="0"/>
    <m/>
    <m/>
    <m/>
    <m/>
    <m/>
    <n v="0"/>
    <m/>
    <m/>
    <m/>
    <m/>
    <n v="1"/>
    <n v="3900000"/>
  </r>
  <r>
    <m/>
    <n v="8"/>
    <n v="8"/>
    <s v="MN"/>
    <n v="29"/>
    <s v="MN 29"/>
    <s v="1206-54"/>
    <x v="1"/>
    <m/>
    <s v="S"/>
    <s v="MNDOT"/>
    <m/>
    <s v="N. JCT MN 7 TO W. JCT MN 40 (MONTEVIDEO), OVERLAY (AC PROJECT, PAYBACK IN 2016)"/>
    <n v="1.456"/>
    <n v="12.298999999999999"/>
    <n v="10.8"/>
    <m/>
    <s v="CHIPPEWA"/>
    <s v="RS"/>
    <s v=" "/>
    <m/>
    <m/>
    <s v="PVTR - PAVEMENT RESURFACE AND REHABILITATION"/>
    <s v="BITUMINOUS OVERLAY"/>
    <s v="STP 5K - 200K  "/>
    <s v="STP 5K - 200K"/>
    <m/>
    <m/>
    <n v="884400"/>
    <n v="0"/>
    <n v="0"/>
    <n v="584400"/>
    <n v="0"/>
    <n v="584400"/>
    <n v="0"/>
    <n v="615600"/>
    <n v="0"/>
    <n v="615600"/>
    <n v="0"/>
    <n v="0"/>
    <n v="0"/>
    <n v="0"/>
    <n v="0"/>
    <n v="0"/>
    <n v="300000"/>
    <n v="0"/>
    <n v="300000"/>
    <n v="0"/>
    <n v="0"/>
    <n v="1500000"/>
    <n v="12584563"/>
    <n v="3920000"/>
    <n v="2015"/>
    <m/>
    <m/>
    <m/>
    <m/>
    <m/>
    <s v="NO"/>
    <s v="YES"/>
    <s v="NO"/>
    <s v="7th District"/>
    <s v="NO"/>
    <s v="NO"/>
    <s v="Yes"/>
    <s v="NO"/>
    <n v="0.92"/>
    <n v="813648"/>
    <s v="Mill and/or overlay"/>
    <n v="1"/>
    <m/>
    <m/>
    <m/>
    <n v="0"/>
    <m/>
    <n v="7.0000000000000007E-2"/>
    <n v="61908.000000000007"/>
    <s v="Pavement markings"/>
    <n v="0.95"/>
    <s v="Drainage and culverts"/>
    <n v="0.05"/>
    <m/>
    <n v="0"/>
    <m/>
    <m/>
    <m/>
    <m/>
    <m/>
    <n v="0"/>
    <m/>
    <m/>
    <m/>
    <m/>
    <m/>
    <n v="0"/>
    <m/>
    <m/>
    <m/>
    <m/>
    <m/>
    <n v="0"/>
    <m/>
    <m/>
    <m/>
    <m/>
    <n v="0.01"/>
    <n v="8844"/>
    <s v="ADA improvements - curb"/>
    <n v="1"/>
    <m/>
    <m/>
    <m/>
    <n v="0"/>
    <m/>
    <m/>
    <m/>
    <m/>
    <m/>
    <n v="0"/>
    <m/>
    <m/>
    <m/>
    <m/>
    <n v="1"/>
    <n v="884400"/>
  </r>
  <r>
    <m/>
    <n v="8"/>
    <n v="8"/>
    <s v="MN"/>
    <n v="29"/>
    <s v="MN 29"/>
    <s v="1206-54AC"/>
    <x v="2"/>
    <m/>
    <s v="S"/>
    <s v="MNDOT"/>
    <m/>
    <s v="N. JCT MN 7 TO W. JCT MN 40 (MONTEVIDEO), OVERLAY (AC PAYBACK, 1 OF 1)"/>
    <n v="1.456"/>
    <n v="12.298999999999999"/>
    <n v="10.8"/>
    <m/>
    <s v="CHIPPEWA"/>
    <s v="RS"/>
    <s v=" "/>
    <m/>
    <m/>
    <s v="PVTR - PAVEMENT RESURFACE AND REHABILITATION"/>
    <s v="BITUMINOUS OVERLAY"/>
    <s v="STP 5K - 200K  "/>
    <s v="STP 5K - 200K"/>
    <m/>
    <m/>
    <n v="615600"/>
    <n v="0"/>
    <n v="0"/>
    <n v="0"/>
    <n v="0"/>
    <n v="0"/>
    <n v="0"/>
    <n v="0"/>
    <n v="0"/>
    <n v="0"/>
    <n v="0"/>
    <n v="615600"/>
    <n v="0"/>
    <n v="615600"/>
    <n v="0"/>
    <n v="0"/>
    <n v="0"/>
    <n v="0"/>
    <n v="0"/>
    <n v="0"/>
    <n v="0"/>
    <n v="0"/>
    <n v="15266734"/>
    <n v="2260000"/>
    <n v="2016"/>
    <m/>
    <m/>
    <m/>
    <m/>
    <m/>
    <s v="NA"/>
    <s v="NO"/>
    <s v="NO"/>
    <s v="7th District"/>
    <s v="NO"/>
    <s v="NO"/>
    <s v="Yes"/>
    <s v="NO"/>
    <n v="0.92"/>
    <n v="566352"/>
    <s v="Mill and/or overlay"/>
    <n v="1"/>
    <n v="0"/>
    <n v="0"/>
    <n v="0"/>
    <n v="0"/>
    <n v="0"/>
    <n v="7.0000000000000007E-2"/>
    <n v="43092.000000000007"/>
    <s v="Pavement markings"/>
    <n v="0.95"/>
    <s v="Drainage and culverts"/>
    <n v="0.05"/>
    <n v="0"/>
    <n v="0"/>
    <n v="0"/>
    <n v="0"/>
    <n v="0"/>
    <n v="0"/>
    <n v="0"/>
    <n v="0"/>
    <n v="0"/>
    <n v="0"/>
    <n v="0"/>
    <n v="0"/>
    <n v="0"/>
    <n v="0"/>
    <n v="0"/>
    <n v="0"/>
    <n v="0"/>
    <n v="0"/>
    <n v="0"/>
    <n v="0"/>
    <n v="0"/>
    <n v="0"/>
    <n v="0"/>
    <n v="0"/>
    <n v="0.01"/>
    <n v="6156"/>
    <s v="ADA improvements - curb"/>
    <n v="1"/>
    <n v="0"/>
    <n v="0"/>
    <n v="0"/>
    <n v="0"/>
    <n v="0"/>
    <n v="0"/>
    <n v="0"/>
    <n v="0"/>
    <n v="0"/>
    <n v="0"/>
    <m/>
    <m/>
    <m/>
    <m/>
    <n v="1"/>
    <n v="615600"/>
  </r>
  <r>
    <m/>
    <n v="8"/>
    <n v="8"/>
    <s v="MN"/>
    <n v="29"/>
    <s v="MN 29"/>
    <s v="1206-90"/>
    <x v="9"/>
    <m/>
    <s v="S"/>
    <s v="MNDOT"/>
    <m/>
    <s v="N. OF US 212, REPLACE BRIDGE 9111 OVER TC&amp;W RAILROAD"/>
    <n v="0.20799999999999999"/>
    <n v="0.73799999999999999"/>
    <n v="0.5"/>
    <m/>
    <s v="CHIPPEWA"/>
    <s v="BR"/>
    <m/>
    <m/>
    <m/>
    <s v="BRPC - BRIDGE REPLACEMENT OR CONSTRUCTION"/>
    <s v="NEW BRIDGE"/>
    <s v="NHPP  "/>
    <s v="NHPP"/>
    <m/>
    <m/>
    <n v="1700000"/>
    <n v="0"/>
    <n v="0"/>
    <n v="1360000"/>
    <n v="0"/>
    <n v="1360000"/>
    <n v="0"/>
    <n v="0"/>
    <n v="0"/>
    <n v="0"/>
    <n v="0"/>
    <n v="0"/>
    <n v="0"/>
    <n v="0"/>
    <n v="0"/>
    <n v="0"/>
    <n v="340000"/>
    <n v="0"/>
    <n v="340000"/>
    <n v="0"/>
    <n v="0"/>
    <n v="1700000"/>
    <n v="14596000"/>
    <n v="4252000"/>
    <n v="2017"/>
    <m/>
    <m/>
    <m/>
    <m/>
    <m/>
    <s v="YES"/>
    <s v="NO"/>
    <s v="NO"/>
    <s v="7th District"/>
    <s v="NO"/>
    <s v="NO"/>
    <s v="Yes"/>
    <s v="NO"/>
    <n v="0.2"/>
    <n v="340000"/>
    <s v="Mill and/or overlay"/>
    <n v="1"/>
    <m/>
    <m/>
    <n v="0.8"/>
    <n v="1360000"/>
    <s v="Improvement - Major rehabilitation or replacement"/>
    <m/>
    <n v="0"/>
    <m/>
    <m/>
    <m/>
    <m/>
    <m/>
    <n v="0"/>
    <m/>
    <m/>
    <m/>
    <m/>
    <m/>
    <n v="0"/>
    <m/>
    <m/>
    <m/>
    <m/>
    <m/>
    <n v="0"/>
    <m/>
    <m/>
    <m/>
    <m/>
    <m/>
    <n v="0"/>
    <m/>
    <m/>
    <m/>
    <m/>
    <m/>
    <n v="0"/>
    <m/>
    <m/>
    <m/>
    <m/>
    <m/>
    <n v="0"/>
    <m/>
    <m/>
    <m/>
    <m/>
    <m/>
    <n v="0"/>
    <m/>
    <m/>
    <m/>
    <m/>
    <n v="1"/>
    <n v="1700000"/>
  </r>
  <r>
    <m/>
    <n v="8"/>
    <n v="8"/>
    <s v="MN"/>
    <n v="29"/>
    <s v="MN 29"/>
    <s v="1208-09M"/>
    <x v="1"/>
    <m/>
    <s v="S"/>
    <s v="MNDOT"/>
    <m/>
    <s v="MN 40 TO CHIPPEWA/SWIFT COUNTY LINE, MILL &amp; OVERLAY (DISTRICT 4 IS THE LEAD AND THIS IS DISTRICT 8'S SHARE)"/>
    <n v="18.288"/>
    <n v="21.248999999999999"/>
    <n v="3"/>
    <m/>
    <s v="CHIPPEWA"/>
    <s v="RS"/>
    <s v=" "/>
    <m/>
    <m/>
    <s v="PVTR - PAVEMENT RESURFACE AND REHABILITATION"/>
    <s v="MILL AND OVERLAY"/>
    <s v="STP 5K &gt;  "/>
    <s v="STP 5K &gt;"/>
    <m/>
    <m/>
    <n v="760000"/>
    <n v="0"/>
    <n v="0"/>
    <n v="608000"/>
    <n v="0"/>
    <n v="608000"/>
    <n v="0"/>
    <n v="0"/>
    <n v="0"/>
    <n v="0"/>
    <n v="0"/>
    <n v="0"/>
    <n v="0"/>
    <n v="0"/>
    <n v="0"/>
    <n v="0"/>
    <n v="152000"/>
    <n v="0"/>
    <n v="152000"/>
    <n v="0"/>
    <n v="0"/>
    <n v="760000"/>
    <n v="13192563"/>
    <n v="4072000"/>
    <n v="2015"/>
    <m/>
    <m/>
    <m/>
    <m/>
    <m/>
    <s v="NO"/>
    <s v="NO"/>
    <s v="NO"/>
    <s v="7th District"/>
    <s v="NO"/>
    <s v="NO"/>
    <s v="Yes"/>
    <s v="NO"/>
    <n v="0.37936603000000002"/>
    <n v="288318.18280000001"/>
    <n v="0"/>
    <n v="0"/>
    <n v="0"/>
    <n v="0"/>
    <n v="0.41152396699999999"/>
    <n v="312758.21492"/>
    <n v="0"/>
    <n v="0.16511226800000001"/>
    <n v="125485.32368"/>
    <n v="0"/>
    <n v="0"/>
    <n v="0"/>
    <n v="0"/>
    <n v="3.5698756999999998E-2"/>
    <n v="27131.055319999999"/>
    <n v="0"/>
    <n v="0"/>
    <n v="0"/>
    <n v="0"/>
    <n v="0"/>
    <n v="0"/>
    <n v="0"/>
    <n v="0"/>
    <n v="0"/>
    <n v="0"/>
    <n v="0"/>
    <n v="0"/>
    <n v="0"/>
    <n v="0"/>
    <n v="0"/>
    <n v="0"/>
    <n v="0"/>
    <n v="0"/>
    <n v="0"/>
    <n v="0"/>
    <n v="0"/>
    <n v="0"/>
    <n v="0"/>
    <n v="0"/>
    <n v="0"/>
    <n v="0"/>
    <n v="0"/>
    <n v="0"/>
    <n v="8.2989789999999997E-3"/>
    <n v="6307.2240400000001"/>
    <n v="0"/>
    <n v="0"/>
    <n v="0"/>
    <n v="0"/>
    <n v="0"/>
    <n v="0"/>
    <m/>
    <m/>
    <m/>
    <m/>
    <n v="1.0000000010000001"/>
    <n v="760000.00076000008"/>
  </r>
  <r>
    <m/>
    <n v="8"/>
    <n v="8"/>
    <s v="MN"/>
    <n v="40"/>
    <s v="MN 40"/>
    <s v="1209-22"/>
    <x v="0"/>
    <m/>
    <s v="S"/>
    <s v="MNDOT"/>
    <m/>
    <s v="**BP08** W. OF MILAN, REHAB BRIDGE 5380 (BOND FUNDS)"/>
    <n v="28.382999999999999"/>
    <n v="28.812999999999999"/>
    <n v="0.4"/>
    <m/>
    <s v="CHIPPEWA"/>
    <s v="BR"/>
    <s v=" "/>
    <m/>
    <m/>
    <s v="BRPC - BRIDGE REPLACEMENT OR CONSTRUCTION"/>
    <s v="BRIDGE REPLACEMENT"/>
    <s v="BF  "/>
    <s v="BF"/>
    <m/>
    <m/>
    <n v="2600000"/>
    <n v="0"/>
    <n v="0"/>
    <n v="0"/>
    <n v="0"/>
    <n v="0"/>
    <n v="0"/>
    <n v="0"/>
    <n v="0"/>
    <n v="0"/>
    <n v="0"/>
    <n v="0"/>
    <n v="0"/>
    <n v="0"/>
    <n v="0"/>
    <n v="0"/>
    <n v="0"/>
    <n v="0"/>
    <n v="0"/>
    <n v="2600000"/>
    <n v="0"/>
    <n v="2600000"/>
    <n v="19832908"/>
    <n v="5982000"/>
    <n v="2014"/>
    <m/>
    <m/>
    <s v="BP08"/>
    <m/>
    <m/>
    <s v="YES"/>
    <s v="NO"/>
    <s v="NO"/>
    <s v="7th District"/>
    <s v="NO"/>
    <s v="NO"/>
    <s v="NO"/>
    <s v="NO"/>
    <m/>
    <n v="0"/>
    <m/>
    <m/>
    <m/>
    <m/>
    <n v="1"/>
    <n v="2600000"/>
    <s v="Improvement - Major rehabilitation or replacement"/>
    <m/>
    <n v="0"/>
    <m/>
    <m/>
    <m/>
    <m/>
    <m/>
    <n v="0"/>
    <m/>
    <m/>
    <m/>
    <m/>
    <m/>
    <n v="0"/>
    <m/>
    <m/>
    <m/>
    <m/>
    <m/>
    <n v="0"/>
    <m/>
    <m/>
    <m/>
    <m/>
    <m/>
    <n v="0"/>
    <m/>
    <m/>
    <m/>
    <m/>
    <m/>
    <n v="0"/>
    <m/>
    <m/>
    <m/>
    <m/>
    <m/>
    <n v="0"/>
    <m/>
    <m/>
    <m/>
    <m/>
    <m/>
    <n v="0"/>
    <m/>
    <m/>
    <m/>
    <m/>
    <n v="1"/>
    <n v="2600000"/>
  </r>
  <r>
    <m/>
    <n v="8"/>
    <n v="8"/>
    <s v="MN"/>
    <n v="40"/>
    <s v="MN 40"/>
    <s v="1210-10"/>
    <x v="2"/>
    <m/>
    <s v="S"/>
    <s v="MNDOT"/>
    <m/>
    <s v="US 59 TO KANDIYOHI CSAH 5, OVERLAY (AC PROJECT, PAYBACK IN 2017)"/>
    <n v="32.393999999999998"/>
    <n v="72.704999999999998"/>
    <n v="40.299999999999997"/>
    <m/>
    <s v="CHIPPEWA"/>
    <s v="RS"/>
    <s v=" "/>
    <m/>
    <m/>
    <s v="PVTR - PAVEMENT RESURFACE AND REHABILITATION"/>
    <s v="BITUMINOUS OVERLAY"/>
    <s v="STP 5K &gt;  "/>
    <s v="STP 5K &gt;"/>
    <m/>
    <m/>
    <n v="3812000"/>
    <n v="0"/>
    <n v="0"/>
    <n v="2812000"/>
    <n v="0"/>
    <n v="2812000"/>
    <n v="0"/>
    <n v="1188000"/>
    <n v="0"/>
    <n v="1188000"/>
    <n v="0"/>
    <n v="0"/>
    <n v="0"/>
    <n v="0"/>
    <n v="0"/>
    <n v="0"/>
    <n v="1000000"/>
    <n v="0"/>
    <n v="1000000"/>
    <n v="0"/>
    <n v="0"/>
    <n v="5000000"/>
    <n v="18078734"/>
    <n v="3260000"/>
    <n v="2016"/>
    <m/>
    <m/>
    <m/>
    <m/>
    <m/>
    <s v="NO"/>
    <s v="NO"/>
    <s v="NO"/>
    <s v="7th District"/>
    <s v="NO"/>
    <s v="NO"/>
    <s v="Yes"/>
    <s v="NO"/>
    <n v="0.84"/>
    <n v="3202080"/>
    <s v="Mill and/or overlay"/>
    <n v="1"/>
    <m/>
    <m/>
    <m/>
    <n v="0"/>
    <m/>
    <n v="7.0000000000000007E-2"/>
    <n v="266840"/>
    <s v="Pavement markings"/>
    <n v="1"/>
    <m/>
    <m/>
    <n v="0.09"/>
    <n v="343080"/>
    <s v="Low cost high benefit"/>
    <n v="1"/>
    <m/>
    <m/>
    <m/>
    <n v="0"/>
    <m/>
    <m/>
    <m/>
    <m/>
    <m/>
    <n v="0"/>
    <m/>
    <m/>
    <m/>
    <m/>
    <m/>
    <n v="0"/>
    <m/>
    <m/>
    <m/>
    <m/>
    <m/>
    <n v="0"/>
    <m/>
    <m/>
    <m/>
    <m/>
    <m/>
    <n v="0"/>
    <m/>
    <m/>
    <m/>
    <m/>
    <m/>
    <n v="0"/>
    <m/>
    <m/>
    <m/>
    <m/>
    <n v="0.99999999999999989"/>
    <n v="3812000"/>
  </r>
  <r>
    <m/>
    <n v="8"/>
    <n v="8"/>
    <s v="MN"/>
    <n v="40"/>
    <s v="MN 40"/>
    <s v="1210-10AC"/>
    <x v="9"/>
    <m/>
    <s v="S"/>
    <s v="MNDOT"/>
    <m/>
    <s v="US 59 TO KANDIYOHI CSAH 5, OVERLAY (AC PAYBACK, 1 OF 1)"/>
    <n v="32.393999999999998"/>
    <n v="72.704999999999998"/>
    <n v="40.299999999999997"/>
    <m/>
    <s v="CHIPPEWA"/>
    <s v="RS"/>
    <s v=" "/>
    <m/>
    <m/>
    <s v="PVTR - PAVEMENT RESURFACE AND REHABILITATION"/>
    <s v="BITUMINOUS OVERLAY"/>
    <s v="STP 5K &gt;  "/>
    <s v="STP 5K &gt;"/>
    <m/>
    <m/>
    <n v="1188000"/>
    <n v="0"/>
    <n v="0"/>
    <n v="0"/>
    <n v="0"/>
    <n v="0"/>
    <n v="0"/>
    <n v="0"/>
    <n v="0"/>
    <n v="0"/>
    <n v="0"/>
    <n v="1188000"/>
    <n v="0"/>
    <n v="1188000"/>
    <n v="0"/>
    <n v="0"/>
    <n v="0"/>
    <n v="0"/>
    <n v="0"/>
    <n v="0"/>
    <n v="0"/>
    <n v="0"/>
    <n v="15784000"/>
    <n v="6452000"/>
    <n v="2017"/>
    <m/>
    <m/>
    <m/>
    <m/>
    <m/>
    <s v="NA"/>
    <s v="NO"/>
    <s v="NO"/>
    <s v="7th District"/>
    <s v="NO"/>
    <s v="NO"/>
    <s v="Yes"/>
    <s v="NO"/>
    <n v="0.84"/>
    <n v="997920"/>
    <s v="Mill and/or overlay"/>
    <n v="1"/>
    <n v="0"/>
    <n v="0"/>
    <n v="0"/>
    <n v="0"/>
    <n v="0"/>
    <n v="7.0000000000000007E-2"/>
    <n v="83160.000000000015"/>
    <s v="Pavement markings"/>
    <n v="1"/>
    <n v="0"/>
    <n v="0"/>
    <n v="0.09"/>
    <n v="106920"/>
    <s v="Low cost high benefit"/>
    <n v="1"/>
    <n v="0"/>
    <n v="0"/>
    <n v="0"/>
    <n v="0"/>
    <n v="0"/>
    <n v="0"/>
    <n v="0"/>
    <n v="0"/>
    <n v="0"/>
    <n v="0"/>
    <n v="0"/>
    <n v="0"/>
    <n v="0"/>
    <n v="0"/>
    <n v="0"/>
    <n v="0"/>
    <n v="0"/>
    <n v="0"/>
    <n v="0"/>
    <n v="0"/>
    <n v="0"/>
    <n v="0"/>
    <n v="0"/>
    <n v="0"/>
    <n v="0"/>
    <n v="0"/>
    <n v="0"/>
    <n v="0"/>
    <n v="0"/>
    <n v="0"/>
    <n v="0"/>
    <n v="0"/>
    <n v="0"/>
    <n v="0"/>
    <m/>
    <m/>
    <m/>
    <m/>
    <n v="0.99999999999999989"/>
    <n v="1188000"/>
  </r>
  <r>
    <m/>
    <n v="8"/>
    <n v="8"/>
    <s v="MN"/>
    <n v="277"/>
    <s v="MN 277"/>
    <s v="1213-12"/>
    <x v="9"/>
    <m/>
    <s v="S"/>
    <s v="MNDOT"/>
    <m/>
    <s v="S. OF MN 40, REPLACE BRIDGE #6816 (CHPT. 152 BOND FUNDS)"/>
    <n v="7.04"/>
    <n v="7.54"/>
    <n v="0.5"/>
    <m/>
    <s v="CHIPPEWA"/>
    <s v="BR"/>
    <m/>
    <m/>
    <m/>
    <s v="BRPC - BRIDGE REPLACEMENT OR CONSTRUCTION"/>
    <s v="NEW BRIDGE"/>
    <s v="BF  "/>
    <s v="BF"/>
    <m/>
    <m/>
    <n v="1100000"/>
    <n v="0"/>
    <n v="0"/>
    <n v="0"/>
    <n v="0"/>
    <n v="0"/>
    <n v="0"/>
    <n v="0"/>
    <n v="0"/>
    <n v="0"/>
    <n v="0"/>
    <n v="0"/>
    <n v="0"/>
    <n v="0"/>
    <n v="0"/>
    <n v="0"/>
    <n v="0"/>
    <n v="0"/>
    <n v="0"/>
    <n v="1100000"/>
    <n v="0"/>
    <n v="1100000"/>
    <n v="18264000"/>
    <n v="7072000"/>
    <n v="2017"/>
    <m/>
    <m/>
    <m/>
    <m/>
    <m/>
    <s v="YES"/>
    <s v="NO"/>
    <s v="NO"/>
    <s v="7th District"/>
    <s v="NO"/>
    <s v="NO"/>
    <s v="NO"/>
    <s v="NO"/>
    <n v="0.31"/>
    <n v="341000"/>
    <m/>
    <m/>
    <m/>
    <m/>
    <n v="0.64"/>
    <n v="704000"/>
    <s v="Improvement - Major rehabilitation or replacement"/>
    <n v="0.05"/>
    <n v="55000"/>
    <s v="Guardrails and fencing"/>
    <n v="1"/>
    <m/>
    <m/>
    <m/>
    <n v="0"/>
    <m/>
    <m/>
    <m/>
    <m/>
    <m/>
    <n v="0"/>
    <m/>
    <m/>
    <m/>
    <m/>
    <m/>
    <n v="0"/>
    <m/>
    <m/>
    <m/>
    <m/>
    <m/>
    <n v="0"/>
    <m/>
    <m/>
    <m/>
    <m/>
    <m/>
    <n v="0"/>
    <m/>
    <m/>
    <m/>
    <m/>
    <m/>
    <n v="0"/>
    <m/>
    <m/>
    <m/>
    <m/>
    <m/>
    <n v="0"/>
    <m/>
    <m/>
    <m/>
    <m/>
    <n v="1"/>
    <n v="1100000"/>
  </r>
  <r>
    <m/>
    <s v="M"/>
    <s v="M"/>
    <s v="US"/>
    <n v="8"/>
    <s v="US 8"/>
    <s v="1301-110"/>
    <x v="2"/>
    <s v="S"/>
    <s v="MNDOT"/>
    <m/>
    <s v="**AB** FROM JCT MN95 (TERN AVE) IN FRANCONIA/SHAFER TO MIDDLE OF BRIDGE 6566 IN TAYLORS FALLS-RECONSTRUCT ROADWAY AND CORRECT SUBGRADE AND SLOPE FAILURE, TURN LANES, SIGNAL"/>
    <s v="**AB** FROM JCT MN95 (TERN AVE) IN FRANCONIA/SHAFER TO MIDDLE OF BRIDGE 6566 IN TAYLORS FALLS-RECONSTRUCT ROADWAY AND CORRECT SUBGRADE AND SLOPE FAILURE, TURN LANES, SIGNAL"/>
    <m/>
    <m/>
    <m/>
    <m/>
    <m/>
    <m/>
    <m/>
    <m/>
    <m/>
    <m/>
    <m/>
    <m/>
    <m/>
    <m/>
    <m/>
    <m/>
    <m/>
    <m/>
    <m/>
    <m/>
    <m/>
    <m/>
    <m/>
    <m/>
    <m/>
    <m/>
    <m/>
    <m/>
    <m/>
    <m/>
    <m/>
    <m/>
    <m/>
    <m/>
    <m/>
    <n v="8200000"/>
    <m/>
    <m/>
    <m/>
    <m/>
    <m/>
    <m/>
    <m/>
    <m/>
    <m/>
    <m/>
    <m/>
    <m/>
    <m/>
    <m/>
    <m/>
    <m/>
    <m/>
    <n v="0.86025365754467642"/>
    <n v="0"/>
    <m/>
    <m/>
    <m/>
    <m/>
    <m/>
    <n v="0"/>
    <m/>
    <n v="4.6272821820443163E-2"/>
    <n v="0"/>
    <s v="Drainage and culverts"/>
    <m/>
    <m/>
    <m/>
    <n v="1.200750469043152E-2"/>
    <n v="0"/>
    <s v="Sustained crash locations"/>
    <n v="0.99999999999999989"/>
    <n v="8199999.9999999991"/>
    <m/>
    <m/>
    <n v="0"/>
    <m/>
    <m/>
    <m/>
    <m/>
    <n v="8.1466015944448827E-2"/>
    <n v="0"/>
    <m/>
    <m/>
    <m/>
    <m/>
    <m/>
    <n v="0"/>
    <m/>
    <m/>
    <m/>
    <m/>
    <m/>
    <n v="0"/>
    <m/>
    <m/>
    <m/>
    <m/>
    <m/>
    <n v="0"/>
    <m/>
    <m/>
    <m/>
    <m/>
    <m/>
    <n v="0"/>
    <m/>
    <m/>
    <m/>
    <m/>
    <n v="0.99999999999999989"/>
    <n v="0"/>
  </r>
  <r>
    <m/>
    <s v="M"/>
    <s v="M"/>
    <s v="MN"/>
    <n v="95"/>
    <s v="MN 95"/>
    <s v="1306-46"/>
    <x v="2"/>
    <m/>
    <s v="S"/>
    <s v="MNDOT"/>
    <m/>
    <s v="AT GRAND AVE(CHISAGO CSAH 14) IN NORTH BRANCH-CONSTRUCT ROUNDABOUT"/>
    <m/>
    <m/>
    <m/>
    <m/>
    <m/>
    <m/>
    <m/>
    <m/>
    <m/>
    <m/>
    <m/>
    <m/>
    <m/>
    <m/>
    <m/>
    <n v="1380000"/>
    <m/>
    <m/>
    <m/>
    <m/>
    <m/>
    <m/>
    <m/>
    <m/>
    <m/>
    <m/>
    <m/>
    <m/>
    <m/>
    <m/>
    <m/>
    <m/>
    <m/>
    <m/>
    <m/>
    <n v="0"/>
    <m/>
    <m/>
    <m/>
    <m/>
    <m/>
    <m/>
    <m/>
    <m/>
    <m/>
    <m/>
    <m/>
    <m/>
    <m/>
    <m/>
    <m/>
    <m/>
    <m/>
    <m/>
    <n v="0"/>
    <m/>
    <m/>
    <m/>
    <m/>
    <m/>
    <n v="0"/>
    <m/>
    <n v="0.23010391023175741"/>
    <n v="317543.39611982525"/>
    <s v="Drainage and culverts"/>
    <m/>
    <m/>
    <m/>
    <m/>
    <n v="0"/>
    <m/>
    <n v="1"/>
    <n v="1380000.0000000002"/>
    <m/>
    <m/>
    <n v="0"/>
    <m/>
    <m/>
    <m/>
    <m/>
    <n v="0.76989608976824264"/>
    <n v="1062456.6038801749"/>
    <m/>
    <m/>
    <m/>
    <m/>
    <m/>
    <n v="0"/>
    <m/>
    <m/>
    <m/>
    <m/>
    <m/>
    <n v="0"/>
    <m/>
    <m/>
    <m/>
    <m/>
    <m/>
    <n v="0"/>
    <m/>
    <m/>
    <m/>
    <m/>
    <m/>
    <n v="0"/>
    <m/>
    <m/>
    <m/>
    <m/>
    <n v="1"/>
    <n v="1380000.0000000002"/>
  </r>
  <r>
    <m/>
    <n v="4"/>
    <n v="4"/>
    <s v="US"/>
    <n v="10"/>
    <s v="US 10"/>
    <s v="1401-152"/>
    <x v="0"/>
    <s v="2014-32"/>
    <s v="S"/>
    <s v="MNDOT"/>
    <n v="4"/>
    <s v="REPLACE OLD BR 14003 WITH NEW BR 14800 OVER THE BUFFALO RIVER (EB)"/>
    <n v="993188.00000000012"/>
    <n v="0"/>
    <n v="0"/>
    <n v="893869.20000000007"/>
    <n v="0"/>
    <n v="893869.20000000007"/>
    <n v="0"/>
    <n v="0"/>
    <n v="0"/>
    <n v="0"/>
    <n v="0"/>
    <n v="0"/>
    <n v="0"/>
    <n v="0"/>
    <n v="0"/>
    <n v="99318.8"/>
    <n v="99318.8"/>
    <n v="0"/>
    <n v="99318.8"/>
    <n v="0"/>
    <n v="0"/>
    <n v="993188.00000000012"/>
    <n v="4848069.2"/>
    <n v="1637918.8"/>
    <n v="2014"/>
    <m/>
    <s v="used to be nhpp, still could be if we let design know."/>
    <m/>
    <m/>
    <m/>
    <m/>
    <s v="NO"/>
    <s v="NO"/>
    <s v="7th District"/>
    <s v="NO"/>
    <n v="0"/>
    <s v="YES"/>
    <s v="NO"/>
    <n v="0.12239999999999999"/>
    <n v="121566.21120000001"/>
    <m/>
    <m/>
    <m/>
    <m/>
    <n v="0.83320000000000005"/>
    <n v="827524.24160000018"/>
    <m/>
    <m/>
    <m/>
    <m/>
    <n v="4.4400000000000002E-2"/>
    <n v="44097.547200000008"/>
    <m/>
    <n v="0.12239999999999999"/>
    <n v="12156.62112"/>
    <m/>
    <m/>
    <m/>
    <m/>
    <n v="0.83320000000000005"/>
    <n v="82752.42416000001"/>
    <m/>
    <n v="4.4400000000000002E-2"/>
    <n v="4409.7547199999999"/>
    <m/>
    <m/>
    <m/>
    <m/>
    <m/>
    <n v="0"/>
    <m/>
    <m/>
    <m/>
    <m/>
    <m/>
    <n v="0"/>
    <m/>
    <m/>
    <m/>
    <m/>
    <m/>
    <n v="0"/>
    <m/>
    <m/>
    <m/>
    <m/>
    <m/>
    <n v="0"/>
    <m/>
    <m/>
    <m/>
    <m/>
    <m/>
    <n v="0"/>
    <m/>
    <m/>
    <m/>
    <m/>
    <m/>
    <n v="0"/>
    <m/>
    <m/>
    <m/>
    <m/>
    <m/>
    <n v="0"/>
    <m/>
    <m/>
    <m/>
    <m/>
    <n v="1"/>
    <n v="99318.8"/>
  </r>
  <r>
    <m/>
    <n v="4"/>
    <n v="4"/>
    <s v="MN"/>
    <n v="75"/>
    <s v="MN 75"/>
    <s v="1401-173"/>
    <x v="1"/>
    <s v="2015-36"/>
    <s v="S"/>
    <s v="MOORHEAD"/>
    <n v="4"/>
    <s v="**CIMS** GEOMETRIC IMPROVEMENTS AT JCT. OF 11th ST. AND MAIN AVE./TH75 AND 11TH ST. FROM CENTER AVE. TO MAIN AVE., M/O, RECONSTRUCT, AND SIGNAL WORK, ASSOCIATED S.A.P. 144-121-006 AND S.A.P. 144-136-014(CIMS GRANT=$3,404,000)"/>
    <s v="249+00.451"/>
    <s v="250+00.186"/>
    <n v="0.73499999999999999"/>
    <s v="MOORHEAD"/>
    <s v="CLAY"/>
    <s v="RC"/>
    <s v="1-P "/>
    <s v="1-P"/>
    <m/>
    <s v="GRSU - GRADE AND SURFACE"/>
    <s v="MILL AND OVERLAY"/>
    <s v="SF  "/>
    <s v="SF"/>
    <m/>
    <m/>
    <n v="3404000"/>
    <n v="0"/>
    <n v="0"/>
    <n v="0"/>
    <n v="0"/>
    <n v="0"/>
    <n v="0"/>
    <n v="0"/>
    <n v="0"/>
    <n v="0"/>
    <n v="0"/>
    <n v="0"/>
    <n v="0"/>
    <n v="0"/>
    <n v="0"/>
    <n v="0"/>
    <n v="3404000"/>
    <n v="0"/>
    <n v="3404000"/>
    <s v=" "/>
    <n v="0"/>
    <n v="3404000"/>
    <m/>
    <m/>
    <m/>
    <m/>
    <m/>
    <m/>
    <m/>
    <m/>
    <m/>
    <m/>
    <m/>
    <m/>
    <m/>
    <m/>
    <m/>
    <m/>
    <m/>
    <m/>
    <m/>
    <m/>
    <m/>
    <m/>
    <m/>
    <m/>
    <m/>
    <m/>
    <m/>
    <m/>
    <m/>
    <m/>
    <m/>
    <m/>
    <m/>
    <m/>
    <m/>
    <m/>
    <m/>
    <m/>
    <m/>
    <m/>
    <m/>
    <m/>
    <m/>
    <m/>
    <m/>
    <m/>
    <m/>
    <m/>
    <m/>
    <m/>
    <m/>
    <m/>
    <m/>
    <m/>
    <m/>
    <m/>
    <m/>
    <m/>
    <m/>
    <m/>
    <m/>
    <n v="1"/>
    <n v="3404000"/>
    <m/>
    <m/>
    <m/>
    <m/>
    <m/>
    <m/>
    <m/>
    <m/>
    <m/>
    <m/>
    <n v="1"/>
    <n v="3404000"/>
  </r>
  <r>
    <m/>
    <n v="7"/>
    <n v="7"/>
    <s v="US"/>
    <n v="999"/>
    <s v="US999"/>
    <m/>
    <x v="6"/>
    <m/>
    <m/>
    <m/>
    <m/>
    <s v="INTERSTATE PAVEMENTS SETASIDE"/>
    <m/>
    <m/>
    <m/>
    <m/>
    <m/>
    <m/>
    <s v=""/>
    <m/>
    <m/>
    <m/>
    <m/>
    <s v=""/>
    <m/>
    <m/>
    <m/>
    <n v="7500000"/>
    <m/>
    <m/>
    <m/>
    <m/>
    <n v="0"/>
    <m/>
    <m/>
    <m/>
    <n v="0"/>
    <m/>
    <m/>
    <m/>
    <n v="0"/>
    <m/>
    <m/>
    <m/>
    <m/>
    <n v="0"/>
    <m/>
    <n v="7500000"/>
    <n v="7500000"/>
    <n v="77431678.799999997"/>
    <n v="40954096"/>
    <n v="2021"/>
    <m/>
    <m/>
    <m/>
    <m/>
    <m/>
    <m/>
    <m/>
    <m/>
    <m/>
    <m/>
    <m/>
    <m/>
    <m/>
    <n v="0.82099999999999995"/>
    <n v="6157500"/>
    <m/>
    <m/>
    <m/>
    <m/>
    <m/>
    <n v="0"/>
    <m/>
    <n v="0.115"/>
    <n v="862500"/>
    <m/>
    <m/>
    <m/>
    <m/>
    <n v="3.2000000000000001E-2"/>
    <n v="240000"/>
    <m/>
    <m/>
    <m/>
    <m/>
    <m/>
    <n v="0"/>
    <m/>
    <m/>
    <m/>
    <m/>
    <m/>
    <n v="0"/>
    <m/>
    <m/>
    <m/>
    <m/>
    <n v="2.3E-2"/>
    <n v="172500"/>
    <m/>
    <m/>
    <m/>
    <m/>
    <n v="8.9999999999999993E-3"/>
    <n v="67500"/>
    <m/>
    <m/>
    <m/>
    <m/>
    <m/>
    <n v="0"/>
    <m/>
    <m/>
    <m/>
    <m/>
    <m/>
    <n v="0"/>
    <m/>
    <m/>
    <m/>
    <m/>
    <n v="1"/>
    <n v="7500000"/>
  </r>
  <r>
    <m/>
    <n v="7"/>
    <n v="7"/>
    <s v="US"/>
    <n v="999"/>
    <s v="US999"/>
    <m/>
    <x v="7"/>
    <m/>
    <m/>
    <m/>
    <m/>
    <s v="INTERSTATE PAVEMENTS SETASIDE"/>
    <m/>
    <m/>
    <m/>
    <m/>
    <m/>
    <m/>
    <s v=""/>
    <m/>
    <m/>
    <m/>
    <m/>
    <s v=""/>
    <m/>
    <m/>
    <m/>
    <n v="7500000"/>
    <m/>
    <m/>
    <m/>
    <m/>
    <n v="0"/>
    <m/>
    <m/>
    <m/>
    <n v="0"/>
    <m/>
    <m/>
    <m/>
    <n v="0"/>
    <m/>
    <m/>
    <m/>
    <m/>
    <n v="0"/>
    <m/>
    <n v="7500000"/>
    <n v="7500000"/>
    <n v="78852678.799999997"/>
    <n v="40954096"/>
    <n v="2022"/>
    <m/>
    <m/>
    <m/>
    <m/>
    <m/>
    <m/>
    <m/>
    <m/>
    <m/>
    <m/>
    <m/>
    <m/>
    <m/>
    <n v="0.82099999999999995"/>
    <n v="6157500"/>
    <m/>
    <m/>
    <m/>
    <m/>
    <m/>
    <n v="0"/>
    <m/>
    <n v="0.115"/>
    <n v="862500"/>
    <m/>
    <m/>
    <m/>
    <m/>
    <n v="3.2000000000000001E-2"/>
    <n v="240000"/>
    <m/>
    <m/>
    <m/>
    <m/>
    <m/>
    <n v="0"/>
    <m/>
    <m/>
    <m/>
    <m/>
    <m/>
    <n v="0"/>
    <m/>
    <m/>
    <m/>
    <m/>
    <n v="2.3E-2"/>
    <n v="172500"/>
    <m/>
    <m/>
    <m/>
    <m/>
    <n v="8.9999999999999993E-3"/>
    <n v="67500"/>
    <m/>
    <m/>
    <m/>
    <m/>
    <m/>
    <n v="0"/>
    <m/>
    <m/>
    <m/>
    <m/>
    <m/>
    <n v="0"/>
    <m/>
    <m/>
    <m/>
    <m/>
    <n v="1"/>
    <n v="7500000"/>
  </r>
  <r>
    <m/>
    <n v="7"/>
    <n v="7"/>
    <s v="US"/>
    <n v="999"/>
    <s v="US999"/>
    <m/>
    <x v="8"/>
    <m/>
    <m/>
    <m/>
    <m/>
    <s v="INTERSTATE PAVEMENTS SETASIDE"/>
    <m/>
    <m/>
    <m/>
    <m/>
    <m/>
    <m/>
    <s v=""/>
    <m/>
    <m/>
    <m/>
    <m/>
    <s v=""/>
    <m/>
    <m/>
    <m/>
    <n v="7500000"/>
    <m/>
    <m/>
    <m/>
    <m/>
    <n v="0"/>
    <m/>
    <m/>
    <m/>
    <n v="0"/>
    <m/>
    <m/>
    <m/>
    <n v="0"/>
    <m/>
    <m/>
    <m/>
    <m/>
    <n v="0"/>
    <m/>
    <n v="7500000"/>
    <n v="7500000"/>
    <n v="80011078.799999997"/>
    <n v="40954096"/>
    <n v="2023"/>
    <m/>
    <m/>
    <m/>
    <m/>
    <m/>
    <m/>
    <m/>
    <m/>
    <m/>
    <m/>
    <m/>
    <m/>
    <m/>
    <n v="0.82099999999999995"/>
    <n v="6157500"/>
    <m/>
    <m/>
    <m/>
    <m/>
    <m/>
    <n v="0"/>
    <m/>
    <n v="0.115"/>
    <n v="862500"/>
    <m/>
    <m/>
    <m/>
    <m/>
    <n v="3.2000000000000001E-2"/>
    <n v="240000"/>
    <m/>
    <m/>
    <m/>
    <m/>
    <m/>
    <n v="0"/>
    <m/>
    <m/>
    <m/>
    <m/>
    <m/>
    <n v="0"/>
    <m/>
    <m/>
    <m/>
    <m/>
    <n v="2.3E-2"/>
    <n v="172500"/>
    <m/>
    <m/>
    <m/>
    <m/>
    <n v="8.9999999999999993E-3"/>
    <n v="67500"/>
    <m/>
    <m/>
    <m/>
    <m/>
    <m/>
    <n v="0"/>
    <m/>
    <m/>
    <m/>
    <m/>
    <m/>
    <n v="0"/>
    <m/>
    <m/>
    <m/>
    <m/>
    <n v="1"/>
    <n v="7500000"/>
  </r>
  <r>
    <m/>
    <n v="4"/>
    <n v="4"/>
    <s v="MN"/>
    <n v="32"/>
    <s v="MN 32"/>
    <s v="1402-19"/>
    <x v="9"/>
    <s v="2017-20"/>
    <s v="S"/>
    <s v="MNDOT"/>
    <m/>
    <s v="JCT OF TH 34 TO JCT TH 10, MILL AND OVERLAY"/>
    <n v="3943400"/>
    <n v="0"/>
    <n v="0"/>
    <n v="3154700"/>
    <n v="0"/>
    <n v="3154700"/>
    <n v="0"/>
    <n v="0"/>
    <n v="0"/>
    <n v="0"/>
    <n v="0"/>
    <n v="0"/>
    <n v="0"/>
    <n v="0"/>
    <n v="0"/>
    <n v="3943400"/>
    <n v="788700"/>
    <n v="0"/>
    <n v="788700"/>
    <n v="0"/>
    <n v="0"/>
    <n v="3943400"/>
    <n v="99454965.5"/>
    <n v="53874730"/>
    <n v="2017"/>
    <m/>
    <m/>
    <m/>
    <m/>
    <m/>
    <m/>
    <s v="YES"/>
    <s v="NO"/>
    <s v="7th District"/>
    <s v="NO"/>
    <n v="0"/>
    <s v="YES"/>
    <s v="NO"/>
    <n v="0.77078911000000006"/>
    <n v="3039529.7763740001"/>
    <m/>
    <m/>
    <m/>
    <m/>
    <m/>
    <n v="0"/>
    <m/>
    <m/>
    <m/>
    <m/>
    <n v="0.17285015000000001"/>
    <n v="681617.28151"/>
    <m/>
    <n v="0.77078911000000006"/>
    <n v="3039529.7763740001"/>
    <m/>
    <m/>
    <m/>
    <m/>
    <m/>
    <n v="0"/>
    <m/>
    <n v="0.17285015000000001"/>
    <n v="681617.28151"/>
    <m/>
    <m/>
    <m/>
    <m/>
    <n v="1.297159E-2"/>
    <n v="51152.168006"/>
    <m/>
    <m/>
    <m/>
    <m/>
    <m/>
    <n v="0"/>
    <m/>
    <m/>
    <m/>
    <m/>
    <m/>
    <n v="0"/>
    <m/>
    <m/>
    <m/>
    <m/>
    <m/>
    <n v="0"/>
    <m/>
    <m/>
    <m/>
    <m/>
    <n v="4.1321860000000002E-2"/>
    <n v="162948.62272400002"/>
    <m/>
    <m/>
    <m/>
    <m/>
    <n v="1.23364E-3"/>
    <n v="4864.7359759999999"/>
    <m/>
    <m/>
    <m/>
    <m/>
    <m/>
    <n v="0"/>
    <m/>
    <m/>
    <m/>
    <m/>
    <n v="0.9991663500000002"/>
    <n v="3940112.5845900001"/>
  </r>
  <r>
    <m/>
    <n v="4"/>
    <n v="4"/>
    <s v="MN"/>
    <n v="34"/>
    <s v="MN 34"/>
    <s v="1404-17"/>
    <x v="1"/>
    <s v="2015-37"/>
    <s v="S"/>
    <s v="MNDOT"/>
    <n v="4"/>
    <s v="**AB** JCT. TH 9 TO DUNVILLA - PAVEMENT REHABILITATION (ALTERNATE BID)"/>
    <n v="7105100"/>
    <n v="0"/>
    <n v="0"/>
    <n v="5684100"/>
    <n v="0"/>
    <n v="5684100"/>
    <n v="0"/>
    <n v="0"/>
    <n v="0"/>
    <n v="0"/>
    <n v="0"/>
    <n v="0"/>
    <n v="0"/>
    <n v="0"/>
    <n v="0"/>
    <n v="7105100"/>
    <n v="1421000"/>
    <n v="0"/>
    <n v="1421000"/>
    <n v="0"/>
    <n v="0"/>
    <n v="7105100"/>
    <n v="32451442.5"/>
    <n v="20957353"/>
    <n v="2015"/>
    <m/>
    <m/>
    <m/>
    <m/>
    <m/>
    <m/>
    <s v="NO"/>
    <s v="YES"/>
    <s v="7th District"/>
    <s v="NO"/>
    <n v="0"/>
    <s v="YES"/>
    <s v="NO"/>
    <n v="0.73910480300000003"/>
    <n v="5251413.5357953003"/>
    <m/>
    <m/>
    <m/>
    <m/>
    <m/>
    <n v="0"/>
    <m/>
    <m/>
    <m/>
    <m/>
    <n v="0.24093282499999999"/>
    <n v="1711851.8149074998"/>
    <m/>
    <n v="0.73910480300000003"/>
    <n v="5251413.5357953003"/>
    <m/>
    <m/>
    <m/>
    <m/>
    <m/>
    <n v="0"/>
    <m/>
    <n v="0.24093282499999999"/>
    <n v="1711851.8149074998"/>
    <m/>
    <m/>
    <m/>
    <m/>
    <m/>
    <n v="0"/>
    <m/>
    <m/>
    <m/>
    <m/>
    <m/>
    <n v="0"/>
    <m/>
    <m/>
    <m/>
    <m/>
    <m/>
    <n v="0"/>
    <m/>
    <m/>
    <m/>
    <m/>
    <m/>
    <n v="0"/>
    <m/>
    <m/>
    <m/>
    <m/>
    <m/>
    <n v="0"/>
    <m/>
    <m/>
    <m/>
    <m/>
    <n v="1.9962371999999999E-2"/>
    <n v="141834.6492972"/>
    <m/>
    <m/>
    <m/>
    <m/>
    <m/>
    <n v="0"/>
    <m/>
    <m/>
    <m/>
    <m/>
    <n v="1"/>
    <n v="7105100"/>
  </r>
  <r>
    <m/>
    <n v="4"/>
    <n v="4"/>
    <s v="I"/>
    <n v="94"/>
    <s v="I 94"/>
    <s v="1406-66AC"/>
    <x v="2"/>
    <s v="2016-37"/>
    <s v="S"/>
    <s v="MNDOT"/>
    <n v="4"/>
    <s v="**AC** I-94/TH 75 INTERCHANGE MODIFICATION (AC PROJECT, PAYBACK IN 2017)"/>
    <n v="7059000"/>
    <n v="0"/>
    <n v="0"/>
    <n v="5900600"/>
    <n v="0"/>
    <n v="5900600"/>
    <n v="0"/>
    <n v="3990000"/>
    <n v="0"/>
    <n v="3990000"/>
    <n v="0"/>
    <n v="0"/>
    <n v="0"/>
    <n v="0"/>
    <n v="0"/>
    <n v="3990000"/>
    <n v="1158400"/>
    <n v="0"/>
    <n v="1158400"/>
    <n v="0"/>
    <n v="0"/>
    <n v="11049000"/>
    <n v="78133177.5"/>
    <n v="40046810"/>
    <n v="2016"/>
    <m/>
    <m/>
    <m/>
    <m/>
    <m/>
    <m/>
    <s v="NO"/>
    <s v="NO"/>
    <s v="7th District"/>
    <s v="NO"/>
    <n v="0"/>
    <s v="YES"/>
    <s v="NO"/>
    <n v="0.05"/>
    <n v="552450"/>
    <m/>
    <m/>
    <m/>
    <m/>
    <m/>
    <n v="0"/>
    <m/>
    <m/>
    <m/>
    <m/>
    <m/>
    <n v="0"/>
    <m/>
    <n v="0.05"/>
    <n v="199500"/>
    <m/>
    <m/>
    <m/>
    <m/>
    <m/>
    <n v="0"/>
    <m/>
    <m/>
    <n v="0"/>
    <m/>
    <m/>
    <m/>
    <m/>
    <m/>
    <n v="0"/>
    <m/>
    <m/>
    <m/>
    <m/>
    <m/>
    <n v="0"/>
    <m/>
    <m/>
    <m/>
    <m/>
    <m/>
    <n v="0"/>
    <m/>
    <m/>
    <m/>
    <m/>
    <n v="0.02"/>
    <n v="79800"/>
    <m/>
    <m/>
    <m/>
    <m/>
    <m/>
    <n v="0"/>
    <m/>
    <m/>
    <m/>
    <m/>
    <n v="0.93"/>
    <n v="3710700"/>
    <m/>
    <m/>
    <m/>
    <m/>
    <m/>
    <n v="0"/>
    <m/>
    <m/>
    <m/>
    <m/>
    <n v="1"/>
    <n v="3990000"/>
  </r>
  <r>
    <m/>
    <n v="4"/>
    <n v="4"/>
    <s v="I"/>
    <n v="94"/>
    <s v="I 94"/>
    <s v="1406-66AC1"/>
    <x v="9"/>
    <s v="2016-37"/>
    <s v="S"/>
    <s v="MNDOT"/>
    <n v="4"/>
    <s v="**AC** I-94/TH 75 INTERCHANGE MODIFICATION  (AC PROJECT, PAYBACK 1 OF 1)"/>
    <n v="3990000"/>
    <n v="0"/>
    <n v="0"/>
    <m/>
    <n v="0"/>
    <n v="0"/>
    <n v="0"/>
    <m/>
    <n v="0"/>
    <n v="0"/>
    <n v="0"/>
    <n v="3990000"/>
    <n v="0"/>
    <n v="3990000"/>
    <n v="0"/>
    <n v="1548600"/>
    <m/>
    <n v="0"/>
    <n v="0"/>
    <n v="0"/>
    <n v="0"/>
    <n v="0"/>
    <n v="105648557.5"/>
    <n v="53874730"/>
    <n v="2017"/>
    <m/>
    <s v="Dist. C FUNDING (DESTINATION INOVATION) ADJUST TARGETS PER BRIAN"/>
    <m/>
    <m/>
    <m/>
    <m/>
    <s v="yes"/>
    <s v="NO"/>
    <s v="7th District"/>
    <s v="NO"/>
    <n v="0"/>
    <s v="YES"/>
    <s v="NO"/>
    <m/>
    <n v="0"/>
    <m/>
    <m/>
    <m/>
    <m/>
    <m/>
    <n v="0"/>
    <m/>
    <m/>
    <m/>
    <m/>
    <m/>
    <n v="0"/>
    <m/>
    <n v="0.05"/>
    <n v="77430"/>
    <n v="0"/>
    <n v="0"/>
    <n v="0"/>
    <n v="0"/>
    <n v="0"/>
    <n v="0"/>
    <n v="0"/>
    <n v="0"/>
    <n v="0"/>
    <n v="0"/>
    <n v="0"/>
    <n v="0"/>
    <n v="0"/>
    <n v="0"/>
    <n v="0"/>
    <n v="0"/>
    <n v="0"/>
    <n v="0"/>
    <n v="0"/>
    <n v="0"/>
    <n v="0"/>
    <n v="0"/>
    <n v="0"/>
    <n v="0"/>
    <n v="0"/>
    <n v="0"/>
    <n v="0"/>
    <n v="0"/>
    <n v="0"/>
    <n v="0"/>
    <n v="0"/>
    <n v="0.02"/>
    <n v="30972"/>
    <n v="0"/>
    <n v="0"/>
    <n v="0"/>
    <n v="0"/>
    <n v="0"/>
    <n v="0"/>
    <n v="0"/>
    <n v="0"/>
    <n v="0"/>
    <n v="0"/>
    <n v="0.93"/>
    <n v="1440198"/>
    <n v="0"/>
    <n v="0"/>
    <n v="0"/>
    <n v="0"/>
    <n v="0"/>
    <n v="0"/>
    <m/>
    <m/>
    <m/>
    <m/>
    <n v="1"/>
    <n v="1548600"/>
  </r>
  <r>
    <m/>
    <n v="4"/>
    <n v="4"/>
    <s v="US"/>
    <n v="75"/>
    <s v="US 75"/>
    <s v="1406-67"/>
    <x v="0"/>
    <s v="2014-30"/>
    <s v="S"/>
    <s v="MNDOT"/>
    <n v="4"/>
    <s v="**ELLA** WILKIN COUNTY LINE TO CSAH 12 S. OF MOORHEAD, MILL &amp; BITUMINOUS SURFACING"/>
    <n v="2556300"/>
    <n v="0"/>
    <n v="0"/>
    <n v="2045000"/>
    <n v="0"/>
    <n v="2045000"/>
    <n v="0"/>
    <n v="0"/>
    <n v="0"/>
    <n v="0"/>
    <n v="0"/>
    <n v="0"/>
    <n v="0"/>
    <n v="0"/>
    <n v="0"/>
    <n v="2430096"/>
    <n v="511300"/>
    <n v="0"/>
    <n v="511300"/>
    <n v="0"/>
    <n v="0"/>
    <n v="2556300"/>
    <n v="3954200"/>
    <n v="1538600"/>
    <n v="2014"/>
    <m/>
    <m/>
    <m/>
    <m/>
    <m/>
    <m/>
    <s v="NO"/>
    <s v="NO"/>
    <s v="7th District"/>
    <s v="yes"/>
    <n v="0"/>
    <s v="YES"/>
    <s v="NO"/>
    <n v="0.86499999999999999"/>
    <n v="2211199.5"/>
    <m/>
    <m/>
    <m/>
    <m/>
    <m/>
    <n v="0"/>
    <m/>
    <m/>
    <m/>
    <m/>
    <n v="0.08"/>
    <n v="204504"/>
    <m/>
    <n v="0.86499999999999999"/>
    <n v="2102033.04"/>
    <m/>
    <m/>
    <m/>
    <m/>
    <m/>
    <n v="0"/>
    <m/>
    <n v="0.08"/>
    <n v="194407.67999999999"/>
    <m/>
    <m/>
    <m/>
    <m/>
    <n v="0.03"/>
    <n v="72902.87999999999"/>
    <m/>
    <m/>
    <m/>
    <m/>
    <m/>
    <n v="0"/>
    <m/>
    <m/>
    <m/>
    <m/>
    <m/>
    <n v="0"/>
    <m/>
    <m/>
    <m/>
    <m/>
    <m/>
    <n v="0"/>
    <m/>
    <m/>
    <m/>
    <m/>
    <m/>
    <n v="0"/>
    <m/>
    <m/>
    <m/>
    <m/>
    <n v="2.5000000000000001E-2"/>
    <n v="60752.4"/>
    <m/>
    <m/>
    <m/>
    <m/>
    <m/>
    <n v="0"/>
    <m/>
    <m/>
    <m/>
    <m/>
    <n v="1"/>
    <n v="2430096"/>
  </r>
  <r>
    <m/>
    <n v="4"/>
    <n v="4"/>
    <s v="US"/>
    <n v="75"/>
    <s v="US 75"/>
    <s v="1407-25"/>
    <x v="0"/>
    <s v="2014-30"/>
    <s v="S"/>
    <s v="MNDOT"/>
    <n v="4"/>
    <s v="**AC** NORTH OF JCT OF TH 10 TO N CLAY CO LINE - MILL AND OVERLAY (AC PROJECT, PAYBACK IN 2015)"/>
    <s v="251+00.382"/>
    <s v="270+00.800"/>
    <n v="19.399999999999999"/>
    <m/>
    <s v="CLAY"/>
    <s v="RS"/>
    <s v="1-P "/>
    <s v="1-P"/>
    <m/>
    <s v="PVTR - PAVEMENT RESURFACE AND REHABILITATION"/>
    <s v="MILL AND OVERLAY"/>
    <s v="NHPP  "/>
    <s v="NHPP"/>
    <m/>
    <m/>
    <n v="2936500"/>
    <n v="0"/>
    <n v="0"/>
    <n v="1909200"/>
    <n v="0"/>
    <n v="1909200"/>
    <n v="0"/>
    <n v="2200000"/>
    <n v="0"/>
    <n v="2200000"/>
    <n v="0"/>
    <n v="0"/>
    <n v="0"/>
    <n v="0"/>
    <n v="0"/>
    <n v="0"/>
    <n v="1027300"/>
    <n v="0"/>
    <n v="1027300"/>
    <n v="0"/>
    <n v="0"/>
    <n v="11009500"/>
    <n v="2934000"/>
    <n v="23036604"/>
    <s v="1407-25"/>
    <s v="Removed AC from SP-AC Pa Youa- RS-NHPP-Who S-80/20_x000a_AC Okay - Pa Youa"/>
    <m/>
    <m/>
    <m/>
    <m/>
    <m/>
    <m/>
    <m/>
    <m/>
    <m/>
    <m/>
    <m/>
    <m/>
    <n v="0.83330000000000004"/>
    <n v="9174216.3499999996"/>
    <e v="#REF!"/>
    <e v="#REF!"/>
    <e v="#REF!"/>
    <e v="#REF!"/>
    <n v="0"/>
    <n v="0"/>
    <e v="#REF!"/>
    <n v="7.9399999999999998E-2"/>
    <n v="874154.29999999993"/>
    <e v="#REF!"/>
    <e v="#REF!"/>
    <e v="#REF!"/>
    <e v="#REF!"/>
    <n v="4.4600000000000001E-2"/>
    <n v="491023.7"/>
    <e v="#REF!"/>
    <e v="#REF!"/>
    <e v="#REF!"/>
    <e v="#REF!"/>
    <n v="0"/>
    <n v="0"/>
    <e v="#REF!"/>
    <e v="#REF!"/>
    <e v="#REF!"/>
    <e v="#REF!"/>
    <n v="0"/>
    <n v="0"/>
    <e v="#REF!"/>
    <e v="#REF!"/>
    <e v="#REF!"/>
    <e v="#REF!"/>
    <n v="0"/>
    <n v="0"/>
    <e v="#REF!"/>
    <e v="#REF!"/>
    <e v="#REF!"/>
    <e v="#REF!"/>
    <n v="4.2700000000000002E-2"/>
    <n v="470105.65"/>
    <e v="#REF!"/>
    <e v="#REF!"/>
    <e v="#REF!"/>
    <e v="#REF!"/>
    <n v="0"/>
    <n v="0"/>
    <e v="#REF!"/>
    <e v="#REF!"/>
    <e v="#REF!"/>
    <e v="#REF!"/>
    <n v="0"/>
    <n v="0"/>
    <m/>
    <m/>
    <m/>
    <m/>
    <n v="1"/>
    <n v="11009500"/>
  </r>
  <r>
    <m/>
    <n v="4"/>
    <n v="4"/>
    <s v="US"/>
    <n v="75"/>
    <s v="US 75"/>
    <s v="1407-25AC"/>
    <x v="0"/>
    <s v="2014-30"/>
    <s v="S"/>
    <s v="MNDOT"/>
    <n v="4"/>
    <s v="**AC** NORTH OF JCT. OF TH 10 TO N. CLAY CO. LINE - MILL AND OVERLAY (AC PROJECT, PAYBACK IN 2015)"/>
    <n v="2936500"/>
    <n v="0"/>
    <n v="0"/>
    <n v="1909200"/>
    <n v="0"/>
    <n v="1909200"/>
    <n v="0"/>
    <n v="2200000"/>
    <n v="0"/>
    <n v="2200000"/>
    <n v="0"/>
    <n v="0"/>
    <n v="0"/>
    <n v="0"/>
    <n v="0"/>
    <n v="2200000"/>
    <n v="1027300"/>
    <n v="0"/>
    <n v="1027300"/>
    <n v="0"/>
    <n v="0"/>
    <n v="5136500"/>
    <n v="1909200"/>
    <n v="1027300"/>
    <n v="2014"/>
    <m/>
    <m/>
    <m/>
    <m/>
    <m/>
    <m/>
    <s v="yes"/>
    <s v="NO"/>
    <s v="7th District"/>
    <s v="NO"/>
    <n v="0"/>
    <s v="YES"/>
    <s v="NO"/>
    <n v="0.83330000000000004"/>
    <n v="4280245.45"/>
    <m/>
    <m/>
    <m/>
    <m/>
    <m/>
    <n v="0"/>
    <m/>
    <m/>
    <m/>
    <m/>
    <n v="7.9399999999999998E-2"/>
    <n v="407838.1"/>
    <m/>
    <n v="0.83330000000000004"/>
    <n v="1833260"/>
    <m/>
    <m/>
    <m/>
    <m/>
    <m/>
    <n v="0"/>
    <m/>
    <n v="7.9399999999999998E-2"/>
    <n v="174680"/>
    <m/>
    <m/>
    <m/>
    <m/>
    <n v="4.4600000000000001E-2"/>
    <n v="98120"/>
    <m/>
    <m/>
    <m/>
    <m/>
    <m/>
    <n v="0"/>
    <m/>
    <m/>
    <m/>
    <m/>
    <m/>
    <n v="0"/>
    <m/>
    <m/>
    <m/>
    <m/>
    <m/>
    <n v="0"/>
    <m/>
    <m/>
    <m/>
    <m/>
    <n v="4.2700000000000002E-2"/>
    <n v="93940"/>
    <m/>
    <m/>
    <m/>
    <m/>
    <m/>
    <n v="0"/>
    <m/>
    <m/>
    <m/>
    <m/>
    <m/>
    <n v="0"/>
    <m/>
    <m/>
    <m/>
    <m/>
    <n v="1"/>
    <n v="2200000"/>
  </r>
  <r>
    <m/>
    <n v="4"/>
    <n v="4"/>
    <s v="US"/>
    <n v="75"/>
    <s v="US 75"/>
    <s v="1407-25AC1"/>
    <x v="1"/>
    <s v="2014-30"/>
    <s v="S"/>
    <s v="MNDOT"/>
    <n v="4"/>
    <s v="**AC** NORTH OF JCT. OF TH 10 TO N. CLAY CO. LINE - MILL AND OVERLAY (AC PROJECT, PAYBACK 1 OF 1)"/>
    <n v="3227300"/>
    <n v="0"/>
    <n v="0"/>
    <m/>
    <n v="0"/>
    <n v="0"/>
    <n v="0"/>
    <n v="0"/>
    <n v="0"/>
    <n v="0"/>
    <n v="0"/>
    <n v="2200000"/>
    <n v="0"/>
    <n v="2200000"/>
    <n v="0"/>
    <n v="2200000"/>
    <n v="1027300"/>
    <n v="0"/>
    <n v="1027300"/>
    <n v="0"/>
    <n v="0"/>
    <n v="1027300"/>
    <n v="49258336.700000003"/>
    <n v="23395177.800000001"/>
    <n v="2015"/>
    <m/>
    <m/>
    <m/>
    <m/>
    <m/>
    <m/>
    <s v="yes"/>
    <s v="NO"/>
    <s v="7th District"/>
    <s v="NO"/>
    <n v="0"/>
    <s v="YES"/>
    <s v="NO"/>
    <n v="0.83330000000000004"/>
    <n v="856049.09000000008"/>
    <m/>
    <m/>
    <m/>
    <m/>
    <m/>
    <n v="0"/>
    <m/>
    <m/>
    <m/>
    <m/>
    <n v="7.9399999999999998E-2"/>
    <n v="81567.62"/>
    <m/>
    <n v="0.83330000000000004"/>
    <n v="1833260"/>
    <m/>
    <m/>
    <m/>
    <m/>
    <m/>
    <n v="0"/>
    <m/>
    <n v="7.9399999999999998E-2"/>
    <n v="174680"/>
    <m/>
    <m/>
    <m/>
    <m/>
    <n v="4.4600000000000001E-2"/>
    <n v="98120"/>
    <m/>
    <m/>
    <m/>
    <m/>
    <m/>
    <n v="0"/>
    <m/>
    <m/>
    <m/>
    <m/>
    <m/>
    <n v="0"/>
    <m/>
    <m/>
    <m/>
    <m/>
    <m/>
    <n v="0"/>
    <m/>
    <m/>
    <m/>
    <m/>
    <n v="4.2700000000000002E-2"/>
    <n v="93940"/>
    <m/>
    <m/>
    <m/>
    <m/>
    <m/>
    <n v="0"/>
    <m/>
    <m/>
    <m/>
    <m/>
    <m/>
    <n v="0"/>
    <m/>
    <m/>
    <m/>
    <m/>
    <n v="1"/>
    <n v="2200000"/>
  </r>
  <r>
    <m/>
    <n v="4"/>
    <n v="4"/>
    <s v="I"/>
    <n v="94"/>
    <s v="I 94"/>
    <s v="1481-9066B"/>
    <x v="9"/>
    <s v="2017-22"/>
    <s v="S"/>
    <s v="MNDOT"/>
    <n v="4"/>
    <s v="PAINT BRIDGE OVER THE RED RIVER (BRIDGE # 9066, 9067)"/>
    <n v="357000"/>
    <n v="0"/>
    <n v="0"/>
    <n v="285600"/>
    <n v="0"/>
    <n v="285600"/>
    <n v="0"/>
    <n v="0"/>
    <n v="0"/>
    <n v="0"/>
    <n v="0"/>
    <n v="0"/>
    <n v="0"/>
    <n v="0"/>
    <n v="0"/>
    <n v="357000"/>
    <n v="71400"/>
    <n v="0"/>
    <n v="71400"/>
    <n v="0"/>
    <n v="0"/>
    <n v="357000"/>
    <n v="100080247.5"/>
    <n v="53874730"/>
    <n v="2017"/>
    <m/>
    <s v="CHECK PRICES FOR REPLACEMENT, REDECK IS PLANNED, BUT BRIDGE OFFICE NEEDS TO SEE IF IT NEEDS REPLACEMENT.  Is description ok?"/>
    <m/>
    <m/>
    <m/>
    <m/>
    <s v="NO"/>
    <s v="NO"/>
    <s v="7th District"/>
    <s v="NO"/>
    <n v="0"/>
    <s v="YES"/>
    <s v="NO"/>
    <m/>
    <n v="0"/>
    <m/>
    <m/>
    <m/>
    <m/>
    <n v="1"/>
    <n v="357000"/>
    <m/>
    <m/>
    <m/>
    <m/>
    <m/>
    <n v="0"/>
    <m/>
    <m/>
    <n v="0"/>
    <m/>
    <m/>
    <m/>
    <m/>
    <n v="1"/>
    <n v="357000"/>
    <m/>
    <m/>
    <n v="0"/>
    <m/>
    <m/>
    <m/>
    <m/>
    <m/>
    <n v="0"/>
    <m/>
    <m/>
    <m/>
    <m/>
    <m/>
    <n v="0"/>
    <m/>
    <m/>
    <m/>
    <m/>
    <m/>
    <n v="0"/>
    <m/>
    <m/>
    <m/>
    <m/>
    <m/>
    <n v="0"/>
    <m/>
    <m/>
    <m/>
    <m/>
    <m/>
    <n v="0"/>
    <m/>
    <m/>
    <m/>
    <m/>
    <m/>
    <n v="0"/>
    <m/>
    <m/>
    <m/>
    <m/>
    <m/>
    <n v="0"/>
    <m/>
    <m/>
    <m/>
    <m/>
    <n v="1"/>
    <n v="357000"/>
  </r>
  <r>
    <m/>
    <n v="1"/>
    <n v="1"/>
    <s v="MN"/>
    <n v="61"/>
    <s v="MN 61"/>
    <s v="1602-48"/>
    <x v="1"/>
    <m/>
    <s v="S"/>
    <s v="MNDOT"/>
    <m/>
    <s v=" 6 MI SO GRAND MARAIS AT CUT FACE CREEK. REPLACE CULVERT WITH SINGLE SPAN BRIDGE ALONG WITH CHANNEL ADJUSTMENTS (BF FUNDING FY 2015)"/>
    <n v="0"/>
    <n v="0"/>
    <n v="0"/>
    <m/>
    <s v="COOK"/>
    <s v="BR"/>
    <s v="1-B "/>
    <s v="1-B"/>
    <m/>
    <s v="BRPC - BRIDGE REPLACEMENT OR CONSTRUCTION"/>
    <s v="BRIDGE REPLACEMENT"/>
    <s v="BF  "/>
    <s v="BF"/>
    <m/>
    <m/>
    <n v="2000000"/>
    <n v="0"/>
    <n v="0"/>
    <m/>
    <n v="0"/>
    <n v="0"/>
    <n v="0"/>
    <n v="0"/>
    <n v="0"/>
    <n v="0"/>
    <n v="0"/>
    <n v="0"/>
    <n v="0"/>
    <n v="0"/>
    <n v="0"/>
    <n v="0"/>
    <m/>
    <n v="0"/>
    <n v="0"/>
    <n v="2000000"/>
    <n v="0"/>
    <n v="2000000"/>
    <n v="35456412"/>
    <n v="12866200"/>
    <n v="2015"/>
    <m/>
    <m/>
    <s v="FMP"/>
    <m/>
    <m/>
    <s v="YES"/>
    <s v="NO"/>
    <s v="NO"/>
    <s v="8th District"/>
    <s v="NO"/>
    <s v="NO"/>
    <s v="NO"/>
    <s v="NO"/>
    <m/>
    <n v="0"/>
    <m/>
    <m/>
    <m/>
    <m/>
    <n v="1"/>
    <n v="2000000"/>
    <s v="Improvement - Major rehabilitation or replacement"/>
    <m/>
    <n v="0"/>
    <m/>
    <m/>
    <m/>
    <m/>
    <m/>
    <n v="0"/>
    <m/>
    <m/>
    <m/>
    <m/>
    <m/>
    <n v="0"/>
    <m/>
    <m/>
    <m/>
    <m/>
    <m/>
    <n v="0"/>
    <m/>
    <m/>
    <m/>
    <m/>
    <m/>
    <n v="0"/>
    <m/>
    <m/>
    <m/>
    <m/>
    <m/>
    <n v="0"/>
    <m/>
    <m/>
    <m/>
    <m/>
    <m/>
    <n v="0"/>
    <m/>
    <m/>
    <m/>
    <m/>
    <m/>
    <n v="0"/>
    <m/>
    <m/>
    <m/>
    <m/>
    <n v="1"/>
    <n v="2000000"/>
  </r>
  <r>
    <m/>
    <n v="1"/>
    <n v="1"/>
    <s v="MN"/>
    <n v="61"/>
    <s v="MN 61"/>
    <s v="1602-49"/>
    <x v="0"/>
    <m/>
    <s v="S"/>
    <s v="MNDOT"/>
    <m/>
    <s v="ON TH 61, 1.15 MI. S. CSAH 5 to 1.23 MI. N. CSAH 7. MILL &amp; OVERLAY, CULVERTS &amp; BRIDGE REPAIR# 8290, 8291, 8292, 5132. (ASSOC.SPs 1601-(5089),1601-(8290), 1601- (8291), 1602-(5132), 1602-(8292), 1601-64)."/>
    <s v="89+00.023"/>
    <s v="102+00.937"/>
    <n v="13.9"/>
    <m/>
    <s v="COOK"/>
    <s v="RS"/>
    <s v=" "/>
    <m/>
    <m/>
    <s v="PVTR - PAVEMENT RESURFACE AND REHABILITATION"/>
    <s v="BRIDGE REPAIR"/>
    <s v="NHPP  "/>
    <s v="NHPP"/>
    <m/>
    <m/>
    <n v="6598956"/>
    <n v="0"/>
    <n v="0"/>
    <n v="5279165"/>
    <n v="0"/>
    <n v="5279165"/>
    <n v="0"/>
    <n v="0"/>
    <n v="0"/>
    <n v="0"/>
    <n v="0"/>
    <n v="0"/>
    <n v="0"/>
    <n v="0"/>
    <n v="0"/>
    <n v="0"/>
    <n v="1319791"/>
    <m/>
    <n v="1319791"/>
    <n v="0"/>
    <n v="0"/>
    <n v="6598956"/>
    <n v="40934695"/>
    <n v="6944287"/>
    <n v="2014"/>
    <m/>
    <s v="$6,600,000 MAP 21"/>
    <m/>
    <m/>
    <m/>
    <s v="YES"/>
    <s v="NO"/>
    <s v="NO"/>
    <s v="8th District"/>
    <s v="NO"/>
    <s v="NO"/>
    <s v="Yes"/>
    <s v="NO"/>
    <n v="0.56000000000000005"/>
    <n v="3695415.3600000003"/>
    <s v="Mill and/or overlay"/>
    <m/>
    <m/>
    <m/>
    <n v="0.14000000000000001"/>
    <n v="923853.84000000008"/>
    <s v="Preservation - Preventive and reactive maintenance"/>
    <n v="0.3"/>
    <n v="1979686.7999999998"/>
    <s v="Drainage and culverts"/>
    <m/>
    <m/>
    <m/>
    <m/>
    <n v="0"/>
    <m/>
    <m/>
    <m/>
    <m/>
    <m/>
    <n v="0"/>
    <m/>
    <m/>
    <m/>
    <m/>
    <m/>
    <n v="0"/>
    <m/>
    <m/>
    <m/>
    <m/>
    <m/>
    <n v="0"/>
    <m/>
    <m/>
    <m/>
    <m/>
    <m/>
    <n v="0"/>
    <m/>
    <m/>
    <m/>
    <m/>
    <m/>
    <n v="0"/>
    <m/>
    <m/>
    <m/>
    <m/>
    <m/>
    <n v="0"/>
    <m/>
    <m/>
    <m/>
    <m/>
    <n v="1"/>
    <n v="6598956"/>
  </r>
  <r>
    <m/>
    <n v="1"/>
    <n v="1"/>
    <s v="MN"/>
    <n v="61"/>
    <s v="MN 61"/>
    <s v="1603-48"/>
    <x v="2"/>
    <m/>
    <s v="S"/>
    <s v="MNDOT"/>
    <m/>
    <s v="APPROACH WORK AND REPLACEMENT FOR TH 61 BR# 8910 OVER DEVIL TRACK RIVER. 4.0 MI NE OF GUNFLINT TRAIL"/>
    <s v="113+00.418"/>
    <s v="113+00.426"/>
    <n v="0.01"/>
    <m/>
    <s v="COOK"/>
    <s v="BR"/>
    <s v="1-B "/>
    <s v="1-B"/>
    <m/>
    <s v="BRPC - BRIDGE REPLACEMENT OR CONSTRUCTION"/>
    <s v="BRIDGE REPLACEMENT"/>
    <s v="NHPP  "/>
    <s v="NHPP"/>
    <m/>
    <m/>
    <n v="1304000"/>
    <n v="0"/>
    <n v="0"/>
    <n v="1043200"/>
    <n v="0"/>
    <n v="1043200"/>
    <n v="0"/>
    <n v="0"/>
    <n v="0"/>
    <n v="0"/>
    <n v="0"/>
    <n v="0"/>
    <n v="0"/>
    <n v="0"/>
    <n v="0"/>
    <n v="0"/>
    <n v="260800"/>
    <n v="0"/>
    <n v="260800"/>
    <n v="0"/>
    <n v="0"/>
    <n v="1304000"/>
    <n v="48473896"/>
    <n v="11040182"/>
    <n v="2016"/>
    <m/>
    <m/>
    <m/>
    <m/>
    <m/>
    <s v="YES"/>
    <s v="NO"/>
    <s v="NO"/>
    <s v="8th District"/>
    <s v="NO"/>
    <s v="NO"/>
    <s v="Yes"/>
    <s v="NO"/>
    <m/>
    <n v="0"/>
    <m/>
    <m/>
    <m/>
    <m/>
    <n v="1"/>
    <n v="1304000"/>
    <m/>
    <m/>
    <n v="0"/>
    <m/>
    <m/>
    <m/>
    <m/>
    <m/>
    <n v="0"/>
    <m/>
    <m/>
    <m/>
    <m/>
    <m/>
    <n v="0"/>
    <m/>
    <m/>
    <m/>
    <m/>
    <m/>
    <n v="0"/>
    <m/>
    <m/>
    <m/>
    <m/>
    <m/>
    <n v="0"/>
    <m/>
    <m/>
    <m/>
    <m/>
    <m/>
    <n v="0"/>
    <m/>
    <m/>
    <m/>
    <m/>
    <m/>
    <n v="0"/>
    <m/>
    <m/>
    <m/>
    <m/>
    <m/>
    <n v="0"/>
    <m/>
    <m/>
    <m/>
    <m/>
    <n v="1"/>
    <n v="1304000"/>
  </r>
  <r>
    <m/>
    <n v="7"/>
    <n v="7"/>
    <s v="MN"/>
    <n v="60"/>
    <s v="MN 60"/>
    <s v="1703-69"/>
    <x v="9"/>
    <m/>
    <s v="S"/>
    <s v="MNDOT"/>
    <m/>
    <s v="**AC** FROM WINDOM TO WEST OF MOUNTAIN LAKE, RECONSTRUCT FROM TWO LANE TO FOUR LANE DIVIDED HIGHWAY (AC PAYBACKS IN 2018, 2019 &amp; 2020)"/>
    <s v="041+00.349"/>
    <s v="050+00.300"/>
    <n v="8.9"/>
    <m/>
    <s v="COTTONWOOD"/>
    <s v="MC"/>
    <s v=" "/>
    <m/>
    <m/>
    <s v="GRSU - GRADE AND SURFACE"/>
    <s v="GRADE AND SURFACE"/>
    <s v="NHPP  "/>
    <s v="NHPP"/>
    <m/>
    <m/>
    <n v="6000000"/>
    <n v="0"/>
    <n v="0"/>
    <n v="0"/>
    <n v="0"/>
    <n v="0"/>
    <n v="0"/>
    <n v="0"/>
    <n v="24000000"/>
    <n v="24000000"/>
    <n v="0"/>
    <n v="0"/>
    <n v="0"/>
    <n v="0"/>
    <n v="0"/>
    <n v="0"/>
    <n v="0"/>
    <n v="6000000"/>
    <n v="6000000"/>
    <n v="0"/>
    <n v="0"/>
    <n v="12000000"/>
    <n v="2934000"/>
    <n v="23036604"/>
    <s v="1703-69"/>
    <s v="Added **AC** to the description.  Pa Youa will work with Koryn on how to show funding for this project (currently showing Dist C AC and Dist C TH) and let Lisa Know/Trang_x000a_AC PAYBACKS CHANGED TO BE MANAGED INTO THE FUTURE PER KORYN ZEWERS - PA YOUA"/>
    <m/>
    <m/>
    <m/>
    <m/>
    <m/>
    <m/>
    <m/>
    <m/>
    <m/>
    <m/>
    <m/>
    <m/>
    <m/>
    <n v="0"/>
    <m/>
    <m/>
    <m/>
    <m/>
    <m/>
    <n v="0"/>
    <m/>
    <m/>
    <n v="0"/>
    <m/>
    <m/>
    <m/>
    <m/>
    <m/>
    <n v="0"/>
    <m/>
    <m/>
    <m/>
    <m/>
    <m/>
    <n v="0"/>
    <m/>
    <m/>
    <m/>
    <m/>
    <m/>
    <n v="0"/>
    <m/>
    <m/>
    <m/>
    <m/>
    <m/>
    <n v="0"/>
    <m/>
    <m/>
    <m/>
    <m/>
    <m/>
    <n v="0"/>
    <m/>
    <m/>
    <m/>
    <m/>
    <n v="1"/>
    <n v="6000000"/>
    <m/>
    <m/>
    <m/>
    <m/>
    <m/>
    <n v="0"/>
    <m/>
    <m/>
    <m/>
    <m/>
    <n v="1"/>
    <n v="6000000"/>
  </r>
  <r>
    <m/>
    <n v="7"/>
    <n v="7"/>
    <s v="MN"/>
    <n v="60"/>
    <s v="MN 60"/>
    <s v="1703-70"/>
    <x v="1"/>
    <s v="2015-TH-6"/>
    <s v="S"/>
    <s v="MNDOT"/>
    <m/>
    <s v="MOUNTAIN LAKE TO BUTTERFIELD, EXPANSION (AC PAYBACK STARTING IN 2016), (ALTERNATE BID)"/>
    <s v="054+00.117"/>
    <s v="058+00.740"/>
    <n v="4.5999999999999996"/>
    <m/>
    <s v="MULTICOUNTY"/>
    <s v="MC"/>
    <s v="7-IRC-P "/>
    <s v="7-IRC-P"/>
    <m/>
    <s v="GRSU - GRADE AND SURFACE"/>
    <s v="GRADE AND SURFACE"/>
    <s v="NHPP  "/>
    <s v="NHPP"/>
    <m/>
    <m/>
    <n v="2900000"/>
    <n v="0"/>
    <n v="0"/>
    <n v="0"/>
    <n v="0"/>
    <n v="0"/>
    <n v="0"/>
    <n v="11600000"/>
    <n v="0"/>
    <n v="11600000"/>
    <n v="0"/>
    <n v="0"/>
    <n v="0"/>
    <n v="0"/>
    <n v="0"/>
    <n v="0"/>
    <n v="2900000"/>
    <n v="0"/>
    <n v="2900000"/>
    <n v="0"/>
    <n v="0"/>
    <n v="14500000"/>
    <n v="9899434"/>
    <n v="4028356"/>
    <n v="2015"/>
    <m/>
    <m/>
    <m/>
    <m/>
    <m/>
    <m/>
    <s v="NO"/>
    <s v="NO"/>
    <m/>
    <s v="NO"/>
    <s v="NO"/>
    <s v="Yes"/>
    <s v="NO"/>
    <n v="0"/>
    <n v="0"/>
    <m/>
    <m/>
    <m/>
    <m/>
    <m/>
    <n v="0"/>
    <m/>
    <n v="0"/>
    <n v="0"/>
    <m/>
    <m/>
    <m/>
    <m/>
    <n v="0"/>
    <n v="0"/>
    <m/>
    <m/>
    <m/>
    <m/>
    <m/>
    <n v="0"/>
    <m/>
    <m/>
    <m/>
    <m/>
    <m/>
    <n v="0"/>
    <m/>
    <m/>
    <m/>
    <m/>
    <n v="0"/>
    <n v="0"/>
    <m/>
    <m/>
    <m/>
    <m/>
    <n v="0"/>
    <n v="0"/>
    <m/>
    <m/>
    <m/>
    <m/>
    <n v="1"/>
    <n v="2900000"/>
    <m/>
    <m/>
    <m/>
    <m/>
    <m/>
    <n v="0"/>
    <m/>
    <m/>
    <m/>
    <m/>
    <n v="1"/>
    <n v="2900000"/>
  </r>
  <r>
    <m/>
    <n v="7"/>
    <n v="7"/>
    <s v="MN"/>
    <n v="60"/>
    <s v="MN 60"/>
    <s v="1703-70AC1"/>
    <x v="2"/>
    <s v="2016-TH-2"/>
    <s v="S"/>
    <s v="MNDOT"/>
    <m/>
    <s v="MOUNTAIN LAKE TO BUTTERFIELD, EXPANSION (AC PAYBACK 1 OF 2), (ALTERNATE BID)"/>
    <s v="054+00.117"/>
    <s v="058+00.740"/>
    <n v="4.5999999999999996"/>
    <m/>
    <s v="MULTICOUNTY"/>
    <s v="MC"/>
    <s v="7-IRC-P "/>
    <s v="7-IRC-P"/>
    <m/>
    <s v="GRSU - GRADE AND SURFACE"/>
    <s v="GRADE AND SURFACE"/>
    <s v="NHPP  "/>
    <s v="NHPP"/>
    <m/>
    <m/>
    <n v="8000000"/>
    <n v="0"/>
    <n v="0"/>
    <n v="0"/>
    <n v="0"/>
    <n v="0"/>
    <n v="0"/>
    <n v="0"/>
    <n v="0"/>
    <n v="0"/>
    <n v="0"/>
    <n v="8000000"/>
    <n v="0"/>
    <n v="8000000"/>
    <n v="0"/>
    <n v="0"/>
    <n v="0"/>
    <n v="0"/>
    <n v="0"/>
    <n v="0"/>
    <n v="0"/>
    <n v="0"/>
    <n v="15425449"/>
    <n v="0"/>
    <n v="2016"/>
    <m/>
    <m/>
    <m/>
    <m/>
    <m/>
    <m/>
    <s v="NO"/>
    <s v="YES"/>
    <m/>
    <s v="NO"/>
    <s v="NO"/>
    <s v="Yes"/>
    <s v="NO"/>
    <n v="0.82099999999999995"/>
    <n v="6568000"/>
    <m/>
    <m/>
    <m/>
    <m/>
    <m/>
    <n v="0"/>
    <m/>
    <n v="0.115"/>
    <n v="920000"/>
    <m/>
    <m/>
    <m/>
    <m/>
    <n v="3.2000000000000001E-2"/>
    <n v="256000"/>
    <m/>
    <m/>
    <m/>
    <m/>
    <m/>
    <n v="0"/>
    <m/>
    <m/>
    <m/>
    <m/>
    <m/>
    <n v="0"/>
    <m/>
    <m/>
    <m/>
    <m/>
    <n v="2.3E-2"/>
    <n v="184000"/>
    <m/>
    <m/>
    <m/>
    <m/>
    <n v="8.9999999999999993E-3"/>
    <n v="72000"/>
    <m/>
    <m/>
    <m/>
    <m/>
    <m/>
    <n v="0"/>
    <m/>
    <m/>
    <m/>
    <m/>
    <m/>
    <n v="0"/>
    <m/>
    <m/>
    <m/>
    <m/>
    <n v="1"/>
    <n v="8000000"/>
  </r>
  <r>
    <m/>
    <n v="7"/>
    <n v="7"/>
    <s v="MN"/>
    <n v="60"/>
    <s v="MN 60"/>
    <s v="1703-70AC2"/>
    <x v="9"/>
    <m/>
    <s v="S"/>
    <s v="MNDOT"/>
    <m/>
    <s v="MOUNTAIN LAKE TO BUTTERFIELD, EXPANSION (AC PAYBACK 2 OF 2), (ALTERNATE BID)"/>
    <s v="054+00.117"/>
    <s v="058+00.740"/>
    <n v="4.5999999999999996"/>
    <m/>
    <s v="MULTICOUNTY"/>
    <s v="MC"/>
    <s v=" "/>
    <m/>
    <m/>
    <s v="GRSU - GRADE AND SURFACE"/>
    <s v="GRADE AND SURFACE"/>
    <s v="NHPP  "/>
    <s v="NHPP"/>
    <m/>
    <m/>
    <n v="4000000"/>
    <n v="0"/>
    <n v="0"/>
    <n v="0"/>
    <n v="0"/>
    <n v="0"/>
    <n v="0"/>
    <n v="0"/>
    <n v="0"/>
    <n v="0"/>
    <n v="0"/>
    <n v="0"/>
    <n v="4000000"/>
    <n v="4000000"/>
    <n v="0"/>
    <n v="0"/>
    <n v="0"/>
    <n v="0"/>
    <n v="0"/>
    <n v="0"/>
    <n v="0"/>
    <n v="0"/>
    <n v="4704800"/>
    <n v="0"/>
    <n v="2017"/>
    <m/>
    <m/>
    <m/>
    <m/>
    <m/>
    <m/>
    <s v="NO"/>
    <s v="YES"/>
    <m/>
    <s v="NO"/>
    <s v="NO"/>
    <s v="Yes"/>
    <s v="NO"/>
    <n v="0.82099999999999995"/>
    <n v="3284000"/>
    <m/>
    <m/>
    <m/>
    <m/>
    <m/>
    <n v="0"/>
    <m/>
    <n v="0.115"/>
    <n v="460000"/>
    <m/>
    <m/>
    <m/>
    <m/>
    <n v="3.2000000000000001E-2"/>
    <n v="128000"/>
    <m/>
    <m/>
    <m/>
    <m/>
    <m/>
    <n v="0"/>
    <m/>
    <m/>
    <m/>
    <m/>
    <m/>
    <n v="0"/>
    <m/>
    <m/>
    <m/>
    <m/>
    <n v="2.3E-2"/>
    <n v="92000"/>
    <m/>
    <m/>
    <m/>
    <m/>
    <n v="8.9999999999999993E-3"/>
    <n v="36000"/>
    <m/>
    <m/>
    <m/>
    <m/>
    <m/>
    <n v="0"/>
    <m/>
    <m/>
    <m/>
    <m/>
    <m/>
    <n v="0"/>
    <m/>
    <m/>
    <m/>
    <m/>
    <n v="1"/>
    <n v="4000000"/>
  </r>
  <r>
    <m/>
    <n v="1"/>
    <n v="1"/>
    <s v="MN"/>
    <n v="999"/>
    <s v="MN 999"/>
    <m/>
    <x v="5"/>
    <m/>
    <m/>
    <m/>
    <m/>
    <s v="NON -NHS PAVEMENT - 2020"/>
    <m/>
    <m/>
    <m/>
    <m/>
    <m/>
    <m/>
    <m/>
    <m/>
    <m/>
    <m/>
    <m/>
    <m/>
    <m/>
    <m/>
    <m/>
    <n v="6500000"/>
    <m/>
    <m/>
    <m/>
    <m/>
    <m/>
    <m/>
    <m/>
    <m/>
    <m/>
    <m/>
    <m/>
    <m/>
    <m/>
    <m/>
    <m/>
    <m/>
    <m/>
    <m/>
    <m/>
    <n v="6500000"/>
    <m/>
    <m/>
    <m/>
    <m/>
    <m/>
    <m/>
    <m/>
    <m/>
    <m/>
    <m/>
    <m/>
    <m/>
    <m/>
    <m/>
    <m/>
    <m/>
    <m/>
    <n v="0.82099999999999995"/>
    <n v="5336500"/>
    <m/>
    <m/>
    <m/>
    <m/>
    <m/>
    <n v="0"/>
    <m/>
    <n v="0.115"/>
    <n v="747500"/>
    <m/>
    <m/>
    <m/>
    <m/>
    <n v="3.2000000000000001E-2"/>
    <n v="208000"/>
    <m/>
    <m/>
    <m/>
    <m/>
    <m/>
    <n v="0"/>
    <m/>
    <m/>
    <m/>
    <m/>
    <m/>
    <n v="0"/>
    <m/>
    <m/>
    <m/>
    <m/>
    <n v="2.3E-2"/>
    <n v="149500"/>
    <m/>
    <m/>
    <m/>
    <m/>
    <n v="8.9999999999999993E-3"/>
    <n v="58499.999999999993"/>
    <m/>
    <m/>
    <m/>
    <m/>
    <m/>
    <n v="0"/>
    <m/>
    <m/>
    <m/>
    <m/>
    <m/>
    <n v="0"/>
    <m/>
    <m/>
    <m/>
    <m/>
    <n v="1"/>
    <n v="6500000"/>
  </r>
  <r>
    <m/>
    <n v="7"/>
    <n v="7"/>
    <s v="MN"/>
    <n v="62"/>
    <s v="MN 62"/>
    <s v="1704-27"/>
    <x v="0"/>
    <s v="2014-TH-7"/>
    <s v="S"/>
    <s v="MNDOT"/>
    <m/>
    <s v="**BR4M** FROM TH 59 IN FULDA TO WEST LIMITS OF WINDOM, RECLAIM"/>
    <s v="000+00.000"/>
    <s v="023+00.207"/>
    <n v="23.2"/>
    <m/>
    <s v="COTTONWOOD"/>
    <s v="RD"/>
    <s v="1-P "/>
    <s v="1-P "/>
    <m/>
    <s v="PVTR - PAVEMENT RESURFACE AND REHABILITATION"/>
    <s v="SURFACING"/>
    <s v="BF  "/>
    <s v="BF"/>
    <m/>
    <m/>
    <n v="14905000"/>
    <n v="0"/>
    <n v="0"/>
    <n v="0"/>
    <n v="0"/>
    <n v="0"/>
    <n v="0"/>
    <n v="0"/>
    <n v="0"/>
    <n v="0"/>
    <n v="0"/>
    <n v="0"/>
    <n v="0"/>
    <n v="0"/>
    <n v="0"/>
    <n v="0"/>
    <n v="0"/>
    <n v="0"/>
    <n v="0"/>
    <n v="14905000"/>
    <n v="0"/>
    <n v="14905000"/>
    <n v="10560935"/>
    <n v="790000"/>
    <n v="2014"/>
    <m/>
    <m/>
    <s v="BR4M"/>
    <m/>
    <m/>
    <m/>
    <s v="NO"/>
    <s v="NO"/>
    <m/>
    <s v="NO"/>
    <s v="NO"/>
    <s v="Yes"/>
    <s v="NO"/>
    <n v="0.82099999999999995"/>
    <n v="12237005"/>
    <m/>
    <m/>
    <m/>
    <m/>
    <m/>
    <n v="0"/>
    <m/>
    <n v="0.115"/>
    <n v="1714075"/>
    <m/>
    <m/>
    <m/>
    <m/>
    <n v="3.2000000000000001E-2"/>
    <n v="476960"/>
    <m/>
    <m/>
    <m/>
    <m/>
    <m/>
    <n v="0"/>
    <m/>
    <m/>
    <m/>
    <m/>
    <m/>
    <n v="0"/>
    <m/>
    <m/>
    <m/>
    <m/>
    <n v="2.3E-2"/>
    <n v="342815"/>
    <m/>
    <m/>
    <m/>
    <m/>
    <n v="8.9999999999999993E-3"/>
    <n v="134145"/>
    <m/>
    <m/>
    <m/>
    <m/>
    <m/>
    <n v="0"/>
    <m/>
    <m/>
    <m/>
    <m/>
    <m/>
    <n v="0"/>
    <m/>
    <m/>
    <m/>
    <m/>
    <n v="1"/>
    <n v="14905000"/>
  </r>
  <r>
    <m/>
    <n v="3"/>
    <n v="3"/>
    <s v="MN"/>
    <n v="6"/>
    <s v="MN 6"/>
    <s v="1802-50"/>
    <x v="9"/>
    <s v="2016-03"/>
    <s v="S"/>
    <s v="MNDOT"/>
    <m/>
    <s v="IN EMILY, RECONSTRUCTION INCLUDING SAFETY INTERSECTION IMPROVEMENTS AT CSAH 1 INTERSECTION "/>
    <s v="31+00.600"/>
    <s v="32+00.000"/>
    <n v="0.52300000000000002"/>
    <s v="EMILY"/>
    <s v="CROW WING"/>
    <s v="RC"/>
    <s v="1-P "/>
    <s v="1-P"/>
    <m/>
    <s v="GRSU - GRADE AND SURFACE"/>
    <s v="GRADE AND SURFACE"/>
    <s v="SF  "/>
    <s v="SF"/>
    <m/>
    <m/>
    <n v="2150000"/>
    <n v="0"/>
    <n v="0"/>
    <n v="0"/>
    <n v="0"/>
    <n v="0"/>
    <n v="0"/>
    <n v="0"/>
    <n v="0"/>
    <n v="0"/>
    <n v="0"/>
    <n v="0"/>
    <n v="0"/>
    <n v="0"/>
    <n v="0"/>
    <n v="0"/>
    <n v="0"/>
    <n v="0"/>
    <n v="0"/>
    <n v="0"/>
    <n v="0"/>
    <n v="0"/>
    <n v="0"/>
    <n v="0"/>
    <n v="0"/>
    <n v="0"/>
    <n v="2150000"/>
    <n v="0"/>
    <n v="2150000"/>
    <n v="0"/>
    <n v="0"/>
    <n v="2150000"/>
    <n v="13897300"/>
    <n v="2150000"/>
    <n v="2017"/>
    <m/>
    <m/>
    <m/>
    <n v="0.7"/>
    <n v="1505000"/>
    <m/>
    <m/>
    <m/>
    <m/>
    <m/>
    <n v="0"/>
    <m/>
    <n v="0.1235"/>
    <n v="265525"/>
    <s v="Drainage and culverts"/>
    <m/>
    <m/>
    <m/>
    <n v="0.14449999999999999"/>
    <n v="310675"/>
    <s v="Low cost high benefit"/>
    <m/>
    <m/>
    <m/>
    <m/>
    <n v="0"/>
    <m/>
    <m/>
    <m/>
    <m/>
    <m/>
    <n v="0"/>
    <m/>
    <m/>
    <m/>
    <m/>
    <n v="2.3E-2"/>
    <n v="49450"/>
    <m/>
    <m/>
    <m/>
    <m/>
    <n v="8.9999999999999993E-3"/>
    <n v="19350"/>
    <m/>
    <m/>
    <m/>
    <m/>
    <m/>
    <n v="0"/>
    <m/>
    <m/>
    <m/>
    <m/>
    <m/>
    <n v="0"/>
    <m/>
    <m/>
    <m/>
    <m/>
    <n v="0.99999999999999989"/>
    <n v="2150000"/>
  </r>
  <r>
    <m/>
    <n v="3"/>
    <n v="3"/>
    <s v="MN"/>
    <n v="6"/>
    <s v="MN 6"/>
    <s v="1802-51"/>
    <x v="9"/>
    <s v="2016-03"/>
    <s v="S"/>
    <s v="MNDOT"/>
    <m/>
    <s v="SOUTH END OF MISSISSIPPI BRIDGE (BRIDGE #18001) TO NORTH 5.7 MI, MILL AND OVERLAY"/>
    <s v="18+00.356"/>
    <s v="24+00.067"/>
    <n v="5.7"/>
    <m/>
    <s v="CROW WING"/>
    <s v="RC"/>
    <s v="1-P "/>
    <s v="1-P"/>
    <m/>
    <s v="PVTR - PAVEMENT RESURFACE AND REHABILITATION"/>
    <s v="MILL AND OVERLAY"/>
    <s v="SF  "/>
    <s v="SF"/>
    <m/>
    <m/>
    <n v="2000000"/>
    <n v="0"/>
    <n v="0"/>
    <n v="0"/>
    <n v="0"/>
    <n v="0"/>
    <n v="0"/>
    <n v="0"/>
    <n v="0"/>
    <n v="0"/>
    <n v="0"/>
    <n v="0"/>
    <n v="0"/>
    <n v="0"/>
    <n v="0"/>
    <n v="0"/>
    <n v="0"/>
    <n v="0"/>
    <n v="0"/>
    <n v="0"/>
    <n v="0"/>
    <n v="0"/>
    <n v="0"/>
    <n v="0"/>
    <n v="0"/>
    <n v="0"/>
    <n v="2000000"/>
    <n v="0"/>
    <n v="2000000"/>
    <n v="0"/>
    <n v="0"/>
    <n v="2000000"/>
    <n v="13897300"/>
    <n v="4150000"/>
    <n v="2017"/>
    <m/>
    <m/>
    <m/>
    <n v="0.88500000000000001"/>
    <n v="1770000"/>
    <m/>
    <m/>
    <m/>
    <m/>
    <m/>
    <n v="0"/>
    <m/>
    <n v="0.115"/>
    <n v="230000"/>
    <s v="Pavement markings"/>
    <m/>
    <m/>
    <m/>
    <m/>
    <n v="0"/>
    <m/>
    <m/>
    <m/>
    <m/>
    <m/>
    <n v="0"/>
    <m/>
    <m/>
    <m/>
    <m/>
    <m/>
    <n v="0"/>
    <m/>
    <m/>
    <m/>
    <m/>
    <m/>
    <n v="0"/>
    <m/>
    <m/>
    <m/>
    <m/>
    <m/>
    <n v="0"/>
    <m/>
    <m/>
    <m/>
    <m/>
    <m/>
    <n v="0"/>
    <m/>
    <m/>
    <m/>
    <m/>
    <m/>
    <n v="0"/>
    <m/>
    <m/>
    <m/>
    <m/>
    <n v="1"/>
    <n v="2000000"/>
  </r>
  <r>
    <m/>
    <n v="3"/>
    <n v="3"/>
    <s v="US"/>
    <n v="169"/>
    <s v="US 169"/>
    <s v="1804-5265A"/>
    <x v="1"/>
    <s v="2015-08"/>
    <s v="S"/>
    <s v="MNDOT"/>
    <m/>
    <s v="PRESERVE BRIDGE #5265 OVER DRY STREAM, 0.5 MI S OF JCT TH 18"/>
    <n v="0"/>
    <n v="0"/>
    <n v="0"/>
    <m/>
    <s v="CROW WING"/>
    <s v="BI"/>
    <s v="1-BPM "/>
    <s v="1-BPM"/>
    <m/>
    <s v="BRRH - BRIDGE REHABILITATION"/>
    <s v="BRIDGE REPAIR"/>
    <s v="NHPP SF "/>
    <s v="NHPP"/>
    <s v="SF"/>
    <m/>
    <n v="292500"/>
    <n v="0"/>
    <n v="0"/>
    <n v="0"/>
    <n v="234000"/>
    <n v="0"/>
    <n v="0"/>
    <n v="0"/>
    <n v="0"/>
    <n v="0"/>
    <n v="0"/>
    <n v="0"/>
    <n v="234000"/>
    <n v="234000"/>
    <n v="0"/>
    <n v="234000"/>
    <n v="0"/>
    <n v="0"/>
    <n v="0"/>
    <n v="0"/>
    <n v="0"/>
    <n v="0"/>
    <n v="0"/>
    <n v="0"/>
    <n v="0"/>
    <n v="0"/>
    <n v="58500"/>
    <n v="0"/>
    <n v="58500"/>
    <n v="0"/>
    <n v="0"/>
    <n v="292500"/>
    <n v="37016245"/>
    <n v="8194629"/>
    <n v="2015"/>
    <m/>
    <m/>
    <m/>
    <m/>
    <n v="0"/>
    <m/>
    <m/>
    <m/>
    <m/>
    <n v="1"/>
    <n v="292500"/>
    <m/>
    <m/>
    <n v="0"/>
    <m/>
    <m/>
    <m/>
    <m/>
    <m/>
    <n v="0"/>
    <m/>
    <m/>
    <m/>
    <m/>
    <m/>
    <n v="0"/>
    <m/>
    <m/>
    <m/>
    <m/>
    <m/>
    <n v="0"/>
    <m/>
    <m/>
    <m/>
    <m/>
    <m/>
    <n v="0"/>
    <m/>
    <m/>
    <m/>
    <m/>
    <m/>
    <n v="0"/>
    <m/>
    <m/>
    <m/>
    <m/>
    <m/>
    <n v="0"/>
    <m/>
    <m/>
    <m/>
    <m/>
    <m/>
    <n v="0"/>
    <m/>
    <m/>
    <m/>
    <m/>
    <n v="1"/>
    <n v="292500"/>
  </r>
  <r>
    <m/>
    <n v="3"/>
    <n v="3"/>
    <s v="MN"/>
    <n v="210"/>
    <s v="MN 210"/>
    <s v="1807-27"/>
    <x v="0"/>
    <m/>
    <s v="S"/>
    <s v="MNDOT"/>
    <m/>
    <s v="TRAFFIC SIGNAL AND GEOMETRIC IMPROVEMENTS AT JCT TH 210 AND TH 6 IN DEERWOOD "/>
    <n v="0"/>
    <n v="0"/>
    <n v="0"/>
    <s v="DEERWOOD"/>
    <s v="AITKIN"/>
    <s v="SC"/>
    <s v="7-IRC-C "/>
    <s v="7-IRC-C"/>
    <m/>
    <s v="TRCD - TRAFFIC CONTROL DEVICES"/>
    <s v="TRAFFIC SIGNAL INST."/>
    <s v="SF  "/>
    <s v="SF"/>
    <m/>
    <m/>
    <n v="854700"/>
    <n v="0"/>
    <n v="0"/>
    <n v="0"/>
    <n v="0"/>
    <n v="0"/>
    <n v="0"/>
    <n v="0"/>
    <n v="0"/>
    <n v="0"/>
    <n v="0"/>
    <n v="0"/>
    <n v="0"/>
    <n v="0"/>
    <n v="0"/>
    <n v="0"/>
    <n v="0"/>
    <n v="0"/>
    <n v="0"/>
    <n v="0"/>
    <n v="0"/>
    <n v="0"/>
    <n v="0"/>
    <n v="0"/>
    <n v="0"/>
    <n v="0"/>
    <n v="854700"/>
    <n v="0"/>
    <n v="854700"/>
    <n v="0"/>
    <n v="0"/>
    <n v="854700"/>
    <n v="42288403"/>
    <n v="32992668"/>
    <n v="2014"/>
    <m/>
    <m/>
    <m/>
    <m/>
    <n v="0"/>
    <m/>
    <m/>
    <m/>
    <m/>
    <m/>
    <n v="0"/>
    <m/>
    <m/>
    <n v="0"/>
    <m/>
    <m/>
    <m/>
    <m/>
    <n v="1"/>
    <n v="854700"/>
    <s v="Sustained crash locations"/>
    <m/>
    <m/>
    <m/>
    <m/>
    <n v="0"/>
    <m/>
    <m/>
    <m/>
    <m/>
    <m/>
    <n v="0"/>
    <m/>
    <m/>
    <m/>
    <m/>
    <m/>
    <n v="0"/>
    <m/>
    <m/>
    <m/>
    <m/>
    <m/>
    <n v="0"/>
    <m/>
    <m/>
    <m/>
    <m/>
    <m/>
    <n v="0"/>
    <m/>
    <m/>
    <m/>
    <m/>
    <m/>
    <n v="0"/>
    <m/>
    <m/>
    <m/>
    <m/>
    <n v="1"/>
    <n v="854700"/>
  </r>
  <r>
    <m/>
    <n v="3"/>
    <n v="3"/>
    <s v="MN"/>
    <n v="210"/>
    <s v="MN 210"/>
    <s v="1807-28"/>
    <x v="1"/>
    <s v="2015-00"/>
    <s v="S"/>
    <s v="MNDOT"/>
    <m/>
    <s v="**ADA** 2015 ADA PROJECT TH 210 AND TH 6 IN CROSBY"/>
    <s v="137+00.066"/>
    <s v="138+00.602"/>
    <n v="1"/>
    <m/>
    <s v="DISTRICTWIDE"/>
    <s v="NA"/>
    <s v="7-O-P "/>
    <s v="7-O-P"/>
    <m/>
    <s v="APPU - APPURTENANCES"/>
    <s v="SPOT IMPROVEMENT"/>
    <s v="NHPP SF "/>
    <s v="NHPP"/>
    <s v="SF"/>
    <m/>
    <n v="250000"/>
    <n v="0"/>
    <n v="0"/>
    <n v="0"/>
    <n v="200000"/>
    <n v="0"/>
    <n v="0"/>
    <n v="0"/>
    <n v="0"/>
    <n v="0"/>
    <n v="0"/>
    <n v="0"/>
    <n v="200000"/>
    <n v="200000"/>
    <n v="0"/>
    <n v="200000"/>
    <n v="0"/>
    <n v="0"/>
    <n v="0"/>
    <n v="0"/>
    <n v="0"/>
    <n v="0"/>
    <n v="0"/>
    <n v="0"/>
    <n v="0"/>
    <n v="0"/>
    <n v="50000"/>
    <n v="0"/>
    <n v="50000"/>
    <n v="0"/>
    <n v="0"/>
    <n v="250000"/>
    <n v="38617255"/>
    <n v="8594881"/>
    <n v="2015"/>
    <m/>
    <m/>
    <s v="ADA"/>
    <m/>
    <n v="0"/>
    <m/>
    <m/>
    <m/>
    <m/>
    <m/>
    <n v="0"/>
    <m/>
    <m/>
    <n v="0"/>
    <m/>
    <m/>
    <m/>
    <m/>
    <m/>
    <n v="0"/>
    <m/>
    <m/>
    <m/>
    <m/>
    <m/>
    <n v="0"/>
    <m/>
    <m/>
    <m/>
    <m/>
    <m/>
    <n v="0"/>
    <m/>
    <m/>
    <m/>
    <m/>
    <m/>
    <n v="0"/>
    <m/>
    <m/>
    <m/>
    <m/>
    <n v="1"/>
    <n v="250000"/>
    <m/>
    <m/>
    <m/>
    <m/>
    <m/>
    <n v="0"/>
    <m/>
    <m/>
    <m/>
    <m/>
    <m/>
    <n v="0"/>
    <m/>
    <m/>
    <m/>
    <m/>
    <n v="1"/>
    <n v="250000"/>
  </r>
  <r>
    <m/>
    <n v="3"/>
    <n v="3"/>
    <s v="MN"/>
    <n v="371"/>
    <s v="MN 371"/>
    <s v="1810-100"/>
    <x v="0"/>
    <s v="2014-00"/>
    <s v="S"/>
    <s v="MNDOT"/>
    <m/>
    <s v="LANDSCAPING ALONG TH 371 THROUGH NISSWA"/>
    <n v="0"/>
    <n v="0"/>
    <n v="0"/>
    <s v="NISSWA"/>
    <s v="CROW WING"/>
    <s v="RB"/>
    <s v="1-M "/>
    <s v="1-M"/>
    <m/>
    <s v="APPU - APPURTENANCES"/>
    <s v="LANDSCAPING"/>
    <s v="SF  "/>
    <s v="SF"/>
    <m/>
    <m/>
    <n v="40000"/>
    <n v="0"/>
    <n v="0"/>
    <n v="0"/>
    <n v="0"/>
    <n v="0"/>
    <n v="0"/>
    <n v="0"/>
    <n v="0"/>
    <n v="0"/>
    <n v="0"/>
    <n v="0"/>
    <n v="0"/>
    <n v="0"/>
    <n v="0"/>
    <n v="0"/>
    <n v="0"/>
    <n v="0"/>
    <n v="0"/>
    <n v="0"/>
    <n v="0"/>
    <n v="0"/>
    <n v="0"/>
    <n v="0"/>
    <n v="0"/>
    <n v="0"/>
    <n v="40000"/>
    <n v="0"/>
    <n v="40000"/>
    <n v="0"/>
    <n v="0"/>
    <n v="40000"/>
    <n v="39531415"/>
    <n v="18387492"/>
    <n v="2014"/>
    <m/>
    <m/>
    <m/>
    <m/>
    <n v="0"/>
    <m/>
    <m/>
    <m/>
    <m/>
    <m/>
    <n v="0"/>
    <m/>
    <n v="1"/>
    <n v="40000"/>
    <s v="Other structures"/>
    <m/>
    <m/>
    <m/>
    <m/>
    <n v="0"/>
    <m/>
    <m/>
    <m/>
    <m/>
    <m/>
    <n v="0"/>
    <m/>
    <m/>
    <m/>
    <m/>
    <m/>
    <n v="0"/>
    <m/>
    <m/>
    <m/>
    <m/>
    <m/>
    <n v="0"/>
    <m/>
    <m/>
    <m/>
    <m/>
    <m/>
    <n v="0"/>
    <m/>
    <m/>
    <m/>
    <m/>
    <m/>
    <n v="0"/>
    <m/>
    <m/>
    <m/>
    <m/>
    <m/>
    <n v="0"/>
    <m/>
    <m/>
    <m/>
    <m/>
    <n v="1"/>
    <n v="40000"/>
  </r>
  <r>
    <m/>
    <n v="3"/>
    <n v="3"/>
    <s v="MN"/>
    <s v="371B"/>
    <s v="MN 371B"/>
    <s v="1814-XX"/>
    <x v="2"/>
    <s v="2016-99"/>
    <s v="S"/>
    <s v="MNDOT"/>
    <m/>
    <s v="TH 210 (WASHINGTON ST) TO WILLOW ST IN BRAINERD, RECONSTRUCTION, INCLUDING SIDEWALKS, CURB AND GUTTER"/>
    <s v="5+00.648"/>
    <s v="6+00.526"/>
    <n v="0.88"/>
    <s v="BRAINERD"/>
    <s v="CROW WING"/>
    <s v="RS"/>
    <s v="1-P "/>
    <s v="1-P"/>
    <m/>
    <s v="GRSU - GRADE AND SURFACE"/>
    <s v="GRADE AND SURFACE"/>
    <s v="NHPP SF "/>
    <s v="NHPP"/>
    <s v="SF"/>
    <m/>
    <n v="6860000"/>
    <n v="0"/>
    <n v="0"/>
    <n v="0"/>
    <n v="5088000"/>
    <n v="0"/>
    <n v="0"/>
    <n v="0"/>
    <n v="0"/>
    <n v="0"/>
    <n v="0"/>
    <n v="0"/>
    <n v="5088000"/>
    <n v="5088000"/>
    <n v="0"/>
    <n v="5088000"/>
    <n v="0"/>
    <n v="0"/>
    <n v="0"/>
    <n v="0"/>
    <n v="500000"/>
    <n v="0"/>
    <n v="0"/>
    <n v="0"/>
    <n v="0"/>
    <n v="0"/>
    <n v="1272000"/>
    <n v="0"/>
    <n v="1272000"/>
    <n v="0"/>
    <n v="500000"/>
    <n v="6860000"/>
    <n v="61203083"/>
    <n v="14608174"/>
    <n v="2016"/>
    <m/>
    <m/>
    <m/>
    <n v="0.82099999999999995"/>
    <n v="5221560"/>
    <m/>
    <m/>
    <m/>
    <m/>
    <m/>
    <n v="0"/>
    <m/>
    <n v="0.115"/>
    <n v="731400"/>
    <s v="Drainage and culverts"/>
    <m/>
    <m/>
    <m/>
    <n v="3.2000000000000001E-2"/>
    <n v="203520"/>
    <s v="Low cost high benefit"/>
    <m/>
    <m/>
    <m/>
    <m/>
    <n v="0"/>
    <m/>
    <m/>
    <m/>
    <m/>
    <m/>
    <n v="0"/>
    <m/>
    <m/>
    <m/>
    <m/>
    <n v="2.3E-2"/>
    <n v="146280"/>
    <m/>
    <m/>
    <m/>
    <m/>
    <n v="8.9999999999999993E-3"/>
    <n v="57239.999999999993"/>
    <m/>
    <m/>
    <m/>
    <m/>
    <m/>
    <n v="0"/>
    <m/>
    <m/>
    <m/>
    <m/>
    <m/>
    <n v="0"/>
    <m/>
    <m/>
    <m/>
    <m/>
    <n v="1"/>
    <n v="6360000"/>
  </r>
  <r>
    <m/>
    <n v="2"/>
    <n v="2"/>
    <s v="MN"/>
    <n v="999"/>
    <s v="MN999"/>
    <m/>
    <x v="6"/>
    <m/>
    <m/>
    <m/>
    <m/>
    <s v="NON-NHS BRIDGE "/>
    <m/>
    <m/>
    <m/>
    <m/>
    <m/>
    <m/>
    <s v=""/>
    <m/>
    <m/>
    <m/>
    <m/>
    <s v=""/>
    <m/>
    <m/>
    <m/>
    <n v="4000000"/>
    <m/>
    <m/>
    <m/>
    <m/>
    <n v="0"/>
    <m/>
    <m/>
    <m/>
    <n v="0"/>
    <m/>
    <m/>
    <m/>
    <n v="0"/>
    <m/>
    <m/>
    <m/>
    <m/>
    <n v="0"/>
    <m/>
    <n v="4000000"/>
    <n v="4000000"/>
    <n v="0"/>
    <n v="0"/>
    <n v="2021"/>
    <m/>
    <m/>
    <m/>
    <m/>
    <m/>
    <m/>
    <m/>
    <m/>
    <m/>
    <m/>
    <m/>
    <m/>
    <m/>
    <m/>
    <n v="0"/>
    <m/>
    <m/>
    <m/>
    <m/>
    <n v="0.92900000000000005"/>
    <n v="3716000"/>
    <m/>
    <m/>
    <n v="0"/>
    <m/>
    <m/>
    <m/>
    <m/>
    <m/>
    <n v="0"/>
    <m/>
    <m/>
    <m/>
    <m/>
    <m/>
    <n v="0"/>
    <m/>
    <m/>
    <m/>
    <m/>
    <m/>
    <n v="0"/>
    <m/>
    <m/>
    <m/>
    <m/>
    <n v="3.5000000000000003E-2"/>
    <n v="140000"/>
    <m/>
    <m/>
    <m/>
    <m/>
    <n v="3.5999999999999997E-2"/>
    <n v="144000"/>
    <m/>
    <m/>
    <m/>
    <m/>
    <m/>
    <n v="0"/>
    <m/>
    <m/>
    <m/>
    <m/>
    <m/>
    <n v="0"/>
    <m/>
    <m/>
    <m/>
    <m/>
    <n v="1"/>
    <n v="4000000"/>
  </r>
  <r>
    <m/>
    <n v="2"/>
    <n v="2"/>
    <s v="MN"/>
    <n v="999"/>
    <s v="MN999"/>
    <m/>
    <x v="7"/>
    <m/>
    <m/>
    <m/>
    <m/>
    <s v="NON-NHS BRIDGE "/>
    <m/>
    <m/>
    <m/>
    <m/>
    <m/>
    <m/>
    <s v=""/>
    <m/>
    <m/>
    <m/>
    <m/>
    <s v=""/>
    <m/>
    <m/>
    <m/>
    <n v="4000000"/>
    <m/>
    <m/>
    <m/>
    <m/>
    <n v="0"/>
    <m/>
    <m/>
    <m/>
    <n v="0"/>
    <m/>
    <m/>
    <m/>
    <n v="0"/>
    <m/>
    <m/>
    <m/>
    <m/>
    <n v="0"/>
    <m/>
    <n v="4000000"/>
    <n v="4000000"/>
    <n v="0"/>
    <n v="0"/>
    <n v="2022"/>
    <m/>
    <m/>
    <m/>
    <m/>
    <m/>
    <m/>
    <m/>
    <m/>
    <m/>
    <m/>
    <m/>
    <m/>
    <m/>
    <m/>
    <n v="0"/>
    <m/>
    <m/>
    <m/>
    <m/>
    <n v="0.92900000000000005"/>
    <n v="3716000"/>
    <m/>
    <m/>
    <n v="0"/>
    <m/>
    <m/>
    <m/>
    <m/>
    <m/>
    <n v="0"/>
    <m/>
    <m/>
    <m/>
    <m/>
    <m/>
    <n v="0"/>
    <m/>
    <m/>
    <m/>
    <m/>
    <m/>
    <n v="0"/>
    <m/>
    <m/>
    <m/>
    <m/>
    <n v="3.5000000000000003E-2"/>
    <n v="140000"/>
    <m/>
    <m/>
    <m/>
    <m/>
    <n v="3.5999999999999997E-2"/>
    <n v="144000"/>
    <m/>
    <m/>
    <m/>
    <m/>
    <m/>
    <n v="0"/>
    <m/>
    <m/>
    <m/>
    <m/>
    <m/>
    <n v="0"/>
    <m/>
    <m/>
    <m/>
    <m/>
    <n v="1"/>
    <n v="4000000"/>
  </r>
  <r>
    <m/>
    <n v="2"/>
    <n v="2"/>
    <s v="MN"/>
    <n v="999"/>
    <s v="MN999"/>
    <m/>
    <x v="8"/>
    <m/>
    <m/>
    <m/>
    <m/>
    <s v="NON-NHS BRIDGE"/>
    <m/>
    <m/>
    <m/>
    <m/>
    <m/>
    <m/>
    <s v=""/>
    <m/>
    <m/>
    <m/>
    <m/>
    <s v=""/>
    <m/>
    <m/>
    <m/>
    <n v="4000000"/>
    <m/>
    <m/>
    <m/>
    <m/>
    <n v="0"/>
    <m/>
    <m/>
    <m/>
    <n v="0"/>
    <m/>
    <m/>
    <m/>
    <n v="0"/>
    <m/>
    <m/>
    <m/>
    <m/>
    <n v="0"/>
    <m/>
    <n v="4000000"/>
    <n v="4000000"/>
    <n v="0"/>
    <n v="0"/>
    <n v="2023"/>
    <m/>
    <m/>
    <m/>
    <m/>
    <m/>
    <m/>
    <m/>
    <m/>
    <m/>
    <m/>
    <m/>
    <m/>
    <m/>
    <m/>
    <n v="0"/>
    <m/>
    <m/>
    <m/>
    <m/>
    <n v="0.92900000000000005"/>
    <n v="3716000"/>
    <m/>
    <m/>
    <n v="0"/>
    <m/>
    <m/>
    <m/>
    <m/>
    <m/>
    <n v="0"/>
    <m/>
    <m/>
    <m/>
    <m/>
    <m/>
    <n v="0"/>
    <m/>
    <m/>
    <m/>
    <m/>
    <m/>
    <n v="0"/>
    <m/>
    <m/>
    <m/>
    <m/>
    <n v="3.5000000000000003E-2"/>
    <n v="140000"/>
    <m/>
    <m/>
    <m/>
    <m/>
    <n v="3.5999999999999997E-2"/>
    <n v="144000"/>
    <m/>
    <m/>
    <m/>
    <m/>
    <m/>
    <n v="0"/>
    <m/>
    <m/>
    <m/>
    <m/>
    <m/>
    <n v="0"/>
    <m/>
    <m/>
    <m/>
    <m/>
    <n v="1"/>
    <n v="4000000"/>
  </r>
  <r>
    <m/>
    <s v="M"/>
    <s v="M"/>
    <s v="MN"/>
    <n v="13"/>
    <s v="MN 13"/>
    <s v="1901-171"/>
    <x v="2"/>
    <m/>
    <s v="S"/>
    <s v="MNDOT"/>
    <n v="7"/>
    <s v="AT CSAH 5 IN BURNSVILLE- LANDSCAPING"/>
    <m/>
    <m/>
    <m/>
    <m/>
    <m/>
    <m/>
    <m/>
    <m/>
    <m/>
    <m/>
    <m/>
    <m/>
    <m/>
    <m/>
    <m/>
    <n v="50000"/>
    <m/>
    <m/>
    <m/>
    <m/>
    <m/>
    <m/>
    <m/>
    <m/>
    <m/>
    <m/>
    <m/>
    <m/>
    <m/>
    <m/>
    <m/>
    <m/>
    <m/>
    <m/>
    <m/>
    <n v="0"/>
    <m/>
    <m/>
    <m/>
    <m/>
    <m/>
    <m/>
    <m/>
    <m/>
    <m/>
    <m/>
    <m/>
    <m/>
    <m/>
    <m/>
    <m/>
    <m/>
    <m/>
    <m/>
    <n v="0"/>
    <m/>
    <m/>
    <m/>
    <m/>
    <m/>
    <n v="0"/>
    <m/>
    <n v="1"/>
    <n v="50000"/>
    <s v="Other structures"/>
    <m/>
    <m/>
    <m/>
    <m/>
    <n v="0"/>
    <m/>
    <n v="1"/>
    <m/>
    <m/>
    <m/>
    <n v="0"/>
    <m/>
    <m/>
    <m/>
    <m/>
    <m/>
    <n v="0"/>
    <m/>
    <m/>
    <m/>
    <m/>
    <m/>
    <n v="0"/>
    <m/>
    <m/>
    <m/>
    <m/>
    <m/>
    <n v="0"/>
    <m/>
    <m/>
    <m/>
    <m/>
    <m/>
    <n v="0"/>
    <m/>
    <m/>
    <m/>
    <m/>
    <m/>
    <n v="0"/>
    <m/>
    <m/>
    <m/>
    <m/>
    <n v="1"/>
    <n v="50000"/>
  </r>
  <r>
    <m/>
    <s v="M"/>
    <s v="M"/>
    <s v="MN"/>
    <n v="13"/>
    <s v="MN 13"/>
    <s v="1902-55"/>
    <x v="1"/>
    <m/>
    <s v="S"/>
    <s v="MNDOT"/>
    <n v="7"/>
    <s v="FROM 2ND ST IN MENDOTA TO I35E IN LILYDALE-MILL AND OVERLAY, SLOPE STABILIZATION, REPLACE CURB, GUTTER AND CATCH BASINS"/>
    <m/>
    <m/>
    <m/>
    <m/>
    <m/>
    <m/>
    <m/>
    <m/>
    <m/>
    <m/>
    <m/>
    <m/>
    <m/>
    <m/>
    <m/>
    <n v="1345000"/>
    <m/>
    <m/>
    <m/>
    <m/>
    <m/>
    <m/>
    <m/>
    <m/>
    <m/>
    <m/>
    <m/>
    <m/>
    <m/>
    <m/>
    <m/>
    <m/>
    <m/>
    <m/>
    <m/>
    <n v="0"/>
    <m/>
    <m/>
    <m/>
    <m/>
    <m/>
    <m/>
    <m/>
    <m/>
    <m/>
    <m/>
    <m/>
    <m/>
    <m/>
    <m/>
    <m/>
    <m/>
    <m/>
    <n v="0.86077626402041896"/>
    <n v="1157744.0751074634"/>
    <m/>
    <m/>
    <m/>
    <m/>
    <m/>
    <n v="0"/>
    <m/>
    <n v="0.13922373597958099"/>
    <n v="187255.92489253642"/>
    <s v="Drainage and culverts"/>
    <m/>
    <m/>
    <m/>
    <m/>
    <n v="0"/>
    <m/>
    <n v="1"/>
    <m/>
    <m/>
    <m/>
    <n v="0"/>
    <m/>
    <m/>
    <m/>
    <m/>
    <m/>
    <n v="0"/>
    <m/>
    <m/>
    <m/>
    <m/>
    <m/>
    <n v="0"/>
    <m/>
    <m/>
    <m/>
    <m/>
    <m/>
    <n v="0"/>
    <m/>
    <m/>
    <m/>
    <m/>
    <m/>
    <n v="0"/>
    <m/>
    <m/>
    <m/>
    <m/>
    <m/>
    <n v="0"/>
    <m/>
    <m/>
    <m/>
    <m/>
    <n v="1"/>
    <n v="1344999.9999999998"/>
  </r>
  <r>
    <m/>
    <s v="M"/>
    <s v="M"/>
    <s v="MN"/>
    <n v="50"/>
    <s v="MN 50"/>
    <s v="1904-27"/>
    <x v="9"/>
    <m/>
    <s v="S"/>
    <s v="MNDOT"/>
    <n v="7"/>
    <s v="FROM MN3 IN FARMINGTON TO US52 IN HAMPTON-MILL AND OVERLAY"/>
    <m/>
    <m/>
    <m/>
    <m/>
    <m/>
    <m/>
    <m/>
    <m/>
    <m/>
    <m/>
    <m/>
    <m/>
    <m/>
    <m/>
    <m/>
    <n v="4000000"/>
    <m/>
    <m/>
    <m/>
    <m/>
    <m/>
    <m/>
    <m/>
    <m/>
    <m/>
    <m/>
    <m/>
    <m/>
    <m/>
    <m/>
    <m/>
    <m/>
    <m/>
    <m/>
    <m/>
    <n v="0"/>
    <m/>
    <m/>
    <m/>
    <m/>
    <m/>
    <m/>
    <m/>
    <m/>
    <m/>
    <m/>
    <m/>
    <m/>
    <m/>
    <m/>
    <m/>
    <m/>
    <m/>
    <n v="0.82099999999999995"/>
    <n v="3284000"/>
    <m/>
    <m/>
    <m/>
    <m/>
    <n v="0.115"/>
    <n v="460000"/>
    <m/>
    <n v="3.2000000000000001E-2"/>
    <n v="128000"/>
    <s v="Other structures"/>
    <m/>
    <m/>
    <m/>
    <n v="2.3E-2"/>
    <n v="92000"/>
    <s v="Low cost high benefit"/>
    <n v="1"/>
    <m/>
    <m/>
    <m/>
    <n v="0"/>
    <m/>
    <m/>
    <m/>
    <m/>
    <m/>
    <n v="0"/>
    <m/>
    <m/>
    <m/>
    <m/>
    <m/>
    <n v="0"/>
    <m/>
    <m/>
    <m/>
    <m/>
    <n v="8.9999999999999993E-3"/>
    <n v="36000"/>
    <m/>
    <m/>
    <m/>
    <m/>
    <m/>
    <n v="0"/>
    <m/>
    <m/>
    <m/>
    <m/>
    <m/>
    <n v="0"/>
    <m/>
    <m/>
    <m/>
    <m/>
    <n v="1"/>
    <n v="4000000"/>
  </r>
  <r>
    <m/>
    <s v="M"/>
    <s v="M"/>
    <s v="US"/>
    <n v="52"/>
    <s v="US 52"/>
    <s v="1905-33"/>
    <x v="0"/>
    <m/>
    <s v="S"/>
    <s v="MNDOT"/>
    <n v="7"/>
    <s v="AT 280TH/CSAH 86 IN RANDOLPH TWP - CONVERT MEDIAN TO 3/4 INTERSECTION WITH U TURNS AND CONSTRUCT LEFT TURN LANE FOR U TURN MOVEMENTS WITH 3/4 INTERSECTION "/>
    <m/>
    <m/>
    <m/>
    <m/>
    <m/>
    <m/>
    <m/>
    <m/>
    <m/>
    <m/>
    <m/>
    <m/>
    <m/>
    <m/>
    <m/>
    <n v="985000"/>
    <m/>
    <m/>
    <m/>
    <m/>
    <m/>
    <m/>
    <m/>
    <m/>
    <m/>
    <m/>
    <m/>
    <m/>
    <m/>
    <m/>
    <m/>
    <m/>
    <m/>
    <m/>
    <m/>
    <n v="0"/>
    <m/>
    <m/>
    <m/>
    <m/>
    <m/>
    <m/>
    <m/>
    <m/>
    <m/>
    <m/>
    <m/>
    <m/>
    <m/>
    <m/>
    <m/>
    <m/>
    <m/>
    <m/>
    <n v="0"/>
    <m/>
    <m/>
    <m/>
    <m/>
    <m/>
    <n v="0"/>
    <m/>
    <n v="7.9056418095044392E-2"/>
    <n v="77870.571823618724"/>
    <s v="Drainage and culverts"/>
    <m/>
    <m/>
    <m/>
    <n v="0.27037563451776647"/>
    <n v="266320"/>
    <s v="Low cost high benefit"/>
    <n v="1.0000000000000004"/>
    <m/>
    <m/>
    <m/>
    <n v="0"/>
    <m/>
    <m/>
    <m/>
    <m/>
    <n v="0.65056794738718948"/>
    <n v="640809.42817638163"/>
    <m/>
    <m/>
    <m/>
    <m/>
    <m/>
    <n v="0"/>
    <m/>
    <m/>
    <m/>
    <m/>
    <m/>
    <n v="0"/>
    <m/>
    <m/>
    <m/>
    <m/>
    <m/>
    <n v="0"/>
    <m/>
    <m/>
    <m/>
    <m/>
    <m/>
    <n v="0"/>
    <m/>
    <m/>
    <m/>
    <m/>
    <n v="1.0000000000000004"/>
    <n v="985000.00000000035"/>
  </r>
  <r>
    <m/>
    <s v="M"/>
    <s v="M"/>
    <s v="US"/>
    <n v="52"/>
    <s v="US 52"/>
    <s v="1906-57"/>
    <x v="0"/>
    <m/>
    <s v="S"/>
    <s v="MNDOT"/>
    <n v="7"/>
    <s v="AT DAKOTA CSAH 66 IN VERMILLION TWP-CONSTRUCT 3/4 INTERSECTION WITH MEDIAN U TURNS AND CONSTRUCT LEFT TURN LANE"/>
    <m/>
    <m/>
    <m/>
    <m/>
    <m/>
    <m/>
    <m/>
    <m/>
    <m/>
    <m/>
    <m/>
    <m/>
    <m/>
    <m/>
    <m/>
    <n v="1000000"/>
    <m/>
    <m/>
    <m/>
    <m/>
    <m/>
    <m/>
    <m/>
    <m/>
    <m/>
    <m/>
    <m/>
    <m/>
    <m/>
    <m/>
    <m/>
    <m/>
    <m/>
    <m/>
    <m/>
    <n v="0"/>
    <m/>
    <m/>
    <m/>
    <m/>
    <m/>
    <m/>
    <m/>
    <m/>
    <m/>
    <m/>
    <m/>
    <m/>
    <m/>
    <m/>
    <m/>
    <m/>
    <m/>
    <m/>
    <n v="0"/>
    <m/>
    <m/>
    <m/>
    <m/>
    <m/>
    <n v="0"/>
    <m/>
    <n v="3.1523207445943259E-2"/>
    <n v="31523.207445943259"/>
    <s v="Drainage and culverts"/>
    <m/>
    <m/>
    <m/>
    <n v="4.6234037587383439E-2"/>
    <n v="46234.037587383442"/>
    <s v="Low cost high benefit"/>
    <n v="1"/>
    <m/>
    <m/>
    <m/>
    <n v="0"/>
    <m/>
    <m/>
    <m/>
    <m/>
    <n v="0.92224275496667329"/>
    <n v="922242.75496667332"/>
    <m/>
    <m/>
    <m/>
    <m/>
    <m/>
    <n v="0"/>
    <m/>
    <m/>
    <m/>
    <m/>
    <m/>
    <n v="0"/>
    <m/>
    <m/>
    <m/>
    <m/>
    <m/>
    <n v="0"/>
    <m/>
    <m/>
    <m/>
    <m/>
    <m/>
    <n v="0"/>
    <m/>
    <m/>
    <m/>
    <m/>
    <n v="1"/>
    <n v="1000000"/>
  </r>
  <r>
    <m/>
    <s v="M"/>
    <s v="M"/>
    <s v="US"/>
    <s v="952A"/>
    <s v="US 952A"/>
    <s v="1908-84"/>
    <x v="0"/>
    <m/>
    <s v="S"/>
    <s v="MNDOT"/>
    <n v="7"/>
    <s v="**CIMS**ON ROBERT ST FROM MENDOTA RD TO ANNAPOLIS ST IN W ST PAUL-MEDIAN BARRIER, ACCESS CLOSURES, SIGNAL REPLACEMENTS (TIED TO 173-010-007) ($702K IS CO-OP AGMT FUNDS; $3.5M IS CIMS FUNDS)"/>
    <m/>
    <m/>
    <m/>
    <m/>
    <m/>
    <m/>
    <m/>
    <m/>
    <m/>
    <m/>
    <m/>
    <m/>
    <m/>
    <m/>
    <m/>
    <n v="1952000"/>
    <m/>
    <m/>
    <m/>
    <m/>
    <m/>
    <m/>
    <m/>
    <m/>
    <m/>
    <m/>
    <m/>
    <m/>
    <m/>
    <m/>
    <m/>
    <m/>
    <m/>
    <m/>
    <m/>
    <n v="0"/>
    <n v="5452000"/>
    <m/>
    <m/>
    <m/>
    <m/>
    <m/>
    <m/>
    <m/>
    <m/>
    <m/>
    <m/>
    <m/>
    <m/>
    <m/>
    <m/>
    <m/>
    <m/>
    <m/>
    <n v="0"/>
    <m/>
    <m/>
    <m/>
    <m/>
    <m/>
    <n v="0"/>
    <m/>
    <m/>
    <n v="0"/>
    <m/>
    <m/>
    <m/>
    <m/>
    <n v="0.29870000000000002"/>
    <n v="1628720"/>
    <s v="Sustained crash locations"/>
    <n v="1"/>
    <m/>
    <m/>
    <m/>
    <n v="0"/>
    <m/>
    <m/>
    <m/>
    <m/>
    <n v="5.9299999999999999E-2"/>
    <n v="323280.00000000006"/>
    <m/>
    <m/>
    <m/>
    <m/>
    <m/>
    <n v="0"/>
    <m/>
    <m/>
    <m/>
    <m/>
    <m/>
    <n v="0"/>
    <m/>
    <m/>
    <m/>
    <m/>
    <n v="0.64200000000000002"/>
    <n v="3500000"/>
    <m/>
    <m/>
    <m/>
    <m/>
    <m/>
    <n v="0"/>
    <m/>
    <m/>
    <m/>
    <m/>
    <n v="1"/>
    <n v="5452000"/>
  </r>
  <r>
    <m/>
    <s v="M"/>
    <s v="M"/>
    <s v="MN"/>
    <n v="95"/>
    <s v="MN 95"/>
    <s v="1909-94"/>
    <x v="2"/>
    <m/>
    <s v="S"/>
    <s v="MNDOT"/>
    <n v="7"/>
    <s v="AT ARGENTA TRAIL(DAKOTA CSAH 63) IN INVER GROVE HEIGHTS-CONVERT TEMPORARY SIGNAL TO PERMANENT SIGNAL WITH ADA CROSSING, DUAL LEFT TURN LANES"/>
    <m/>
    <m/>
    <m/>
    <m/>
    <m/>
    <m/>
    <m/>
    <m/>
    <m/>
    <m/>
    <m/>
    <m/>
    <m/>
    <m/>
    <m/>
    <n v="470000"/>
    <m/>
    <m/>
    <m/>
    <m/>
    <m/>
    <m/>
    <m/>
    <m/>
    <m/>
    <m/>
    <m/>
    <m/>
    <m/>
    <m/>
    <m/>
    <m/>
    <m/>
    <m/>
    <m/>
    <n v="0"/>
    <m/>
    <m/>
    <m/>
    <m/>
    <m/>
    <m/>
    <m/>
    <m/>
    <m/>
    <m/>
    <m/>
    <m/>
    <m/>
    <m/>
    <m/>
    <m/>
    <m/>
    <m/>
    <n v="0"/>
    <m/>
    <m/>
    <m/>
    <m/>
    <m/>
    <n v="0"/>
    <m/>
    <m/>
    <n v="0"/>
    <m/>
    <m/>
    <m/>
    <m/>
    <m/>
    <n v="0"/>
    <m/>
    <n v="1"/>
    <m/>
    <m/>
    <m/>
    <n v="0"/>
    <m/>
    <m/>
    <m/>
    <m/>
    <n v="0.48717948717948717"/>
    <n v="228974.35897435897"/>
    <m/>
    <m/>
    <m/>
    <m/>
    <m/>
    <n v="0"/>
    <m/>
    <m/>
    <m/>
    <m/>
    <n v="0.51282051282051277"/>
    <n v="241025.641025641"/>
    <m/>
    <m/>
    <m/>
    <m/>
    <m/>
    <n v="0"/>
    <m/>
    <m/>
    <m/>
    <m/>
    <m/>
    <n v="0"/>
    <m/>
    <m/>
    <m/>
    <m/>
    <n v="1"/>
    <n v="470000"/>
  </r>
  <r>
    <m/>
    <n v="4"/>
    <n v="4"/>
    <s v="MN"/>
    <n v="999"/>
    <s v="MN999"/>
    <m/>
    <x v="4"/>
    <m/>
    <m/>
    <m/>
    <m/>
    <s v="DISTRICTWIDE SETASIDES -PAVEMENT PROJECT"/>
    <m/>
    <m/>
    <m/>
    <m/>
    <m/>
    <m/>
    <s v=""/>
    <m/>
    <m/>
    <s v="SETA - SETASIDE"/>
    <m/>
    <s v="STP5K"/>
    <s v="STP5K"/>
    <m/>
    <m/>
    <n v="6800000"/>
    <m/>
    <m/>
    <n v="5600000"/>
    <m/>
    <n v="5600000"/>
    <m/>
    <m/>
    <m/>
    <n v="0"/>
    <m/>
    <m/>
    <m/>
    <n v="0"/>
    <m/>
    <m/>
    <n v="1200000"/>
    <m/>
    <n v="1200000"/>
    <m/>
    <m/>
    <n v="6800000"/>
    <n v="104479943.8"/>
    <n v="50012257"/>
    <n v="2019"/>
    <m/>
    <m/>
    <m/>
    <m/>
    <m/>
    <m/>
    <m/>
    <m/>
    <m/>
    <m/>
    <m/>
    <m/>
    <m/>
    <n v="0.5"/>
    <n v="3400000"/>
    <s v="Reconstruction"/>
    <m/>
    <m/>
    <m/>
    <m/>
    <n v="0"/>
    <m/>
    <n v="0.15"/>
    <n v="1020000"/>
    <m/>
    <m/>
    <m/>
    <m/>
    <n v="0.03"/>
    <n v="204000"/>
    <s v="Lower cost high benefit"/>
    <m/>
    <m/>
    <m/>
    <m/>
    <n v="0"/>
    <m/>
    <m/>
    <m/>
    <m/>
    <m/>
    <n v="0"/>
    <m/>
    <m/>
    <m/>
    <m/>
    <n v="0.02"/>
    <n v="136000"/>
    <m/>
    <m/>
    <m/>
    <m/>
    <n v="0.02"/>
    <n v="136000"/>
    <m/>
    <m/>
    <m/>
    <m/>
    <n v="0.28000000000000003"/>
    <n v="1904000.0000000002"/>
    <s v="District program"/>
    <m/>
    <m/>
    <m/>
    <m/>
    <n v="0"/>
    <m/>
    <m/>
    <m/>
    <m/>
    <n v="1"/>
    <n v="6800000"/>
  </r>
  <r>
    <m/>
    <s v="M"/>
    <s v="M"/>
    <s v="MN"/>
    <n v="55"/>
    <s v="MN 55"/>
    <s v="1909-95"/>
    <x v="0"/>
    <m/>
    <s v="S"/>
    <s v="MNDOT"/>
    <n v="7"/>
    <s v="FROM N JCT MN149 TO S JCT MN149 IN EAGAN- WIDEN FROM 4-LANE SECTION TO 6-LANE SECTION"/>
    <m/>
    <m/>
    <m/>
    <m/>
    <m/>
    <m/>
    <m/>
    <m/>
    <m/>
    <m/>
    <m/>
    <m/>
    <m/>
    <m/>
    <m/>
    <n v="300000"/>
    <m/>
    <m/>
    <m/>
    <m/>
    <m/>
    <m/>
    <m/>
    <m/>
    <m/>
    <m/>
    <m/>
    <m/>
    <m/>
    <m/>
    <m/>
    <m/>
    <m/>
    <m/>
    <m/>
    <n v="0"/>
    <m/>
    <m/>
    <m/>
    <m/>
    <m/>
    <m/>
    <m/>
    <m/>
    <m/>
    <m/>
    <m/>
    <m/>
    <m/>
    <m/>
    <m/>
    <m/>
    <m/>
    <m/>
    <n v="0"/>
    <m/>
    <m/>
    <m/>
    <m/>
    <m/>
    <n v="0"/>
    <m/>
    <m/>
    <n v="0"/>
    <m/>
    <m/>
    <m/>
    <m/>
    <m/>
    <n v="0"/>
    <m/>
    <n v="1"/>
    <m/>
    <m/>
    <m/>
    <n v="0"/>
    <m/>
    <m/>
    <m/>
    <m/>
    <n v="1"/>
    <n v="300000"/>
    <m/>
    <m/>
    <m/>
    <m/>
    <m/>
    <n v="0"/>
    <m/>
    <m/>
    <m/>
    <m/>
    <m/>
    <n v="0"/>
    <m/>
    <m/>
    <m/>
    <m/>
    <m/>
    <n v="0"/>
    <m/>
    <m/>
    <m/>
    <m/>
    <m/>
    <n v="0"/>
    <m/>
    <m/>
    <m/>
    <m/>
    <n v="1"/>
    <n v="300000"/>
  </r>
  <r>
    <m/>
    <s v="M"/>
    <s v="M"/>
    <s v="US"/>
    <s v="61"/>
    <s v="US 61"/>
    <s v="1913-64B"/>
    <x v="0"/>
    <m/>
    <s v="S"/>
    <s v="MNDOT"/>
    <n v="7"/>
    <s v="**MN261**HASTINGS BRIDGE 19004(2010 APPROPRIATIONS ACT-STP)"/>
    <m/>
    <m/>
    <m/>
    <m/>
    <m/>
    <m/>
    <m/>
    <m/>
    <m/>
    <m/>
    <m/>
    <m/>
    <m/>
    <m/>
    <m/>
    <n v="291967"/>
    <m/>
    <m/>
    <m/>
    <m/>
    <m/>
    <m/>
    <m/>
    <m/>
    <m/>
    <m/>
    <m/>
    <m/>
    <m/>
    <m/>
    <m/>
    <m/>
    <m/>
    <m/>
    <m/>
    <n v="0"/>
    <m/>
    <m/>
    <m/>
    <m/>
    <m/>
    <m/>
    <m/>
    <m/>
    <m/>
    <m/>
    <m/>
    <m/>
    <m/>
    <m/>
    <m/>
    <m/>
    <m/>
    <m/>
    <n v="0"/>
    <m/>
    <m/>
    <m/>
    <m/>
    <n v="1"/>
    <n v="291967"/>
    <m/>
    <m/>
    <n v="0"/>
    <m/>
    <m/>
    <m/>
    <m/>
    <m/>
    <n v="0"/>
    <m/>
    <n v="1"/>
    <m/>
    <m/>
    <m/>
    <n v="0"/>
    <m/>
    <m/>
    <m/>
    <m/>
    <m/>
    <n v="0"/>
    <m/>
    <m/>
    <m/>
    <m/>
    <m/>
    <n v="0"/>
    <m/>
    <m/>
    <m/>
    <m/>
    <m/>
    <n v="0"/>
    <m/>
    <m/>
    <m/>
    <m/>
    <m/>
    <n v="0"/>
    <m/>
    <m/>
    <m/>
    <m/>
    <m/>
    <n v="0"/>
    <m/>
    <m/>
    <m/>
    <m/>
    <n v="1"/>
    <n v="291967"/>
  </r>
  <r>
    <m/>
    <s v="M"/>
    <s v="M"/>
    <s v="US"/>
    <s v="61"/>
    <s v="US 61"/>
    <s v="1913-64E"/>
    <x v="0"/>
    <m/>
    <s v="S"/>
    <s v="MNDOT"/>
    <n v="7"/>
    <s v="**MN261**HASTINGS BRIDGE 19004 - NATIONAL PARK SERVICE MITIGATION, BIRD STUDY PHASE I (2010 APPROPRIATIONS ACT-STP)"/>
    <m/>
    <m/>
    <m/>
    <m/>
    <m/>
    <m/>
    <m/>
    <m/>
    <m/>
    <m/>
    <m/>
    <m/>
    <m/>
    <m/>
    <m/>
    <n v="50000"/>
    <m/>
    <m/>
    <m/>
    <m/>
    <m/>
    <m/>
    <m/>
    <m/>
    <m/>
    <m/>
    <m/>
    <m/>
    <m/>
    <m/>
    <m/>
    <m/>
    <m/>
    <m/>
    <m/>
    <n v="0"/>
    <m/>
    <m/>
    <m/>
    <m/>
    <m/>
    <m/>
    <m/>
    <m/>
    <m/>
    <m/>
    <m/>
    <m/>
    <m/>
    <m/>
    <m/>
    <m/>
    <m/>
    <m/>
    <n v="0"/>
    <m/>
    <m/>
    <m/>
    <m/>
    <m/>
    <n v="0"/>
    <m/>
    <m/>
    <n v="0"/>
    <m/>
    <m/>
    <m/>
    <m/>
    <m/>
    <n v="0"/>
    <m/>
    <n v="1"/>
    <m/>
    <m/>
    <m/>
    <n v="0"/>
    <m/>
    <m/>
    <m/>
    <m/>
    <m/>
    <n v="0"/>
    <m/>
    <m/>
    <m/>
    <m/>
    <m/>
    <n v="0"/>
    <m/>
    <m/>
    <m/>
    <m/>
    <m/>
    <n v="0"/>
    <m/>
    <m/>
    <m/>
    <m/>
    <n v="1"/>
    <n v="50000"/>
    <m/>
    <m/>
    <m/>
    <m/>
    <m/>
    <n v="0"/>
    <m/>
    <m/>
    <m/>
    <m/>
    <n v="1"/>
    <n v="50000"/>
  </r>
  <r>
    <m/>
    <s v="M"/>
    <s v="M"/>
    <s v="US"/>
    <s v="61"/>
    <s v="US 61"/>
    <s v="1913-75"/>
    <x v="0"/>
    <m/>
    <s v="S"/>
    <s v="MNDOT"/>
    <n v="7"/>
    <s v="FROM 4TH ST IN HASTINGS TO I-94 IN ST PAUL-FREEWAY MANAGEMENT SYSTEM ON TH 61"/>
    <m/>
    <m/>
    <m/>
    <m/>
    <m/>
    <m/>
    <m/>
    <m/>
    <m/>
    <m/>
    <m/>
    <m/>
    <m/>
    <m/>
    <m/>
    <n v="3744000"/>
    <m/>
    <m/>
    <m/>
    <m/>
    <m/>
    <m/>
    <m/>
    <m/>
    <m/>
    <m/>
    <m/>
    <m/>
    <m/>
    <m/>
    <m/>
    <m/>
    <m/>
    <m/>
    <m/>
    <n v="0"/>
    <m/>
    <m/>
    <m/>
    <m/>
    <m/>
    <m/>
    <m/>
    <m/>
    <m/>
    <m/>
    <m/>
    <m/>
    <m/>
    <m/>
    <m/>
    <m/>
    <m/>
    <m/>
    <n v="0"/>
    <m/>
    <m/>
    <m/>
    <m/>
    <m/>
    <n v="0"/>
    <m/>
    <m/>
    <n v="0"/>
    <m/>
    <m/>
    <m/>
    <m/>
    <m/>
    <n v="0"/>
    <m/>
    <n v="1"/>
    <m/>
    <m/>
    <m/>
    <n v="0"/>
    <m/>
    <m/>
    <m/>
    <m/>
    <n v="1"/>
    <n v="3744000"/>
    <m/>
    <m/>
    <m/>
    <m/>
    <m/>
    <n v="0"/>
    <m/>
    <m/>
    <m/>
    <m/>
    <m/>
    <n v="0"/>
    <m/>
    <m/>
    <m/>
    <m/>
    <m/>
    <n v="0"/>
    <m/>
    <m/>
    <m/>
    <m/>
    <m/>
    <n v="0"/>
    <m/>
    <m/>
    <m/>
    <m/>
    <n v="1"/>
    <n v="3744000"/>
  </r>
  <r>
    <m/>
    <s v="M"/>
    <s v="M"/>
    <s v="MN"/>
    <n v="149"/>
    <s v="MN 149"/>
    <s v="1917-45"/>
    <x v="1"/>
    <m/>
    <s v="S"/>
    <s v="MNDOT"/>
    <n v="7"/>
    <s v="**AB**FROM N JCT MN55 IN EAGAN TO MN5 IN ST. PAUL- PAVEMENT PRESERVATION, ADA AND DRAINAGE"/>
    <m/>
    <m/>
    <m/>
    <m/>
    <m/>
    <m/>
    <m/>
    <m/>
    <m/>
    <m/>
    <m/>
    <m/>
    <m/>
    <m/>
    <m/>
    <n v="6895000"/>
    <m/>
    <m/>
    <m/>
    <m/>
    <m/>
    <m/>
    <m/>
    <m/>
    <m/>
    <m/>
    <m/>
    <m/>
    <m/>
    <m/>
    <m/>
    <m/>
    <m/>
    <m/>
    <m/>
    <n v="0"/>
    <m/>
    <m/>
    <m/>
    <m/>
    <m/>
    <m/>
    <m/>
    <m/>
    <m/>
    <m/>
    <m/>
    <m/>
    <m/>
    <m/>
    <m/>
    <m/>
    <m/>
    <n v="0.81350322432974298"/>
    <n v="5609104.7317535775"/>
    <m/>
    <m/>
    <m/>
    <m/>
    <m/>
    <n v="0"/>
    <m/>
    <n v="0.10241021875660887"/>
    <n v="706118.45832681819"/>
    <s v="Drainage and culverts"/>
    <m/>
    <m/>
    <m/>
    <m/>
    <n v="0"/>
    <m/>
    <n v="1"/>
    <m/>
    <m/>
    <m/>
    <n v="0"/>
    <m/>
    <m/>
    <m/>
    <m/>
    <n v="1.501404234839239E-2"/>
    <n v="103521.82199216553"/>
    <m/>
    <m/>
    <m/>
    <m/>
    <m/>
    <n v="0"/>
    <m/>
    <m/>
    <m/>
    <m/>
    <n v="6.9072514565255802E-2"/>
    <n v="476254.98792743875"/>
    <m/>
    <m/>
    <m/>
    <m/>
    <m/>
    <n v="0"/>
    <m/>
    <m/>
    <m/>
    <m/>
    <m/>
    <n v="0"/>
    <m/>
    <m/>
    <m/>
    <m/>
    <n v="1"/>
    <n v="6895000"/>
  </r>
  <r>
    <m/>
    <s v="M"/>
    <s v="M"/>
    <s v="MN"/>
    <n v="149"/>
    <s v="MN 149"/>
    <s v="1917-48"/>
    <x v="1"/>
    <m/>
    <s v="S"/>
    <s v="MNDOT"/>
    <n v="7"/>
    <s v="OFF RAMP FROM I494 TO MN149 IN MENDOTA HEIGHTS-LEFT TURN LANE, DRAINAGE, ADA, CURB &amp; GUTTER"/>
    <m/>
    <m/>
    <m/>
    <m/>
    <m/>
    <m/>
    <m/>
    <m/>
    <m/>
    <m/>
    <m/>
    <m/>
    <m/>
    <m/>
    <m/>
    <n v="185000"/>
    <m/>
    <m/>
    <m/>
    <m/>
    <m/>
    <m/>
    <m/>
    <m/>
    <m/>
    <m/>
    <m/>
    <m/>
    <m/>
    <m/>
    <m/>
    <m/>
    <m/>
    <m/>
    <m/>
    <n v="0"/>
    <m/>
    <m/>
    <m/>
    <m/>
    <m/>
    <m/>
    <m/>
    <m/>
    <m/>
    <m/>
    <m/>
    <m/>
    <m/>
    <m/>
    <m/>
    <m/>
    <m/>
    <m/>
    <n v="0"/>
    <m/>
    <m/>
    <m/>
    <m/>
    <m/>
    <n v="0"/>
    <m/>
    <n v="1.6237651389537287E-2"/>
    <n v="3003.965507064398"/>
    <s v="Drainage and culverts"/>
    <m/>
    <m/>
    <m/>
    <m/>
    <n v="0"/>
    <m/>
    <n v="1.0000000000000002"/>
    <m/>
    <m/>
    <m/>
    <n v="0"/>
    <m/>
    <m/>
    <m/>
    <m/>
    <n v="0.94776234861046293"/>
    <n v="175336.03449293564"/>
    <m/>
    <m/>
    <m/>
    <m/>
    <m/>
    <n v="0"/>
    <m/>
    <m/>
    <m/>
    <m/>
    <n v="3.5999999999999997E-2"/>
    <n v="6659.9999999999991"/>
    <m/>
    <m/>
    <m/>
    <m/>
    <m/>
    <n v="0"/>
    <m/>
    <m/>
    <m/>
    <m/>
    <m/>
    <n v="0"/>
    <m/>
    <m/>
    <m/>
    <m/>
    <n v="1.0000000000000002"/>
    <n v="185000.00000000003"/>
  </r>
  <r>
    <m/>
    <s v="M"/>
    <s v="M"/>
    <s v="MN"/>
    <n v="110"/>
    <s v="MN 110"/>
    <s v="1918-108"/>
    <x v="0"/>
    <m/>
    <s v="S"/>
    <s v="MNDOT"/>
    <n v="7"/>
    <s v="AT DAKOTA CR 43(LEXINGTON AVE) IN MENDOTA HEIGHTS-REPLACE TRAFFIC SIGNAL, INSTALL APS &amp; ADA RAMPS"/>
    <m/>
    <m/>
    <m/>
    <m/>
    <m/>
    <m/>
    <m/>
    <m/>
    <m/>
    <m/>
    <m/>
    <m/>
    <m/>
    <m/>
    <m/>
    <n v="250000"/>
    <m/>
    <m/>
    <m/>
    <m/>
    <m/>
    <m/>
    <m/>
    <m/>
    <m/>
    <m/>
    <m/>
    <m/>
    <m/>
    <m/>
    <m/>
    <m/>
    <m/>
    <m/>
    <m/>
    <n v="125000"/>
    <m/>
    <m/>
    <m/>
    <m/>
    <m/>
    <m/>
    <m/>
    <m/>
    <m/>
    <m/>
    <m/>
    <m/>
    <m/>
    <m/>
    <m/>
    <m/>
    <m/>
    <m/>
    <n v="0"/>
    <m/>
    <m/>
    <m/>
    <m/>
    <m/>
    <n v="0"/>
    <m/>
    <n v="0.5"/>
    <n v="62500"/>
    <s v="Signals"/>
    <m/>
    <m/>
    <m/>
    <m/>
    <n v="0"/>
    <m/>
    <n v="1"/>
    <m/>
    <m/>
    <m/>
    <n v="0"/>
    <m/>
    <m/>
    <m/>
    <m/>
    <m/>
    <n v="0"/>
    <m/>
    <m/>
    <m/>
    <m/>
    <m/>
    <n v="0"/>
    <m/>
    <m/>
    <m/>
    <m/>
    <n v="0.5"/>
    <n v="62500"/>
    <m/>
    <m/>
    <m/>
    <m/>
    <m/>
    <n v="0"/>
    <m/>
    <m/>
    <m/>
    <m/>
    <m/>
    <n v="0"/>
    <m/>
    <m/>
    <m/>
    <m/>
    <n v="1"/>
    <n v="125000"/>
  </r>
  <r>
    <m/>
    <s v="M"/>
    <s v="M"/>
    <s v="MN"/>
    <n v="110"/>
    <s v="MN 110"/>
    <s v="1918-110"/>
    <x v="9"/>
    <m/>
    <s v="S"/>
    <s v="MNDOT"/>
    <n v="7"/>
    <s v="**AB**JUST E I35E IN MENDOTA HTS TO I494 IN INVER GROVE HTS-RECLAMATION/WHITE TOPPING"/>
    <m/>
    <m/>
    <m/>
    <m/>
    <m/>
    <m/>
    <m/>
    <m/>
    <m/>
    <m/>
    <m/>
    <m/>
    <m/>
    <m/>
    <m/>
    <n v="6000000"/>
    <m/>
    <m/>
    <m/>
    <m/>
    <m/>
    <m/>
    <m/>
    <m/>
    <m/>
    <m/>
    <m/>
    <m/>
    <m/>
    <m/>
    <m/>
    <m/>
    <m/>
    <m/>
    <m/>
    <n v="0"/>
    <m/>
    <m/>
    <m/>
    <m/>
    <m/>
    <m/>
    <m/>
    <m/>
    <m/>
    <m/>
    <m/>
    <m/>
    <m/>
    <m/>
    <m/>
    <m/>
    <m/>
    <n v="0.91344520000475904"/>
    <n v="5480671.2000285545"/>
    <m/>
    <m/>
    <m/>
    <m/>
    <m/>
    <n v="0"/>
    <m/>
    <n v="5.2159620198445444E-2"/>
    <n v="312957.72119067266"/>
    <s v="Signs"/>
    <m/>
    <m/>
    <m/>
    <m/>
    <n v="0"/>
    <m/>
    <n v="1"/>
    <m/>
    <m/>
    <m/>
    <n v="0"/>
    <m/>
    <m/>
    <m/>
    <m/>
    <n v="1.8272433633694699E-2"/>
    <n v="109634.6018021682"/>
    <m/>
    <m/>
    <m/>
    <m/>
    <m/>
    <n v="0"/>
    <m/>
    <m/>
    <m/>
    <m/>
    <n v="1.6122746163100801E-2"/>
    <n v="96736.476978604798"/>
    <m/>
    <m/>
    <m/>
    <m/>
    <m/>
    <n v="0"/>
    <m/>
    <m/>
    <m/>
    <m/>
    <m/>
    <n v="0"/>
    <m/>
    <m/>
    <m/>
    <m/>
    <n v="1"/>
    <n v="6000000"/>
  </r>
  <r>
    <m/>
    <s v="M"/>
    <s v="M"/>
    <s v="MN"/>
    <n v="3"/>
    <s v="MN 3"/>
    <s v="1920-41"/>
    <x v="9"/>
    <m/>
    <s v="S"/>
    <s v="MNDOT"/>
    <n v="7"/>
    <s v="JUST S MN50 IN CASTLE ROCK TWP TO JUST N 170TH ST IN EMPIRE TWP-MILL AND OVERLAY"/>
    <m/>
    <m/>
    <m/>
    <m/>
    <m/>
    <m/>
    <m/>
    <m/>
    <m/>
    <m/>
    <m/>
    <m/>
    <m/>
    <m/>
    <m/>
    <n v="3500000"/>
    <m/>
    <m/>
    <m/>
    <m/>
    <m/>
    <m/>
    <m/>
    <m/>
    <m/>
    <m/>
    <m/>
    <m/>
    <m/>
    <m/>
    <m/>
    <m/>
    <m/>
    <m/>
    <m/>
    <n v="0"/>
    <m/>
    <m/>
    <m/>
    <m/>
    <m/>
    <m/>
    <m/>
    <m/>
    <m/>
    <m/>
    <m/>
    <m/>
    <m/>
    <m/>
    <m/>
    <m/>
    <m/>
    <n v="0.90523432532920334"/>
    <n v="3168320.1386522115"/>
    <m/>
    <m/>
    <m/>
    <m/>
    <m/>
    <n v="0"/>
    <m/>
    <n v="2.5935728224060799E-2"/>
    <n v="90775.048784212791"/>
    <s v="Drainage and culverts"/>
    <m/>
    <m/>
    <m/>
    <m/>
    <n v="0"/>
    <m/>
    <n v="0.99999999999999989"/>
    <m/>
    <m/>
    <m/>
    <n v="0"/>
    <m/>
    <m/>
    <m/>
    <m/>
    <n v="1.0216589068616446E-2"/>
    <n v="35758.061740157558"/>
    <m/>
    <m/>
    <m/>
    <m/>
    <m/>
    <n v="0"/>
    <m/>
    <m/>
    <m/>
    <m/>
    <n v="5.8613357378119367E-2"/>
    <n v="205146.75082341779"/>
    <m/>
    <m/>
    <m/>
    <m/>
    <m/>
    <n v="0"/>
    <m/>
    <m/>
    <m/>
    <m/>
    <m/>
    <n v="0"/>
    <m/>
    <m/>
    <m/>
    <m/>
    <n v="0.99999999999999989"/>
    <n v="3499999.9999999995"/>
  </r>
  <r>
    <m/>
    <s v="M"/>
    <s v="M"/>
    <s v="MN"/>
    <n v="77"/>
    <s v="MN 77"/>
    <s v="1925-52"/>
    <x v="1"/>
    <m/>
    <s v="S"/>
    <s v="MNDOT"/>
    <n v="7"/>
    <s v="OVER MN RIVER IN BLOOMINGTON AND EAGAN-PAINT NB BRIDGE 9600N, SB 9600S AND PED BRIDGE 9600F AND REPLACE GUARDRAIL"/>
    <m/>
    <m/>
    <m/>
    <m/>
    <m/>
    <m/>
    <m/>
    <m/>
    <m/>
    <m/>
    <m/>
    <m/>
    <m/>
    <m/>
    <m/>
    <n v="2140000"/>
    <m/>
    <m/>
    <m/>
    <m/>
    <m/>
    <m/>
    <m/>
    <m/>
    <m/>
    <m/>
    <m/>
    <m/>
    <m/>
    <m/>
    <m/>
    <m/>
    <m/>
    <m/>
    <m/>
    <n v="0"/>
    <m/>
    <m/>
    <m/>
    <m/>
    <m/>
    <m/>
    <m/>
    <m/>
    <m/>
    <m/>
    <m/>
    <m/>
    <m/>
    <m/>
    <m/>
    <m/>
    <m/>
    <m/>
    <n v="0"/>
    <m/>
    <m/>
    <m/>
    <m/>
    <n v="0.91913694804912294"/>
    <n v="1966953.0688251231"/>
    <m/>
    <n v="8.0863051950877091E-2"/>
    <n v="173046.93117487698"/>
    <s v="Guardrails and fencing"/>
    <m/>
    <m/>
    <m/>
    <m/>
    <n v="0"/>
    <m/>
    <n v="1"/>
    <m/>
    <m/>
    <m/>
    <n v="0"/>
    <m/>
    <m/>
    <m/>
    <m/>
    <m/>
    <n v="0"/>
    <m/>
    <m/>
    <m/>
    <m/>
    <m/>
    <n v="0"/>
    <m/>
    <m/>
    <m/>
    <m/>
    <m/>
    <n v="0"/>
    <m/>
    <m/>
    <m/>
    <m/>
    <m/>
    <n v="0"/>
    <m/>
    <m/>
    <m/>
    <m/>
    <m/>
    <n v="0"/>
    <m/>
    <m/>
    <m/>
    <m/>
    <n v="1"/>
    <n v="2140000"/>
  </r>
  <r>
    <m/>
    <n v="6"/>
    <n v="6"/>
    <s v="MN"/>
    <n v="999"/>
    <s v="MN 999"/>
    <s v="8806-BR-20"/>
    <x v="5"/>
    <m/>
    <s v="S"/>
    <s v="MNDOT"/>
    <m/>
    <s v="DISTRICTWIDE SETASIDE - BRIDGE REPLACEMENT"/>
    <m/>
    <m/>
    <m/>
    <m/>
    <m/>
    <m/>
    <m/>
    <m/>
    <m/>
    <m/>
    <m/>
    <m/>
    <m/>
    <m/>
    <m/>
    <n v="3500000"/>
    <m/>
    <m/>
    <n v="0"/>
    <m/>
    <m/>
    <m/>
    <n v="0"/>
    <m/>
    <m/>
    <m/>
    <n v="0"/>
    <m/>
    <m/>
    <m/>
    <m/>
    <n v="3500000"/>
    <m/>
    <m/>
    <m/>
    <m/>
    <n v="3500000"/>
    <m/>
    <m/>
    <n v="2020"/>
    <m/>
    <m/>
    <m/>
    <m/>
    <m/>
    <m/>
    <m/>
    <m/>
    <m/>
    <m/>
    <m/>
    <m/>
    <m/>
    <m/>
    <m/>
    <m/>
    <m/>
    <m/>
    <m/>
    <n v="0.92900000000000005"/>
    <n v="3251500"/>
    <m/>
    <m/>
    <m/>
    <m/>
    <m/>
    <m/>
    <m/>
    <m/>
    <m/>
    <m/>
    <m/>
    <m/>
    <m/>
    <m/>
    <m/>
    <m/>
    <m/>
    <m/>
    <m/>
    <m/>
    <m/>
    <m/>
    <m/>
    <m/>
    <m/>
    <n v="3.5000000000000003E-2"/>
    <n v="122500.00000000001"/>
    <m/>
    <m/>
    <m/>
    <m/>
    <n v="3.5999999999999997E-2"/>
    <n v="125999.99999999999"/>
    <m/>
    <m/>
    <m/>
    <m/>
    <m/>
    <m/>
    <m/>
    <m/>
    <m/>
    <m/>
    <m/>
    <m/>
    <m/>
    <m/>
    <m/>
    <m/>
    <n v="1"/>
    <n v="3500000"/>
  </r>
  <r>
    <m/>
    <n v="6"/>
    <n v="6"/>
    <s v="MN"/>
    <n v="999"/>
    <s v="MN 999"/>
    <s v="8806-BR-22"/>
    <x v="6"/>
    <m/>
    <s v="S"/>
    <s v="MNDOT"/>
    <m/>
    <s v="DISTRICTWIDE SETASIDES - BRIDGE REPLACEMENT - 2022"/>
    <m/>
    <m/>
    <n v="0"/>
    <m/>
    <s v="DISTRICTWIDE"/>
    <s v="BR"/>
    <s v="1-B "/>
    <s v="1-B"/>
    <m/>
    <s v="SETA - SET ASIDE"/>
    <s v="BRIDGE REPLACEMENT"/>
    <s v="STP STATEWIDE  "/>
    <s v="STP Statewide"/>
    <m/>
    <m/>
    <n v="3500000"/>
    <n v="0"/>
    <n v="0"/>
    <n v="0"/>
    <n v="0"/>
    <n v="0"/>
    <n v="0"/>
    <n v="0"/>
    <n v="0"/>
    <n v="0"/>
    <n v="0"/>
    <n v="0"/>
    <n v="0"/>
    <n v="0"/>
    <n v="0"/>
    <n v="0"/>
    <n v="3500000"/>
    <n v="0"/>
    <n v="3500000"/>
    <n v="0"/>
    <n v="0"/>
    <n v="3500000"/>
    <m/>
    <m/>
    <n v="2021"/>
    <m/>
    <m/>
    <m/>
    <m/>
    <m/>
    <m/>
    <m/>
    <m/>
    <m/>
    <m/>
    <m/>
    <m/>
    <m/>
    <m/>
    <n v="0"/>
    <m/>
    <m/>
    <m/>
    <m/>
    <n v="0.92900000000000005"/>
    <n v="3251500"/>
    <m/>
    <m/>
    <n v="0"/>
    <m/>
    <m/>
    <m/>
    <m/>
    <m/>
    <n v="0"/>
    <m/>
    <m/>
    <m/>
    <m/>
    <m/>
    <n v="0"/>
    <m/>
    <m/>
    <m/>
    <m/>
    <m/>
    <n v="0"/>
    <m/>
    <m/>
    <m/>
    <m/>
    <n v="3.5000000000000003E-2"/>
    <n v="122500.00000000001"/>
    <m/>
    <m/>
    <m/>
    <m/>
    <n v="3.5999999999999997E-2"/>
    <n v="125999.99999999999"/>
    <m/>
    <m/>
    <m/>
    <m/>
    <m/>
    <n v="0"/>
    <m/>
    <m/>
    <m/>
    <m/>
    <m/>
    <n v="0"/>
    <m/>
    <m/>
    <m/>
    <m/>
    <n v="1"/>
    <n v="3500000"/>
  </r>
  <r>
    <m/>
    <n v="6"/>
    <n v="6"/>
    <s v="MN"/>
    <n v="999"/>
    <s v="MN 999"/>
    <s v="8806-BR-22"/>
    <x v="7"/>
    <m/>
    <s v="S"/>
    <s v="MNDOT"/>
    <m/>
    <s v="DISTRICTWIDE SETASIDES - BRIDGE REPLACEMENT - 2022"/>
    <m/>
    <m/>
    <n v="0"/>
    <m/>
    <s v="DISTRICTWIDE"/>
    <s v="BR"/>
    <s v="1-B "/>
    <s v="1-B"/>
    <m/>
    <s v="SETA - SET ASIDE"/>
    <s v="BRIDGE REPLACEMENT"/>
    <s v="STP STATEWIDE  "/>
    <s v="STP Statewide"/>
    <m/>
    <m/>
    <n v="3500000"/>
    <n v="0"/>
    <n v="0"/>
    <n v="0"/>
    <n v="0"/>
    <n v="0"/>
    <n v="0"/>
    <n v="0"/>
    <n v="0"/>
    <n v="0"/>
    <n v="0"/>
    <n v="0"/>
    <n v="0"/>
    <n v="0"/>
    <n v="0"/>
    <n v="0"/>
    <n v="3500000"/>
    <n v="0"/>
    <n v="3500000"/>
    <n v="0"/>
    <n v="0"/>
    <n v="3500000"/>
    <m/>
    <m/>
    <n v="2022"/>
    <m/>
    <m/>
    <m/>
    <m/>
    <m/>
    <m/>
    <m/>
    <m/>
    <m/>
    <m/>
    <m/>
    <m/>
    <m/>
    <m/>
    <n v="0"/>
    <m/>
    <m/>
    <m/>
    <m/>
    <n v="0.92900000000000005"/>
    <n v="3251500"/>
    <m/>
    <m/>
    <n v="0"/>
    <m/>
    <m/>
    <m/>
    <m/>
    <m/>
    <n v="0"/>
    <m/>
    <m/>
    <m/>
    <m/>
    <m/>
    <n v="0"/>
    <m/>
    <m/>
    <m/>
    <m/>
    <m/>
    <n v="0"/>
    <m/>
    <m/>
    <m/>
    <m/>
    <n v="3.5000000000000003E-2"/>
    <n v="122500.00000000001"/>
    <m/>
    <m/>
    <m/>
    <m/>
    <n v="3.5999999999999997E-2"/>
    <n v="125999.99999999999"/>
    <m/>
    <m/>
    <m/>
    <m/>
    <m/>
    <n v="0"/>
    <m/>
    <m/>
    <m/>
    <m/>
    <m/>
    <n v="0"/>
    <m/>
    <m/>
    <m/>
    <m/>
    <n v="1"/>
    <n v="3500000"/>
  </r>
  <r>
    <m/>
    <n v="6"/>
    <n v="6"/>
    <s v="MN"/>
    <n v="999"/>
    <s v="MN 999"/>
    <s v="8806-BR-23"/>
    <x v="8"/>
    <m/>
    <s v="S"/>
    <s v="MNDOT"/>
    <m/>
    <s v="DISTRICTWIDE SETASIDES - BRIDGE REPLACEMENT - 2023"/>
    <m/>
    <m/>
    <n v="0"/>
    <m/>
    <s v="DISTRICTWIDE"/>
    <s v="BR"/>
    <s v="1-B "/>
    <s v="1-B"/>
    <m/>
    <s v="SETA - SET ASIDE"/>
    <s v="BRIDGE REPLACEMENT"/>
    <s v="STP STATEWIDE  "/>
    <s v="STP Statewide"/>
    <m/>
    <m/>
    <n v="3500000"/>
    <n v="0"/>
    <n v="0"/>
    <n v="0"/>
    <n v="0"/>
    <n v="0"/>
    <n v="0"/>
    <n v="0"/>
    <n v="0"/>
    <n v="0"/>
    <n v="0"/>
    <n v="0"/>
    <n v="0"/>
    <n v="0"/>
    <n v="0"/>
    <n v="0"/>
    <n v="3500000"/>
    <n v="0"/>
    <n v="3500000"/>
    <n v="0"/>
    <n v="0"/>
    <n v="3500000"/>
    <m/>
    <m/>
    <n v="2023"/>
    <m/>
    <m/>
    <m/>
    <m/>
    <m/>
    <m/>
    <m/>
    <m/>
    <m/>
    <m/>
    <m/>
    <m/>
    <m/>
    <m/>
    <n v="0"/>
    <m/>
    <m/>
    <m/>
    <m/>
    <n v="0.92900000000000005"/>
    <n v="3251500"/>
    <m/>
    <m/>
    <n v="0"/>
    <m/>
    <m/>
    <m/>
    <m/>
    <m/>
    <n v="0"/>
    <m/>
    <m/>
    <m/>
    <m/>
    <m/>
    <n v="0"/>
    <m/>
    <m/>
    <m/>
    <m/>
    <m/>
    <n v="0"/>
    <m/>
    <m/>
    <m/>
    <m/>
    <n v="3.5000000000000003E-2"/>
    <n v="122500.00000000001"/>
    <m/>
    <m/>
    <m/>
    <m/>
    <n v="3.5999999999999997E-2"/>
    <n v="125999.99999999999"/>
    <m/>
    <m/>
    <m/>
    <m/>
    <m/>
    <n v="0"/>
    <m/>
    <m/>
    <m/>
    <m/>
    <m/>
    <n v="0"/>
    <m/>
    <m/>
    <m/>
    <m/>
    <n v="1"/>
    <n v="3500000"/>
  </r>
  <r>
    <m/>
    <s v="M"/>
    <s v="M"/>
    <s v="MN"/>
    <n v="77"/>
    <s v="MN 77"/>
    <s v="1925-56"/>
    <x v="2"/>
    <m/>
    <s v="S"/>
    <s v="MNDOT"/>
    <n v="7"/>
    <s v="AT DAKOTA CSAH32 (CLIFF RD) OVER MN77 IN EAGAN - MILL, LOW SLUMP OVERLAY, REPLACE JOINTS BRIDGE# 19067"/>
    <m/>
    <m/>
    <m/>
    <m/>
    <m/>
    <m/>
    <m/>
    <m/>
    <m/>
    <m/>
    <m/>
    <m/>
    <m/>
    <m/>
    <m/>
    <n v="575000"/>
    <m/>
    <m/>
    <m/>
    <m/>
    <m/>
    <m/>
    <m/>
    <m/>
    <m/>
    <m/>
    <m/>
    <m/>
    <m/>
    <m/>
    <m/>
    <m/>
    <m/>
    <m/>
    <m/>
    <n v="0"/>
    <m/>
    <m/>
    <m/>
    <m/>
    <m/>
    <m/>
    <m/>
    <m/>
    <m/>
    <m/>
    <m/>
    <m/>
    <m/>
    <m/>
    <m/>
    <m/>
    <m/>
    <m/>
    <n v="0"/>
    <m/>
    <m/>
    <m/>
    <m/>
    <n v="1"/>
    <n v="575000"/>
    <m/>
    <m/>
    <n v="0"/>
    <m/>
    <m/>
    <m/>
    <m/>
    <m/>
    <n v="0"/>
    <m/>
    <n v="1"/>
    <m/>
    <m/>
    <m/>
    <n v="0"/>
    <m/>
    <m/>
    <m/>
    <m/>
    <m/>
    <n v="0"/>
    <m/>
    <m/>
    <m/>
    <m/>
    <m/>
    <n v="0"/>
    <m/>
    <m/>
    <m/>
    <m/>
    <m/>
    <n v="0"/>
    <m/>
    <m/>
    <m/>
    <m/>
    <m/>
    <n v="0"/>
    <m/>
    <m/>
    <m/>
    <m/>
    <m/>
    <n v="0"/>
    <m/>
    <m/>
    <m/>
    <m/>
    <n v="1"/>
    <n v="575000"/>
  </r>
  <r>
    <m/>
    <n v="1"/>
    <n v="1"/>
    <s v="MN"/>
    <n v="999"/>
    <s v="MN 999"/>
    <m/>
    <x v="6"/>
    <m/>
    <m/>
    <m/>
    <m/>
    <s v="NON-NHS BRIDGE - 2021"/>
    <m/>
    <m/>
    <m/>
    <m/>
    <m/>
    <m/>
    <m/>
    <m/>
    <m/>
    <m/>
    <m/>
    <m/>
    <m/>
    <m/>
    <m/>
    <n v="3471474.703982777"/>
    <m/>
    <m/>
    <m/>
    <m/>
    <m/>
    <m/>
    <m/>
    <m/>
    <m/>
    <m/>
    <m/>
    <m/>
    <m/>
    <m/>
    <m/>
    <m/>
    <m/>
    <m/>
    <m/>
    <n v="3471474.703982777"/>
    <m/>
    <m/>
    <m/>
    <m/>
    <m/>
    <m/>
    <m/>
    <m/>
    <m/>
    <m/>
    <m/>
    <m/>
    <m/>
    <m/>
    <m/>
    <m/>
    <m/>
    <m/>
    <n v="0"/>
    <m/>
    <m/>
    <m/>
    <m/>
    <n v="0.92900000000000005"/>
    <n v="3225000"/>
    <m/>
    <m/>
    <n v="0"/>
    <m/>
    <m/>
    <m/>
    <m/>
    <m/>
    <n v="0"/>
    <m/>
    <m/>
    <m/>
    <m/>
    <m/>
    <n v="0"/>
    <m/>
    <m/>
    <m/>
    <m/>
    <m/>
    <n v="0"/>
    <m/>
    <m/>
    <m/>
    <m/>
    <n v="3.5000000000000003E-2"/>
    <n v="121501.6146393972"/>
    <m/>
    <m/>
    <m/>
    <m/>
    <n v="3.5999999999999997E-2"/>
    <n v="124973.08934337996"/>
    <m/>
    <m/>
    <m/>
    <m/>
    <m/>
    <n v="0"/>
    <m/>
    <m/>
    <m/>
    <m/>
    <m/>
    <n v="0"/>
    <m/>
    <m/>
    <m/>
    <m/>
    <n v="1"/>
    <n v="3471474.703982777"/>
  </r>
  <r>
    <m/>
    <n v="1"/>
    <n v="1"/>
    <s v="MN"/>
    <n v="999"/>
    <s v="MN 999"/>
    <m/>
    <x v="7"/>
    <m/>
    <m/>
    <m/>
    <m/>
    <s v="NON-NHS BRIDGE - 2022"/>
    <m/>
    <m/>
    <m/>
    <m/>
    <m/>
    <m/>
    <m/>
    <m/>
    <m/>
    <m/>
    <m/>
    <m/>
    <m/>
    <m/>
    <m/>
    <n v="3471474.703982777"/>
    <m/>
    <m/>
    <m/>
    <m/>
    <m/>
    <m/>
    <m/>
    <m/>
    <m/>
    <m/>
    <m/>
    <m/>
    <m/>
    <m/>
    <m/>
    <m/>
    <m/>
    <m/>
    <m/>
    <n v="3471474.703982777"/>
    <m/>
    <m/>
    <m/>
    <m/>
    <m/>
    <m/>
    <m/>
    <m/>
    <m/>
    <m/>
    <m/>
    <m/>
    <m/>
    <m/>
    <m/>
    <m/>
    <m/>
    <m/>
    <n v="0"/>
    <m/>
    <m/>
    <m/>
    <m/>
    <n v="0.92900000000000005"/>
    <n v="3225000"/>
    <m/>
    <m/>
    <n v="0"/>
    <m/>
    <m/>
    <m/>
    <m/>
    <m/>
    <n v="0"/>
    <m/>
    <m/>
    <m/>
    <m/>
    <m/>
    <n v="0"/>
    <m/>
    <m/>
    <m/>
    <m/>
    <m/>
    <n v="0"/>
    <m/>
    <m/>
    <m/>
    <m/>
    <n v="3.5000000000000003E-2"/>
    <n v="121501.6146393972"/>
    <m/>
    <m/>
    <m/>
    <m/>
    <n v="3.5999999999999997E-2"/>
    <n v="124973.08934337996"/>
    <m/>
    <m/>
    <m/>
    <m/>
    <m/>
    <n v="0"/>
    <m/>
    <m/>
    <m/>
    <m/>
    <m/>
    <n v="0"/>
    <m/>
    <m/>
    <m/>
    <m/>
    <n v="1"/>
    <n v="3471474.703982777"/>
  </r>
  <r>
    <m/>
    <n v="1"/>
    <n v="1"/>
    <s v="MN"/>
    <n v="999"/>
    <s v="MN 999"/>
    <m/>
    <x v="8"/>
    <m/>
    <m/>
    <m/>
    <m/>
    <s v="NON-NHS BRIDGE - 2023"/>
    <m/>
    <m/>
    <m/>
    <m/>
    <m/>
    <m/>
    <m/>
    <m/>
    <m/>
    <m/>
    <m/>
    <m/>
    <m/>
    <m/>
    <m/>
    <n v="3471474.703982777"/>
    <m/>
    <m/>
    <m/>
    <m/>
    <m/>
    <m/>
    <m/>
    <m/>
    <m/>
    <m/>
    <m/>
    <m/>
    <m/>
    <m/>
    <m/>
    <m/>
    <m/>
    <m/>
    <m/>
    <n v="3471474.703982777"/>
    <m/>
    <m/>
    <m/>
    <m/>
    <m/>
    <m/>
    <m/>
    <m/>
    <m/>
    <m/>
    <m/>
    <m/>
    <m/>
    <m/>
    <m/>
    <m/>
    <m/>
    <m/>
    <n v="0"/>
    <m/>
    <m/>
    <m/>
    <m/>
    <n v="0.92900000000000005"/>
    <n v="3225000"/>
    <m/>
    <m/>
    <n v="0"/>
    <m/>
    <m/>
    <m/>
    <m/>
    <m/>
    <n v="0"/>
    <m/>
    <m/>
    <m/>
    <m/>
    <m/>
    <n v="0"/>
    <m/>
    <m/>
    <m/>
    <m/>
    <m/>
    <n v="0"/>
    <m/>
    <m/>
    <m/>
    <m/>
    <n v="3.5000000000000003E-2"/>
    <n v="121501.6146393972"/>
    <m/>
    <m/>
    <m/>
    <m/>
    <n v="3.5999999999999997E-2"/>
    <n v="124973.08934337996"/>
    <m/>
    <m/>
    <m/>
    <m/>
    <m/>
    <n v="0"/>
    <m/>
    <m/>
    <m/>
    <m/>
    <m/>
    <n v="0"/>
    <m/>
    <m/>
    <m/>
    <m/>
    <n v="1"/>
    <n v="3471474.703982777"/>
  </r>
  <r>
    <m/>
    <s v="M"/>
    <s v="M"/>
    <s v="US"/>
    <n v="52"/>
    <s v="US 52"/>
    <s v="1928-60"/>
    <x v="1"/>
    <m/>
    <s v="S"/>
    <s v="MNDOT"/>
    <n v="7"/>
    <s v="FROM SOUTHVIEW BLVD IN SOUTH ST PAUL TO PLATO BLVD IN ST PAUL - REPLACE LIGHTING SYSTEMS"/>
    <m/>
    <m/>
    <m/>
    <m/>
    <m/>
    <m/>
    <m/>
    <m/>
    <m/>
    <m/>
    <m/>
    <m/>
    <m/>
    <m/>
    <m/>
    <n v="1265000"/>
    <m/>
    <m/>
    <m/>
    <m/>
    <m/>
    <m/>
    <m/>
    <m/>
    <m/>
    <m/>
    <m/>
    <m/>
    <m/>
    <m/>
    <m/>
    <m/>
    <m/>
    <m/>
    <m/>
    <n v="0"/>
    <m/>
    <m/>
    <m/>
    <m/>
    <m/>
    <m/>
    <m/>
    <m/>
    <m/>
    <m/>
    <m/>
    <m/>
    <m/>
    <m/>
    <m/>
    <m/>
    <m/>
    <m/>
    <n v="0"/>
    <m/>
    <m/>
    <m/>
    <m/>
    <m/>
    <n v="0"/>
    <m/>
    <m/>
    <n v="0"/>
    <m/>
    <m/>
    <m/>
    <m/>
    <m/>
    <n v="0"/>
    <m/>
    <n v="1"/>
    <m/>
    <m/>
    <m/>
    <n v="0"/>
    <m/>
    <m/>
    <m/>
    <m/>
    <n v="1"/>
    <n v="1265000"/>
    <m/>
    <m/>
    <m/>
    <m/>
    <m/>
    <n v="0"/>
    <m/>
    <m/>
    <m/>
    <m/>
    <m/>
    <n v="0"/>
    <m/>
    <m/>
    <m/>
    <m/>
    <m/>
    <n v="0"/>
    <m/>
    <m/>
    <m/>
    <m/>
    <m/>
    <n v="0"/>
    <m/>
    <m/>
    <m/>
    <m/>
    <n v="1"/>
    <n v="1265000"/>
  </r>
  <r>
    <m/>
    <s v="M"/>
    <s v="M"/>
    <s v="I"/>
    <s v="35E"/>
    <s v="I 35E"/>
    <s v="1982-171"/>
    <x v="2"/>
    <m/>
    <s v="S"/>
    <s v="MNDOT"/>
    <n v="7"/>
    <s v="ON SOUTH SIDE FROM N OF DEERWOOD DR TO JUST NE OF FAWN WAY IN EAGAN - NOISE WALL"/>
    <m/>
    <m/>
    <m/>
    <m/>
    <m/>
    <m/>
    <m/>
    <m/>
    <m/>
    <m/>
    <m/>
    <m/>
    <m/>
    <m/>
    <m/>
    <n v="750000"/>
    <m/>
    <m/>
    <m/>
    <m/>
    <m/>
    <m/>
    <m/>
    <m/>
    <m/>
    <m/>
    <m/>
    <m/>
    <m/>
    <m/>
    <m/>
    <m/>
    <m/>
    <m/>
    <m/>
    <n v="75000"/>
    <m/>
    <m/>
    <m/>
    <m/>
    <m/>
    <m/>
    <m/>
    <m/>
    <m/>
    <m/>
    <m/>
    <m/>
    <m/>
    <m/>
    <m/>
    <m/>
    <m/>
    <m/>
    <n v="0"/>
    <m/>
    <m/>
    <m/>
    <m/>
    <m/>
    <n v="0"/>
    <m/>
    <n v="0.55000000000000004"/>
    <n v="371250.00000000006"/>
    <s v="Other structures"/>
    <m/>
    <m/>
    <m/>
    <m/>
    <n v="0"/>
    <m/>
    <n v="1"/>
    <m/>
    <m/>
    <m/>
    <n v="0"/>
    <m/>
    <m/>
    <m/>
    <m/>
    <m/>
    <n v="0"/>
    <m/>
    <m/>
    <m/>
    <m/>
    <m/>
    <n v="0"/>
    <m/>
    <m/>
    <m/>
    <m/>
    <m/>
    <n v="0"/>
    <m/>
    <m/>
    <m/>
    <m/>
    <n v="0.45"/>
    <n v="303750"/>
    <m/>
    <m/>
    <m/>
    <m/>
    <m/>
    <n v="0"/>
    <m/>
    <m/>
    <m/>
    <m/>
    <n v="1"/>
    <n v="675000"/>
  </r>
  <r>
    <m/>
    <s v="M"/>
    <s v="M"/>
    <s v="I"/>
    <s v="35E"/>
    <s v="I 35E"/>
    <s v="1982-178"/>
    <x v="9"/>
    <m/>
    <s v="S"/>
    <s v="MNDOT"/>
    <n v="7"/>
    <s v="S OF I35E FROM S OF ASTON CIRCLE TO MCANDREWS RD E IN BURNSVILLE - NOISE WALL "/>
    <m/>
    <m/>
    <m/>
    <m/>
    <m/>
    <m/>
    <m/>
    <m/>
    <m/>
    <m/>
    <m/>
    <m/>
    <m/>
    <m/>
    <m/>
    <n v="645000"/>
    <m/>
    <m/>
    <m/>
    <m/>
    <m/>
    <m/>
    <m/>
    <m/>
    <m/>
    <m/>
    <m/>
    <m/>
    <m/>
    <m/>
    <m/>
    <m/>
    <m/>
    <m/>
    <m/>
    <n v="65000"/>
    <m/>
    <m/>
    <m/>
    <m/>
    <m/>
    <m/>
    <m/>
    <m/>
    <m/>
    <m/>
    <m/>
    <m/>
    <m/>
    <m/>
    <m/>
    <m/>
    <m/>
    <m/>
    <n v="0"/>
    <m/>
    <m/>
    <m/>
    <m/>
    <m/>
    <n v="0"/>
    <m/>
    <n v="1"/>
    <n v="580000"/>
    <s v="Other structures"/>
    <m/>
    <m/>
    <m/>
    <m/>
    <n v="0"/>
    <m/>
    <n v="1"/>
    <m/>
    <m/>
    <m/>
    <n v="0"/>
    <m/>
    <m/>
    <m/>
    <m/>
    <m/>
    <n v="0"/>
    <m/>
    <m/>
    <m/>
    <m/>
    <m/>
    <n v="0"/>
    <m/>
    <m/>
    <m/>
    <m/>
    <m/>
    <n v="0"/>
    <m/>
    <m/>
    <m/>
    <m/>
    <m/>
    <n v="0"/>
    <m/>
    <m/>
    <m/>
    <m/>
    <m/>
    <n v="0"/>
    <m/>
    <m/>
    <m/>
    <m/>
    <n v="1"/>
    <n v="580000"/>
  </r>
  <r>
    <m/>
    <s v="M"/>
    <s v="M"/>
    <s v="I"/>
    <s v="35E"/>
    <s v="I 35E"/>
    <s v="1982-179"/>
    <x v="2"/>
    <m/>
    <s v="S"/>
    <s v="MNDOT"/>
    <n v="7"/>
    <s v="NORTH SIDE FROM KETTLE PARK TO S OF KINGS ROAD IN EAGAN - NOISE BARRIER"/>
    <m/>
    <m/>
    <m/>
    <m/>
    <m/>
    <m/>
    <m/>
    <m/>
    <m/>
    <m/>
    <m/>
    <m/>
    <m/>
    <m/>
    <m/>
    <n v="845000"/>
    <m/>
    <m/>
    <m/>
    <m/>
    <m/>
    <m/>
    <m/>
    <m/>
    <m/>
    <m/>
    <m/>
    <m/>
    <m/>
    <m/>
    <m/>
    <m/>
    <m/>
    <m/>
    <m/>
    <n v="84000"/>
    <m/>
    <m/>
    <m/>
    <m/>
    <m/>
    <m/>
    <m/>
    <m/>
    <m/>
    <m/>
    <m/>
    <m/>
    <m/>
    <m/>
    <m/>
    <m/>
    <m/>
    <m/>
    <n v="0"/>
    <m/>
    <m/>
    <m/>
    <m/>
    <m/>
    <n v="0"/>
    <m/>
    <n v="1"/>
    <n v="761000"/>
    <s v="Other structures"/>
    <m/>
    <m/>
    <m/>
    <m/>
    <n v="0"/>
    <m/>
    <n v="1"/>
    <m/>
    <m/>
    <m/>
    <n v="0"/>
    <m/>
    <m/>
    <m/>
    <m/>
    <m/>
    <n v="0"/>
    <m/>
    <m/>
    <m/>
    <m/>
    <m/>
    <n v="0"/>
    <m/>
    <m/>
    <m/>
    <m/>
    <m/>
    <n v="0"/>
    <m/>
    <m/>
    <m/>
    <m/>
    <m/>
    <n v="0"/>
    <m/>
    <m/>
    <m/>
    <m/>
    <m/>
    <n v="0"/>
    <m/>
    <m/>
    <m/>
    <m/>
    <n v="1"/>
    <n v="761000"/>
  </r>
  <r>
    <m/>
    <s v="M"/>
    <s v="M"/>
    <s v="I"/>
    <n v="494"/>
    <s v="I 494"/>
    <s v="1985-139"/>
    <x v="1"/>
    <m/>
    <s v="S"/>
    <s v="MNDOT"/>
    <n v="7"/>
    <s v="AT MN 149 (NORTH AND SOUTH RAMPS) IN MENDOTA HEIGHTS - REPLACE SIGNAL SYSTEMS"/>
    <m/>
    <m/>
    <m/>
    <m/>
    <m/>
    <m/>
    <m/>
    <m/>
    <m/>
    <m/>
    <m/>
    <m/>
    <m/>
    <m/>
    <m/>
    <n v="375000"/>
    <m/>
    <m/>
    <m/>
    <m/>
    <m/>
    <m/>
    <m/>
    <m/>
    <m/>
    <m/>
    <m/>
    <m/>
    <m/>
    <m/>
    <m/>
    <m/>
    <m/>
    <m/>
    <m/>
    <n v="0"/>
    <m/>
    <m/>
    <m/>
    <m/>
    <m/>
    <m/>
    <m/>
    <m/>
    <m/>
    <m/>
    <m/>
    <m/>
    <m/>
    <m/>
    <m/>
    <m/>
    <m/>
    <m/>
    <n v="0"/>
    <m/>
    <m/>
    <m/>
    <m/>
    <m/>
    <n v="0"/>
    <m/>
    <n v="0.94666666666666666"/>
    <n v="355000"/>
    <s v="Signals"/>
    <m/>
    <m/>
    <m/>
    <m/>
    <n v="0"/>
    <m/>
    <n v="1"/>
    <m/>
    <m/>
    <m/>
    <n v="0"/>
    <m/>
    <m/>
    <m/>
    <m/>
    <n v="5.3333333333333337E-2"/>
    <n v="20000"/>
    <m/>
    <m/>
    <m/>
    <m/>
    <m/>
    <n v="0"/>
    <m/>
    <m/>
    <m/>
    <m/>
    <m/>
    <n v="0"/>
    <m/>
    <m/>
    <m/>
    <m/>
    <m/>
    <n v="0"/>
    <m/>
    <m/>
    <m/>
    <m/>
    <m/>
    <n v="0"/>
    <m/>
    <m/>
    <m/>
    <m/>
    <n v="1"/>
    <n v="375000"/>
  </r>
  <r>
    <m/>
    <s v="M"/>
    <s v="M"/>
    <s v="I"/>
    <n v="494"/>
    <s v="I 494"/>
    <s v="1985-143"/>
    <x v="0"/>
    <m/>
    <s v="S"/>
    <s v="MNDOT"/>
    <n v="7"/>
    <s v="AT SE QUADRANT OF I494 &amp; BLAINE AVE E IN INVER GROVE HEIGHTS - REPAIR &amp; IMPROVE DRAINAGE TO POND T-23"/>
    <m/>
    <m/>
    <m/>
    <m/>
    <m/>
    <m/>
    <m/>
    <m/>
    <m/>
    <m/>
    <m/>
    <m/>
    <m/>
    <m/>
    <m/>
    <n v="62400"/>
    <m/>
    <m/>
    <m/>
    <m/>
    <m/>
    <m/>
    <m/>
    <m/>
    <m/>
    <m/>
    <m/>
    <m/>
    <m/>
    <m/>
    <m/>
    <m/>
    <m/>
    <m/>
    <m/>
    <n v="0"/>
    <m/>
    <m/>
    <m/>
    <m/>
    <m/>
    <m/>
    <m/>
    <m/>
    <m/>
    <m/>
    <m/>
    <m/>
    <m/>
    <m/>
    <m/>
    <m/>
    <m/>
    <m/>
    <n v="0"/>
    <m/>
    <m/>
    <m/>
    <m/>
    <m/>
    <n v="0"/>
    <m/>
    <n v="1"/>
    <n v="62400"/>
    <s v="Drainage and culverts"/>
    <m/>
    <m/>
    <m/>
    <m/>
    <n v="0"/>
    <m/>
    <n v="1"/>
    <m/>
    <m/>
    <m/>
    <n v="0"/>
    <m/>
    <m/>
    <m/>
    <m/>
    <m/>
    <n v="0"/>
    <m/>
    <m/>
    <m/>
    <m/>
    <m/>
    <n v="0"/>
    <m/>
    <m/>
    <m/>
    <m/>
    <m/>
    <n v="0"/>
    <m/>
    <m/>
    <m/>
    <m/>
    <m/>
    <n v="0"/>
    <m/>
    <m/>
    <m/>
    <m/>
    <m/>
    <n v="0"/>
    <m/>
    <m/>
    <m/>
    <m/>
    <n v="1"/>
    <n v="62400"/>
  </r>
  <r>
    <m/>
    <s v="M"/>
    <s v="M"/>
    <s v="I"/>
    <n v="494"/>
    <s v="I 494"/>
    <s v="1985-146"/>
    <x v="0"/>
    <m/>
    <s v="S"/>
    <s v="MNDOT"/>
    <n v="7"/>
    <s v="AT 7TH AVE IN S ST PAUL-LANDSCAPING, RETAINING WALL"/>
    <m/>
    <m/>
    <m/>
    <m/>
    <m/>
    <m/>
    <m/>
    <m/>
    <m/>
    <m/>
    <m/>
    <m/>
    <m/>
    <m/>
    <m/>
    <n v="125000"/>
    <m/>
    <m/>
    <m/>
    <m/>
    <m/>
    <m/>
    <m/>
    <m/>
    <m/>
    <m/>
    <m/>
    <m/>
    <m/>
    <m/>
    <m/>
    <m/>
    <m/>
    <m/>
    <m/>
    <n v="0"/>
    <m/>
    <m/>
    <m/>
    <m/>
    <m/>
    <m/>
    <m/>
    <m/>
    <m/>
    <m/>
    <m/>
    <m/>
    <m/>
    <m/>
    <m/>
    <m/>
    <m/>
    <m/>
    <n v="0"/>
    <m/>
    <m/>
    <m/>
    <m/>
    <m/>
    <n v="0"/>
    <m/>
    <n v="1"/>
    <n v="125000"/>
    <s v="Other structures"/>
    <m/>
    <m/>
    <m/>
    <m/>
    <n v="0"/>
    <m/>
    <n v="1"/>
    <m/>
    <m/>
    <m/>
    <n v="0"/>
    <m/>
    <m/>
    <m/>
    <m/>
    <m/>
    <n v="0"/>
    <m/>
    <m/>
    <m/>
    <m/>
    <m/>
    <n v="0"/>
    <m/>
    <m/>
    <m/>
    <m/>
    <m/>
    <n v="0"/>
    <m/>
    <m/>
    <m/>
    <m/>
    <m/>
    <n v="0"/>
    <m/>
    <m/>
    <m/>
    <m/>
    <m/>
    <n v="0"/>
    <m/>
    <m/>
    <m/>
    <m/>
    <n v="1"/>
    <n v="125000"/>
  </r>
  <r>
    <m/>
    <n v="6"/>
    <n v="6"/>
    <s v="MN"/>
    <n v="30"/>
    <s v="MN 30"/>
    <s v="2004-20"/>
    <x v="0"/>
    <m/>
    <s v="S"/>
    <s v="MNDOT"/>
    <m/>
    <s v="**BR4M**ELLA** FROM T.H. 56 TO N. JCT. T.H. 63, BITUMINOUS MILL &amp; OVERLAY "/>
    <s v="202+00.561"/>
    <s v="221+00.368"/>
    <n v="18.61"/>
    <m/>
    <s v="DODGE"/>
    <s v="RS"/>
    <s v="1-P "/>
    <s v="1-P"/>
    <m/>
    <s v="PVTR - PAVEMENT RESURFACE AND REHABILITATION"/>
    <s v="MILL AND OVERLAY"/>
    <s v="STP5K  "/>
    <s v="STP5K"/>
    <m/>
    <m/>
    <n v="4681105.33"/>
    <n v="0"/>
    <n v="0"/>
    <n v="3740672.2"/>
    <n v="0"/>
    <n v="3740672.2"/>
    <n v="0"/>
    <n v="0"/>
    <n v="0"/>
    <n v="0"/>
    <n v="0"/>
    <n v="0"/>
    <n v="0"/>
    <n v="0"/>
    <n v="0"/>
    <n v="0"/>
    <n v="940433.13"/>
    <n v="0"/>
    <n v="940433.13"/>
    <n v="0"/>
    <n v="0"/>
    <n v="4681105.33"/>
    <n v="30625637.459999997"/>
    <n v="3148031.69"/>
    <n v="2014"/>
    <m/>
    <s v="Project let in 2013"/>
    <s v="BR4M"/>
    <m/>
    <m/>
    <m/>
    <s v="NO"/>
    <s v="NO"/>
    <s v="1st District"/>
    <s v="YES"/>
    <s v="NO"/>
    <s v="Yes"/>
    <s v="NO"/>
    <n v="1"/>
    <n v="4681105.33"/>
    <m/>
    <m/>
    <m/>
    <m/>
    <m/>
    <n v="0"/>
    <m/>
    <m/>
    <n v="0"/>
    <m/>
    <m/>
    <m/>
    <m/>
    <m/>
    <n v="0"/>
    <m/>
    <m/>
    <m/>
    <m/>
    <m/>
    <n v="0"/>
    <m/>
    <m/>
    <m/>
    <m/>
    <m/>
    <n v="0"/>
    <m/>
    <m/>
    <m/>
    <m/>
    <m/>
    <n v="0"/>
    <m/>
    <m/>
    <m/>
    <m/>
    <m/>
    <n v="0"/>
    <m/>
    <m/>
    <m/>
    <m/>
    <m/>
    <n v="0"/>
    <m/>
    <m/>
    <m/>
    <m/>
    <m/>
    <n v="0"/>
    <m/>
    <m/>
    <m/>
    <m/>
    <n v="1"/>
    <n v="4681105.33"/>
  </r>
  <r>
    <m/>
    <n v="4"/>
    <n v="4"/>
    <s v="MN"/>
    <n v="27"/>
    <s v="MN 27"/>
    <s v="2101-21"/>
    <x v="0"/>
    <s v="2014-31"/>
    <s v="S"/>
    <s v="MNDOT"/>
    <m/>
    <s v="**AB** 4TH. ST. IN HOFFMAN TO 0.4 WEST OF I-94 - PAVEMENT REHABILITATION  (ALTERNATE BID)"/>
    <n v="7639247"/>
    <n v="0"/>
    <n v="0"/>
    <n v="6111398"/>
    <n v="0"/>
    <n v="6111398"/>
    <n v="0"/>
    <n v="0"/>
    <n v="0"/>
    <n v="0"/>
    <n v="0"/>
    <n v="0"/>
    <n v="0"/>
    <n v="0"/>
    <n v="0"/>
    <n v="7639247"/>
    <n v="1527849"/>
    <n v="0"/>
    <n v="1527849"/>
    <n v="0"/>
    <n v="0"/>
    <n v="7639247"/>
    <n v="4848069.2"/>
    <n v="3165767.8"/>
    <n v="2014"/>
    <m/>
    <m/>
    <m/>
    <m/>
    <m/>
    <m/>
    <s v="NO"/>
    <s v="YES"/>
    <s v="7th District"/>
    <s v="NO"/>
    <n v="0"/>
    <s v="YES"/>
    <s v="NO"/>
    <n v="0.89300000000000002"/>
    <n v="6821847.5710000005"/>
    <m/>
    <m/>
    <m/>
    <m/>
    <m/>
    <n v="0"/>
    <m/>
    <m/>
    <m/>
    <m/>
    <n v="6.7500000000000004E-2"/>
    <n v="515649.17250000004"/>
    <m/>
    <n v="0.89300000000000002"/>
    <n v="6821847.5710000005"/>
    <m/>
    <m/>
    <m/>
    <m/>
    <m/>
    <n v="0"/>
    <m/>
    <n v="6.7500000000000004E-2"/>
    <n v="515649.17250000004"/>
    <m/>
    <m/>
    <m/>
    <m/>
    <n v="1.6899999999999998E-2"/>
    <n v="129103.27429999999"/>
    <m/>
    <m/>
    <m/>
    <m/>
    <m/>
    <n v="0"/>
    <m/>
    <m/>
    <m/>
    <m/>
    <m/>
    <n v="0"/>
    <m/>
    <m/>
    <m/>
    <m/>
    <m/>
    <n v="0"/>
    <m/>
    <m/>
    <m/>
    <m/>
    <m/>
    <n v="0"/>
    <m/>
    <m/>
    <m/>
    <m/>
    <n v="2.2599999999999999E-2"/>
    <n v="172646.9822"/>
    <m/>
    <m/>
    <m/>
    <m/>
    <m/>
    <n v="0"/>
    <m/>
    <m/>
    <m/>
    <m/>
    <n v="1"/>
    <n v="7639247.0000000009"/>
  </r>
  <r>
    <m/>
    <n v="4"/>
    <n v="4"/>
    <s v="MN"/>
    <n v="29"/>
    <s v="MN 29"/>
    <s v="2102-58"/>
    <x v="2"/>
    <s v="2016-34"/>
    <s v="S"/>
    <s v="MNDOT"/>
    <m/>
    <s v="**BP08** **ELLA** ALEXANDRIA 4-LANE EXPANSION FROM I-94 TO CSAH 28, INCLUDING REPLACING BRIDGE OLD BR 21814 WITH NEW BR 21828 &amp; OLD BR 21813 WITH NEW BR 21827 &amp; I-94 WITH INTERCHANGE MODIFICATION (CHAPTER 152 FUNDS)"/>
    <n v="16034800"/>
    <n v="0"/>
    <n v="0"/>
    <n v="0"/>
    <n v="0"/>
    <n v="0"/>
    <n v="0"/>
    <n v="0"/>
    <n v="0"/>
    <n v="0"/>
    <n v="0"/>
    <n v="0"/>
    <n v="0"/>
    <n v="0"/>
    <n v="0"/>
    <n v="16034800"/>
    <n v="1934800"/>
    <n v="0"/>
    <n v="1934800"/>
    <n v="13600000"/>
    <n v="500000"/>
    <n v="16034800"/>
    <n v="81715139.5"/>
    <n v="40593710"/>
    <n v="2016"/>
    <m/>
    <s v="BOND PROJECT AND THERE IS A CHANGE IN COST 500000city share"/>
    <m/>
    <m/>
    <m/>
    <m/>
    <s v="yes"/>
    <s v="NO"/>
    <s v="7th District"/>
    <s v="yes"/>
    <n v="500000"/>
    <s v="YES"/>
    <s v="NO"/>
    <n v="0.06"/>
    <n v="962088"/>
    <m/>
    <m/>
    <m/>
    <m/>
    <n v="0.83"/>
    <n v="13308884"/>
    <m/>
    <m/>
    <m/>
    <m/>
    <n v="0.04"/>
    <n v="641392"/>
    <m/>
    <n v="0.06"/>
    <n v="932088"/>
    <m/>
    <m/>
    <m/>
    <m/>
    <n v="0.83"/>
    <n v="12893884"/>
    <m/>
    <n v="0.04"/>
    <n v="641392"/>
    <m/>
    <m/>
    <m/>
    <m/>
    <m/>
    <n v="0"/>
    <m/>
    <m/>
    <m/>
    <m/>
    <m/>
    <n v="0"/>
    <m/>
    <m/>
    <m/>
    <m/>
    <m/>
    <n v="0"/>
    <m/>
    <m/>
    <m/>
    <m/>
    <n v="0.02"/>
    <n v="310696"/>
    <m/>
    <m/>
    <m/>
    <m/>
    <n v="6.0000000000000001E-3"/>
    <n v="93208.8"/>
    <m/>
    <m/>
    <m/>
    <m/>
    <n v="4.3999999999999997E-2"/>
    <n v="683531.2"/>
    <m/>
    <m/>
    <m/>
    <m/>
    <m/>
    <n v="0"/>
    <m/>
    <m/>
    <m/>
    <m/>
    <n v="1"/>
    <n v="15554800"/>
  </r>
  <r>
    <m/>
    <n v="4"/>
    <n v="4"/>
    <s v="MN"/>
    <n v="29"/>
    <s v="MN 29"/>
    <s v="2103-35"/>
    <x v="0"/>
    <s v="2014-34"/>
    <s v="S"/>
    <s v="MNDOT"/>
    <m/>
    <s v="**AC** MCKAY AVE N OF ALEXANDRIA TO TH 210 - MILL AND BITUMINOUS SURFACING (AC PROJECT, PAYBACK IN 2015)"/>
    <s v="082+00.375"/>
    <s v="112+00.360"/>
    <n v="30"/>
    <m/>
    <s v="DOUGLAS"/>
    <s v="RD"/>
    <s v="1-P "/>
    <s v="1-P"/>
    <m/>
    <s v="PVTR - PAVEMENT RESURFACE AND REHABILITATION"/>
    <s v="MILL AND OVERLAY"/>
    <s v="STP 5K-200K  "/>
    <s v="STP 5K-200K"/>
    <m/>
    <m/>
    <n v="5853100"/>
    <n v="0"/>
    <n v="0"/>
    <n v="4082480"/>
    <n v="0"/>
    <n v="4082480"/>
    <n v="0"/>
    <n v="3000000"/>
    <n v="0"/>
    <n v="3000000"/>
    <n v="0"/>
    <n v="0"/>
    <n v="0"/>
    <n v="0"/>
    <n v="0"/>
    <n v="0"/>
    <n v="1770620"/>
    <n v="0"/>
    <n v="1770620"/>
    <n v="0"/>
    <n v="0"/>
    <n v="20559300"/>
    <n v="2934000"/>
    <n v="28558604"/>
    <s v="2103-35"/>
    <s v="Removed AC from SP-Who S-RD Prog-STP5K-200K-80/20-Pa Youa AC_x000a_AC Okay - Pa Youa"/>
    <s v="**full federal oversite** INCREASED AC AMOUNT,rural"/>
    <m/>
    <m/>
    <m/>
    <m/>
    <m/>
    <m/>
    <m/>
    <m/>
    <m/>
    <m/>
    <m/>
    <n v="0.78712735"/>
    <n v="16182787.326855"/>
    <e v="#REF!"/>
    <e v="#REF!"/>
    <e v="#REF!"/>
    <e v="#REF!"/>
    <n v="0"/>
    <n v="0"/>
    <e v="#REF!"/>
    <n v="5.480923E-2"/>
    <n v="1126839.402339"/>
    <e v="#REF!"/>
    <e v="#REF!"/>
    <e v="#REF!"/>
    <e v="#REF!"/>
    <n v="8.9968121999999998E-2"/>
    <n v="1849681.6106346"/>
    <e v="#REF!"/>
    <e v="#REF!"/>
    <e v="#REF!"/>
    <e v="#REF!"/>
    <n v="0"/>
    <n v="0"/>
    <e v="#REF!"/>
    <e v="#REF!"/>
    <e v="#REF!"/>
    <e v="#REF!"/>
    <n v="0"/>
    <n v="0"/>
    <e v="#REF!"/>
    <e v="#REF!"/>
    <e v="#REF!"/>
    <e v="#REF!"/>
    <n v="0"/>
    <n v="0"/>
    <e v="#REF!"/>
    <e v="#REF!"/>
    <e v="#REF!"/>
    <e v="#REF!"/>
    <n v="4.1861862999999999E-2"/>
    <n v="860650.59997590003"/>
    <e v="#REF!"/>
    <e v="#REF!"/>
    <e v="#REF!"/>
    <e v="#REF!"/>
    <n v="2.6233434E-2"/>
    <n v="539341.03963619994"/>
    <e v="#REF!"/>
    <e v="#REF!"/>
    <e v="#REF!"/>
    <e v="#REF!"/>
    <n v="0"/>
    <n v="0"/>
    <m/>
    <m/>
    <m/>
    <m/>
    <n v="0.99999999899999992"/>
    <n v="20559299.9794407"/>
  </r>
  <r>
    <m/>
    <n v="4"/>
    <n v="4"/>
    <s v="MN"/>
    <n v="29"/>
    <s v="MN 29"/>
    <s v="2103-35AC1"/>
    <x v="1"/>
    <s v="2014-34"/>
    <s v="S"/>
    <s v="MNDOT"/>
    <m/>
    <s v="**AC** MCKAY AVE. N. OF ALEXANDRIA TO TH 210 - MILL AND BITUMINOUS SURFACING  (AC PROJECT, PAYBACK 1 OF 1)"/>
    <n v="3000000"/>
    <n v="0"/>
    <n v="0"/>
    <n v="0"/>
    <n v="0"/>
    <n v="0"/>
    <n v="0"/>
    <n v="0"/>
    <n v="0"/>
    <n v="0"/>
    <n v="0"/>
    <n v="3000000"/>
    <n v="0"/>
    <n v="3000000"/>
    <n v="0"/>
    <n v="3000000"/>
    <n v="0"/>
    <n v="0"/>
    <n v="0"/>
    <n v="0"/>
    <n v="0"/>
    <n v="0"/>
    <n v="67494485.5"/>
    <n v="37277010"/>
    <n v="2015"/>
    <m/>
    <m/>
    <m/>
    <m/>
    <m/>
    <m/>
    <s v="NO"/>
    <s v="NO"/>
    <s v="7th District"/>
    <s v="NO"/>
    <n v="0"/>
    <s v="YES"/>
    <s v="NO"/>
    <m/>
    <n v="0"/>
    <m/>
    <m/>
    <m/>
    <m/>
    <m/>
    <n v="0"/>
    <m/>
    <m/>
    <m/>
    <m/>
    <m/>
    <n v="0"/>
    <m/>
    <n v="0.78712735"/>
    <n v="2361382.0499999998"/>
    <n v="0"/>
    <n v="0"/>
    <n v="0"/>
    <n v="0"/>
    <n v="0"/>
    <n v="0"/>
    <n v="0"/>
    <n v="5.480923E-2"/>
    <n v="164427.69"/>
    <n v="0"/>
    <n v="0"/>
    <n v="0"/>
    <n v="0"/>
    <n v="8.9968121999999998E-2"/>
    <n v="269904.36599999998"/>
    <n v="0"/>
    <n v="0"/>
    <n v="0"/>
    <n v="0"/>
    <n v="0"/>
    <n v="0"/>
    <n v="0"/>
    <n v="0"/>
    <n v="0"/>
    <n v="0"/>
    <n v="0"/>
    <n v="0"/>
    <n v="0"/>
    <n v="0"/>
    <n v="0"/>
    <n v="0"/>
    <n v="0"/>
    <n v="0"/>
    <n v="0"/>
    <n v="0"/>
    <n v="0"/>
    <n v="0"/>
    <n v="4.1861862999999999E-2"/>
    <n v="125585.58899999999"/>
    <n v="0"/>
    <n v="0"/>
    <n v="0"/>
    <n v="0"/>
    <n v="2.6233434E-2"/>
    <n v="78700.301999999996"/>
    <m/>
    <m/>
    <m/>
    <m/>
    <m/>
    <n v="0"/>
    <m/>
    <m/>
    <m/>
    <m/>
    <n v="0.99999999900000003"/>
    <n v="2999999.997"/>
  </r>
  <r>
    <m/>
    <n v="7"/>
    <n v="7"/>
    <s v="MN"/>
    <n v="109"/>
    <s v="MN 109"/>
    <s v="2206-13"/>
    <x v="9"/>
    <m/>
    <s v="S"/>
    <s v="MNDOT"/>
    <m/>
    <s v="FROM TH 22 TO I90 IN ALDEN, MILL AND OVERLAY"/>
    <s v="022+00.278"/>
    <s v="032+00.808"/>
    <n v="10.5"/>
    <m/>
    <s v="FARIBAULT"/>
    <s v="RS"/>
    <m/>
    <m/>
    <m/>
    <s v="PVTR - PAVEMENT RESURFACE AND REHABILITATION"/>
    <s v="MILL AND OVERLAY"/>
    <s v="STP5K  "/>
    <s v="STP5K"/>
    <m/>
    <m/>
    <n v="5293000"/>
    <n v="0"/>
    <n v="0"/>
    <n v="4234400"/>
    <n v="0"/>
    <n v="4234400"/>
    <n v="0"/>
    <n v="0"/>
    <n v="0"/>
    <n v="0"/>
    <n v="0"/>
    <n v="0"/>
    <n v="0"/>
    <n v="0"/>
    <n v="0"/>
    <n v="0"/>
    <n v="1058600"/>
    <n v="0"/>
    <n v="1058600"/>
    <n v="0"/>
    <n v="0"/>
    <n v="5293000"/>
    <n v="61050000"/>
    <n v="11252800"/>
    <n v="2017"/>
    <m/>
    <m/>
    <m/>
    <m/>
    <m/>
    <m/>
    <m/>
    <s v="NO"/>
    <m/>
    <s v="NO"/>
    <s v="NO"/>
    <s v="Yes"/>
    <s v="NO"/>
    <n v="0.82099999999999995"/>
    <n v="4345553"/>
    <m/>
    <m/>
    <m/>
    <m/>
    <m/>
    <n v="0"/>
    <m/>
    <n v="0.115"/>
    <n v="608695"/>
    <m/>
    <m/>
    <m/>
    <m/>
    <n v="3.2000000000000001E-2"/>
    <n v="169376"/>
    <m/>
    <m/>
    <m/>
    <m/>
    <m/>
    <n v="0"/>
    <m/>
    <m/>
    <m/>
    <m/>
    <m/>
    <n v="0"/>
    <m/>
    <m/>
    <m/>
    <m/>
    <n v="2.3E-2"/>
    <n v="121739"/>
    <m/>
    <m/>
    <m/>
    <m/>
    <n v="8.9999999999999993E-3"/>
    <n v="47637"/>
    <m/>
    <m/>
    <m/>
    <m/>
    <m/>
    <n v="0"/>
    <m/>
    <m/>
    <m/>
    <m/>
    <m/>
    <n v="0"/>
    <m/>
    <m/>
    <m/>
    <m/>
    <n v="1"/>
    <n v="5293000"/>
  </r>
  <r>
    <m/>
    <n v="7"/>
    <n v="7"/>
    <s v="MN"/>
    <n v="253"/>
    <s v="MN 253"/>
    <s v="2210-112"/>
    <x v="1"/>
    <s v="2015-TH-9"/>
    <s v="S"/>
    <s v="MNDOT"/>
    <m/>
    <s v="2.21 MI NORTH OF BRICELYN, OVER EAST FORK BLUE EARTH RIVER, REPLACE BR 6876 (NEW BR)"/>
    <s v="002+00.720"/>
    <s v="002+00.720"/>
    <n v="0"/>
    <m/>
    <s v="FARIBAULT"/>
    <s v="BR"/>
    <s v="1-B "/>
    <s v="1-B"/>
    <m/>
    <s v="BRPC - BRIDGE REPLACEMENT OR CONSTRUCTION"/>
    <s v="BRIDGE REPLACEMENT"/>
    <s v="STP 5K &gt;  "/>
    <s v="STP 5K &gt;"/>
    <m/>
    <m/>
    <n v="2500000"/>
    <n v="0"/>
    <n v="0"/>
    <n v="2000000"/>
    <n v="0"/>
    <n v="2000000"/>
    <n v="0"/>
    <n v="0"/>
    <n v="0"/>
    <n v="0"/>
    <n v="0"/>
    <n v="0"/>
    <n v="0"/>
    <n v="0"/>
    <n v="0"/>
    <n v="0"/>
    <n v="500000"/>
    <n v="0"/>
    <n v="500000"/>
    <n v="0"/>
    <n v="0"/>
    <n v="2500000"/>
    <n v="11899434"/>
    <n v="4528356"/>
    <n v="2015"/>
    <m/>
    <m/>
    <m/>
    <m/>
    <m/>
    <m/>
    <s v="NO"/>
    <s v="NO"/>
    <m/>
    <s v="NO"/>
    <s v="NO"/>
    <s v="Yes"/>
    <s v="NO"/>
    <n v="0.92900000000000005"/>
    <n v="2322500"/>
    <m/>
    <m/>
    <m/>
    <m/>
    <m/>
    <n v="0"/>
    <m/>
    <m/>
    <n v="0"/>
    <m/>
    <m/>
    <m/>
    <m/>
    <m/>
    <n v="0"/>
    <m/>
    <m/>
    <m/>
    <m/>
    <m/>
    <n v="0"/>
    <m/>
    <m/>
    <m/>
    <m/>
    <m/>
    <n v="0"/>
    <m/>
    <m/>
    <m/>
    <m/>
    <n v="3.5000000000000003E-2"/>
    <n v="87500.000000000015"/>
    <m/>
    <m/>
    <m/>
    <m/>
    <n v="3.5999999999999997E-2"/>
    <n v="90000"/>
    <m/>
    <m/>
    <m/>
    <m/>
    <m/>
    <n v="0"/>
    <m/>
    <m/>
    <m/>
    <m/>
    <m/>
    <n v="0"/>
    <m/>
    <m/>
    <m/>
    <m/>
    <n v="1"/>
    <n v="2500000"/>
  </r>
  <r>
    <m/>
    <n v="7"/>
    <n v="7"/>
    <s v="MN"/>
    <n v="109"/>
    <s v="MN 109"/>
    <s v="2212-29"/>
    <x v="0"/>
    <s v="2014-TH-4"/>
    <s v="S"/>
    <s v="MNDOT"/>
    <m/>
    <s v="FROM EAST JCT OF CSAH 17 TO WEST LIMITS OF WELLS - RECLAIM"/>
    <s v="011+00.932"/>
    <s v="021+00.918"/>
    <n v="10"/>
    <m/>
    <s v="FARIBAULT"/>
    <s v="RD"/>
    <s v="1-P "/>
    <s v="1-P "/>
    <m/>
    <s v="PVTR - PAVEMENT RESURFACE AND REHABILITATION"/>
    <s v="SURFACING"/>
    <s v="STP 5K - 200K  "/>
    <s v="STP 5K - 200K"/>
    <m/>
    <m/>
    <n v="9000000"/>
    <n v="0"/>
    <n v="0"/>
    <n v="7200000"/>
    <n v="0"/>
    <n v="7200000"/>
    <n v="0"/>
    <n v="0"/>
    <n v="0"/>
    <n v="0"/>
    <n v="0"/>
    <n v="0"/>
    <n v="0"/>
    <n v="0"/>
    <n v="0"/>
    <n v="0"/>
    <n v="1800000"/>
    <n v="0"/>
    <n v="1800000"/>
    <n v="0"/>
    <n v="0"/>
    <n v="9000000"/>
    <n v="17760935"/>
    <n v="2590000"/>
    <n v="2014"/>
    <m/>
    <m/>
    <m/>
    <m/>
    <m/>
    <m/>
    <s v="NO"/>
    <s v="NO"/>
    <m/>
    <s v="NO"/>
    <s v="NO"/>
    <s v="Yes"/>
    <s v="NO"/>
    <n v="0.82099999999999995"/>
    <n v="7389000"/>
    <m/>
    <m/>
    <m/>
    <m/>
    <m/>
    <n v="0"/>
    <m/>
    <n v="0.115"/>
    <n v="1035000"/>
    <m/>
    <m/>
    <m/>
    <m/>
    <n v="3.2000000000000001E-2"/>
    <n v="288000"/>
    <m/>
    <m/>
    <m/>
    <m/>
    <m/>
    <n v="0"/>
    <m/>
    <m/>
    <m/>
    <m/>
    <m/>
    <n v="0"/>
    <m/>
    <m/>
    <m/>
    <m/>
    <n v="2.3E-2"/>
    <n v="207000"/>
    <m/>
    <m/>
    <m/>
    <m/>
    <n v="8.9999999999999993E-3"/>
    <n v="81000"/>
    <m/>
    <m/>
    <m/>
    <m/>
    <m/>
    <n v="0"/>
    <m/>
    <m/>
    <m/>
    <m/>
    <m/>
    <n v="0"/>
    <m/>
    <m/>
    <m/>
    <m/>
    <n v="1"/>
    <n v="9000000"/>
  </r>
  <r>
    <m/>
    <n v="6"/>
    <n v="6"/>
    <s v="MN"/>
    <n v="16"/>
    <s v="MN 16"/>
    <s v="2304-45"/>
    <x v="0"/>
    <m/>
    <s v="S"/>
    <s v="MNDOT"/>
    <m/>
    <s v="ON T.H. 16 NEAR LANESBORO, REPLACE BRIDGES 3686 AND 3687 "/>
    <s v="238+00.783"/>
    <s v="238+00.783"/>
    <n v="0"/>
    <m/>
    <s v="FILLMORE"/>
    <s v="BR"/>
    <s v="1-B "/>
    <s v="1-B"/>
    <m/>
    <s v="BRPC - BRIDGE REPLACEMENT OR CONSTRUCTION"/>
    <s v="BRIDGE REPLACEMENT"/>
    <s v="STP5K  "/>
    <s v="STP5K"/>
    <m/>
    <m/>
    <n v="1378000"/>
    <n v="0"/>
    <n v="0"/>
    <n v="1102400"/>
    <n v="0"/>
    <n v="1102400"/>
    <n v="0"/>
    <n v="0"/>
    <n v="0"/>
    <n v="0"/>
    <n v="0"/>
    <n v="0"/>
    <n v="0"/>
    <n v="0"/>
    <n v="0"/>
    <n v="0"/>
    <n v="275600"/>
    <n v="0"/>
    <n v="275600"/>
    <n v="0"/>
    <n v="0"/>
    <n v="1378000"/>
    <n v="19156971"/>
    <n v="275600"/>
    <n v="2014"/>
    <m/>
    <n v="67.400000000000006"/>
    <m/>
    <m/>
    <m/>
    <m/>
    <s v="NO"/>
    <s v="NO"/>
    <s v="1st District"/>
    <s v="NO"/>
    <s v="NO"/>
    <s v="Yes"/>
    <s v="NO"/>
    <m/>
    <n v="0"/>
    <m/>
    <m/>
    <m/>
    <m/>
    <n v="0.92900000000000005"/>
    <n v="1280162"/>
    <m/>
    <m/>
    <n v="0"/>
    <m/>
    <m/>
    <m/>
    <m/>
    <m/>
    <n v="0"/>
    <m/>
    <m/>
    <m/>
    <m/>
    <m/>
    <n v="0"/>
    <m/>
    <m/>
    <m/>
    <m/>
    <m/>
    <n v="0"/>
    <m/>
    <m/>
    <m/>
    <m/>
    <n v="3.5000000000000003E-2"/>
    <n v="48230.000000000007"/>
    <m/>
    <m/>
    <m/>
    <m/>
    <n v="3.5999999999999997E-2"/>
    <n v="49607.999999999993"/>
    <m/>
    <m/>
    <m/>
    <m/>
    <m/>
    <n v="0"/>
    <m/>
    <m/>
    <m/>
    <m/>
    <m/>
    <n v="0"/>
    <m/>
    <m/>
    <m/>
    <m/>
    <n v="1"/>
    <n v="1378000"/>
  </r>
  <r>
    <m/>
    <n v="6"/>
    <n v="6"/>
    <s v="MN"/>
    <n v="43"/>
    <s v="MN 43"/>
    <s v="2307-21"/>
    <x v="0"/>
    <m/>
    <s v="S"/>
    <s v="MNDOT"/>
    <m/>
    <s v="MN 16 FROM S JCT. MN 43 TO N. JCT MN 43 AND MN 43 FROM N. JCT. MN 16 TO THE ROOT RIVER BRIDGE IN RUSHFORD, RECONSTRUCT  - MUNICIPAL AGREEMENTS PROGRAM - F.Y. 2014"/>
    <s v="022+00.211"/>
    <s v="022+00.889"/>
    <n v="1.23"/>
    <m/>
    <s v="FILLMORE"/>
    <s v="AM"/>
    <s v="1-M  "/>
    <s v="1-M "/>
    <m/>
    <s v="SETA - SET ASIDE"/>
    <s v="COOP. CONST. AGREEMENT"/>
    <s v="SF LF "/>
    <s v="SF"/>
    <s v="LF"/>
    <m/>
    <n v="3138000"/>
    <n v="0"/>
    <n v="0"/>
    <n v="0"/>
    <n v="0"/>
    <n v="0"/>
    <n v="0"/>
    <n v="0"/>
    <n v="0"/>
    <n v="0"/>
    <n v="0"/>
    <n v="0"/>
    <n v="0"/>
    <n v="0"/>
    <n v="0"/>
    <n v="0"/>
    <n v="1500000"/>
    <n v="0"/>
    <n v="1500000"/>
    <n v="0"/>
    <n v="1638000"/>
    <n v="3138000"/>
    <n v="34212637.459999993"/>
    <n v="7322499.6899999995"/>
    <n v="2014"/>
    <m/>
    <m/>
    <m/>
    <n v="1638000"/>
    <m/>
    <m/>
    <s v="NO"/>
    <s v="NO"/>
    <s v="1st District"/>
    <s v="NO"/>
    <s v="NO"/>
    <s v="Yes"/>
    <s v="NO"/>
    <n v="0.82099999999999995"/>
    <n v="1231500"/>
    <m/>
    <m/>
    <m/>
    <m/>
    <m/>
    <n v="0"/>
    <m/>
    <n v="0.115"/>
    <n v="172500"/>
    <m/>
    <m/>
    <m/>
    <m/>
    <n v="3.2000000000000001E-2"/>
    <n v="48000"/>
    <m/>
    <m/>
    <m/>
    <m/>
    <m/>
    <n v="0"/>
    <m/>
    <m/>
    <m/>
    <m/>
    <m/>
    <n v="0"/>
    <m/>
    <m/>
    <m/>
    <m/>
    <n v="2.3E-2"/>
    <n v="34500"/>
    <m/>
    <m/>
    <m/>
    <m/>
    <n v="8.9999999999999993E-3"/>
    <n v="13499.999999999998"/>
    <m/>
    <m/>
    <m/>
    <m/>
    <m/>
    <n v="0"/>
    <m/>
    <m/>
    <m/>
    <m/>
    <m/>
    <n v="0"/>
    <m/>
    <m/>
    <m/>
    <m/>
    <n v="1"/>
    <n v="1500000"/>
  </r>
  <r>
    <m/>
    <n v="6"/>
    <n v="6"/>
    <s v="MN"/>
    <n v="44"/>
    <s v="MN 44"/>
    <s v="2308-26AC"/>
    <x v="0"/>
    <m/>
    <s v="S"/>
    <s v="MNDOT"/>
    <m/>
    <s v="**AC** FROM JCT. T.H. 52 TO E. CITY LIMITS OF SPRING GROVE - BITUMINOUS MILL &amp; OVERLAY (AC PAYBACK 1 OF 1)"/>
    <s v="029+00.937"/>
    <s v="043+00.412"/>
    <n v="13.28"/>
    <m/>
    <s v="FILLMORE"/>
    <s v="RS"/>
    <s v="1-P "/>
    <s v="1-P"/>
    <m/>
    <s v="PVTR - PAVEMENT RESURFACE AND REHABILITATION"/>
    <s v="MILL AND OVERLAY"/>
    <s v="STP5K  "/>
    <s v="STP5K"/>
    <m/>
    <m/>
    <n v="2400000"/>
    <n v="0"/>
    <n v="0"/>
    <n v="0"/>
    <n v="0"/>
    <n v="0"/>
    <n v="0"/>
    <n v="0"/>
    <n v="0"/>
    <n v="0"/>
    <n v="0"/>
    <n v="2400000"/>
    <n v="0"/>
    <n v="2400000"/>
    <n v="0"/>
    <n v="0"/>
    <n v="0"/>
    <n v="0"/>
    <n v="0"/>
    <n v="0"/>
    <n v="0"/>
    <n v="0"/>
    <n v="36612637.459999993"/>
    <n v="7322499.6899999995"/>
    <n v="2014"/>
    <m/>
    <m/>
    <m/>
    <m/>
    <m/>
    <m/>
    <s v="NO"/>
    <s v="NO"/>
    <s v="1st District"/>
    <s v="NO"/>
    <s v="NO"/>
    <s v="NO"/>
    <s v="NO"/>
    <n v="0.82099999999999995"/>
    <n v="1970400"/>
    <m/>
    <m/>
    <m/>
    <m/>
    <n v="0"/>
    <n v="0"/>
    <m/>
    <n v="0.115"/>
    <n v="276000"/>
    <m/>
    <m/>
    <m/>
    <m/>
    <n v="3.2000000000000001E-2"/>
    <n v="76800"/>
    <m/>
    <m/>
    <m/>
    <m/>
    <m/>
    <n v="0"/>
    <m/>
    <m/>
    <m/>
    <m/>
    <m/>
    <n v="0"/>
    <m/>
    <m/>
    <m/>
    <m/>
    <n v="2.3E-2"/>
    <n v="55200"/>
    <m/>
    <m/>
    <m/>
    <m/>
    <n v="8.9999999999999993E-3"/>
    <n v="21600"/>
    <m/>
    <m/>
    <m/>
    <m/>
    <m/>
    <n v="0"/>
    <m/>
    <m/>
    <m/>
    <m/>
    <m/>
    <n v="0"/>
    <m/>
    <m/>
    <m/>
    <m/>
    <n v="1"/>
    <n v="2400000"/>
  </r>
  <r>
    <m/>
    <n v="6"/>
    <n v="6"/>
    <s v="US"/>
    <n v="52"/>
    <s v="US 52"/>
    <s v="2309-29"/>
    <x v="0"/>
    <m/>
    <s v="S"/>
    <s v="MNDOT"/>
    <m/>
    <s v="FROM IA/MN STATE LINE TO 0.1 MI N OF CSAH 22, MEDIUM BITUMINOUS MILL AND OVERLAY"/>
    <s v="000+00.000"/>
    <s v="009+00.910"/>
    <n v="9.9570000000000007"/>
    <m/>
    <s v="FILLMORE"/>
    <s v="RS"/>
    <s v="1-P "/>
    <s v="1-P"/>
    <m/>
    <s v="PVTR - PAVEMENT RESURFACE AND REHABILITATION"/>
    <s v="BITUMINOUS OVERLAY"/>
    <s v="NHPP  "/>
    <s v="NHPP"/>
    <m/>
    <m/>
    <n v="2987100"/>
    <n v="0"/>
    <n v="0"/>
    <n v="2389680"/>
    <n v="0"/>
    <n v="2389680"/>
    <n v="0"/>
    <n v="0"/>
    <n v="0"/>
    <n v="0"/>
    <n v="0"/>
    <n v="0"/>
    <n v="0"/>
    <n v="0"/>
    <n v="0"/>
    <n v="0"/>
    <n v="597420"/>
    <n v="0"/>
    <n v="597420"/>
    <n v="0"/>
    <n v="0"/>
    <n v="2987100"/>
    <n v="39002317.459999993"/>
    <n v="7919919.6899999995"/>
    <n v="2014"/>
    <m/>
    <s v="MAP-21 NHPP PROJECT ADDED"/>
    <m/>
    <m/>
    <m/>
    <m/>
    <s v="NO"/>
    <s v="NO"/>
    <s v="1st District"/>
    <s v="NO"/>
    <s v="NO"/>
    <s v="Yes"/>
    <m/>
    <n v="1"/>
    <n v="2987100"/>
    <m/>
    <m/>
    <m/>
    <m/>
    <m/>
    <n v="0"/>
    <m/>
    <m/>
    <n v="0"/>
    <m/>
    <m/>
    <m/>
    <m/>
    <m/>
    <n v="0"/>
    <m/>
    <m/>
    <m/>
    <m/>
    <m/>
    <n v="0"/>
    <m/>
    <m/>
    <m/>
    <m/>
    <m/>
    <n v="0"/>
    <m/>
    <m/>
    <m/>
    <m/>
    <m/>
    <n v="0"/>
    <m/>
    <m/>
    <m/>
    <m/>
    <m/>
    <n v="0"/>
    <m/>
    <m/>
    <m/>
    <m/>
    <m/>
    <n v="0"/>
    <m/>
    <m/>
    <m/>
    <m/>
    <m/>
    <n v="0"/>
    <m/>
    <m/>
    <m/>
    <m/>
    <n v="1"/>
    <n v="2987100"/>
  </r>
  <r>
    <m/>
    <n v="6"/>
    <n v="6"/>
    <s v="MN"/>
    <n v="139"/>
    <s v="MN 139"/>
    <s v="2316-16"/>
    <x v="9"/>
    <m/>
    <s v="S"/>
    <s v="MNDOT"/>
    <m/>
    <s v=" IA/MN STATE LINE TO T.H. 52 (HARMONY), MEDIUM BITUMINOUS MILL AND OVERLAY"/>
    <s v="000+00.000"/>
    <s v="003+00.961"/>
    <n v="3.9129999999999998"/>
    <m/>
    <s v="FILLMORE"/>
    <s v="RS"/>
    <s v=" "/>
    <m/>
    <m/>
    <s v="PVTR - PAVEMENT RESURFACE AND REHABILITATION"/>
    <s v="BITUMINOUS OVERLAY"/>
    <s v="SF  "/>
    <s v="SF"/>
    <m/>
    <m/>
    <n v="1455636"/>
    <n v="0"/>
    <n v="0"/>
    <n v="0"/>
    <n v="0"/>
    <n v="0"/>
    <n v="0"/>
    <n v="0"/>
    <n v="0"/>
    <n v="0"/>
    <n v="0"/>
    <n v="0"/>
    <n v="0"/>
    <n v="0"/>
    <n v="0"/>
    <n v="0"/>
    <n v="1455636"/>
    <n v="0"/>
    <n v="1455636"/>
    <n v="0"/>
    <n v="0"/>
    <n v="1455636"/>
    <n v="53364938"/>
    <n v="12725519"/>
    <n v="2017"/>
    <m/>
    <m/>
    <m/>
    <m/>
    <m/>
    <m/>
    <s v="NO"/>
    <s v="NO"/>
    <s v="1st District"/>
    <s v="NO"/>
    <s v="NO"/>
    <s v="Yes"/>
    <m/>
    <n v="1"/>
    <n v="1455636"/>
    <m/>
    <m/>
    <m/>
    <m/>
    <m/>
    <n v="0"/>
    <m/>
    <m/>
    <n v="0"/>
    <m/>
    <m/>
    <m/>
    <m/>
    <m/>
    <n v="0"/>
    <m/>
    <m/>
    <m/>
    <m/>
    <m/>
    <n v="0"/>
    <m/>
    <m/>
    <m/>
    <m/>
    <m/>
    <n v="0"/>
    <m/>
    <m/>
    <m/>
    <m/>
    <m/>
    <n v="0"/>
    <m/>
    <m/>
    <m/>
    <m/>
    <m/>
    <n v="0"/>
    <m/>
    <m/>
    <m/>
    <m/>
    <m/>
    <n v="0"/>
    <m/>
    <m/>
    <m/>
    <m/>
    <m/>
    <n v="0"/>
    <m/>
    <m/>
    <m/>
    <m/>
    <n v="1"/>
    <n v="1455636"/>
  </r>
  <r>
    <m/>
    <n v="6"/>
    <n v="6"/>
    <s v="MN"/>
    <n v="250"/>
    <s v="MN 250"/>
    <s v="2319-16"/>
    <x v="2"/>
    <m/>
    <s v="S"/>
    <s v="MNDOT"/>
    <m/>
    <s v="OVER S BRANCH ROOT RIVER, REPLACE BRIDGE 6975 AND OVER N BRANCH ROOT RIVER REPLACE BRIDGE 6977"/>
    <s v="000+00.955"/>
    <s v="000+00.955"/>
    <n v="0"/>
    <m/>
    <s v="FILLMORE"/>
    <s v="BR"/>
    <s v="1-B "/>
    <s v="1-B"/>
    <m/>
    <s v="BRPC - BRIDGE REPLACEMENT OR CONSTRUCTION"/>
    <s v="BRIDGE REPLACEMENT"/>
    <s v="STP5K  "/>
    <s v="STP5K"/>
    <m/>
    <m/>
    <n v="6737422"/>
    <n v="0"/>
    <n v="0"/>
    <n v="5389938"/>
    <n v="0"/>
    <n v="5389938"/>
    <n v="0"/>
    <n v="0"/>
    <n v="0"/>
    <n v="0"/>
    <n v="0"/>
    <n v="0"/>
    <n v="0"/>
    <n v="0"/>
    <n v="0"/>
    <n v="0"/>
    <n v="1347484"/>
    <n v="0"/>
    <n v="1347484"/>
    <n v="0"/>
    <n v="0"/>
    <n v="6737422"/>
    <n v="71835547"/>
    <n v="5839985"/>
    <n v="2016"/>
    <m/>
    <n v="47.1"/>
    <m/>
    <m/>
    <m/>
    <m/>
    <s v="NO"/>
    <s v="NO"/>
    <s v="1st District"/>
    <s v="NO"/>
    <s v="NO"/>
    <s v="Yes"/>
    <m/>
    <m/>
    <n v="0"/>
    <m/>
    <m/>
    <m/>
    <m/>
    <n v="0.92900000000000005"/>
    <n v="6259065.0380000006"/>
    <m/>
    <m/>
    <n v="0"/>
    <m/>
    <m/>
    <m/>
    <m/>
    <m/>
    <n v="0"/>
    <m/>
    <m/>
    <m/>
    <m/>
    <m/>
    <n v="0"/>
    <m/>
    <m/>
    <m/>
    <m/>
    <m/>
    <n v="0"/>
    <m/>
    <m/>
    <m/>
    <m/>
    <n v="3.5000000000000003E-2"/>
    <n v="235809.77000000002"/>
    <m/>
    <m/>
    <m/>
    <m/>
    <n v="3.5999999999999997E-2"/>
    <n v="242547.19199999998"/>
    <m/>
    <m/>
    <m/>
    <m/>
    <m/>
    <n v="0"/>
    <m/>
    <m/>
    <m/>
    <m/>
    <m/>
    <n v="0"/>
    <m/>
    <m/>
    <m/>
    <m/>
    <n v="1"/>
    <n v="6737422"/>
  </r>
  <r>
    <m/>
    <n v="6"/>
    <n v="6"/>
    <s v="US"/>
    <n v="65"/>
    <s v="US 65"/>
    <s v="2404-41"/>
    <x v="1"/>
    <m/>
    <s v="S"/>
    <s v="MNDOT"/>
    <m/>
    <s v="NB AND SB FROM 0.5 MI. S. I-35 (4-LANE) TO JCT. T.H. 13, MEDIUM BITUMINOUS OVERLAY &amp; MILL &amp; FILL"/>
    <s v="308+00.995"/>
    <s v="312+00.512"/>
    <n v="7.05"/>
    <m/>
    <s v="FREEBORN"/>
    <s v="RS"/>
    <s v="1-P "/>
    <s v="1-P"/>
    <m/>
    <s v="PVTR - PAVEMENT RESURFACE AND REHABILITATION"/>
    <s v="MILL AND OVERLAY"/>
    <s v="STP 5K - 200K  "/>
    <s v="STP 5K - 200K"/>
    <m/>
    <m/>
    <n v="3002000"/>
    <n v="0"/>
    <n v="0"/>
    <n v="2401600"/>
    <n v="0"/>
    <n v="2401600"/>
    <n v="0"/>
    <n v="0"/>
    <n v="0"/>
    <n v="0"/>
    <n v="0"/>
    <n v="0"/>
    <n v="0"/>
    <n v="0"/>
    <n v="0"/>
    <n v="0"/>
    <n v="412900"/>
    <n v="0"/>
    <n v="412900"/>
    <n v="0"/>
    <n v="187500"/>
    <n v="3002000"/>
    <n v="76922759"/>
    <n v="9302177"/>
    <n v="2015"/>
    <m/>
    <m/>
    <m/>
    <m/>
    <n v="187500"/>
    <m/>
    <s v="NO"/>
    <s v="NO"/>
    <s v="1st District"/>
    <s v="NO"/>
    <s v="NO"/>
    <s v="Yes"/>
    <s v="NO"/>
    <n v="1"/>
    <n v="2814500"/>
    <m/>
    <m/>
    <m/>
    <m/>
    <m/>
    <n v="0"/>
    <m/>
    <m/>
    <n v="0"/>
    <m/>
    <m/>
    <m/>
    <m/>
    <m/>
    <n v="0"/>
    <m/>
    <m/>
    <m/>
    <m/>
    <m/>
    <n v="0"/>
    <m/>
    <m/>
    <m/>
    <m/>
    <m/>
    <n v="0"/>
    <m/>
    <m/>
    <m/>
    <m/>
    <m/>
    <n v="0"/>
    <m/>
    <m/>
    <m/>
    <m/>
    <m/>
    <n v="0"/>
    <m/>
    <m/>
    <m/>
    <m/>
    <m/>
    <n v="0"/>
    <m/>
    <m/>
    <m/>
    <m/>
    <m/>
    <n v="0"/>
    <m/>
    <m/>
    <m/>
    <m/>
    <n v="1"/>
    <n v="2814500"/>
  </r>
  <r>
    <m/>
    <n v="6"/>
    <n v="6"/>
    <s v="US"/>
    <n v="69"/>
    <s v="US 69"/>
    <s v="2406-47"/>
    <x v="0"/>
    <m/>
    <s v="S"/>
    <s v="MNDOT"/>
    <m/>
    <s v="**ELLA** FROM IA/MN STATE LINE TO T.H. 13, BITUMINOUS MILL &amp; OVERLAY AND AT T.H. 69/ T.H. 13 IN ALBERT LEA, REPLACE INPLACE SIGNAL  "/>
    <s v="000+00.000"/>
    <s v="012+00.439"/>
    <n v="12.5"/>
    <m/>
    <s v="FREEBORN"/>
    <s v="RS"/>
    <s v="1-P "/>
    <s v="1-P"/>
    <m/>
    <s v="PVTR - PAVEMENT RESURFACE AND REHABILITATION"/>
    <s v="MILL AND OVERLAY"/>
    <s v="STP 5K - 200K  "/>
    <s v="STP 5K - 200K"/>
    <m/>
    <m/>
    <n v="4571304"/>
    <n v="0"/>
    <n v="0"/>
    <n v="3624228.59"/>
    <n v="0"/>
    <n v="3624228.59"/>
    <n v="0"/>
    <n v="0"/>
    <n v="0"/>
    <n v="0"/>
    <n v="0"/>
    <n v="0"/>
    <n v="0"/>
    <n v="0"/>
    <n v="0"/>
    <n v="0"/>
    <n v="947074.94"/>
    <n v="0"/>
    <n v="947074.94"/>
    <n v="0"/>
    <n v="0"/>
    <n v="4571303.5299999993"/>
    <n v="51515756.049999997"/>
    <n v="11044296.629999999"/>
    <n v="2014"/>
    <m/>
    <s v="Project let in 2013."/>
    <m/>
    <m/>
    <m/>
    <m/>
    <s v="NO"/>
    <s v="NO"/>
    <s v="1st District"/>
    <s v="YES"/>
    <s v="NO"/>
    <s v="Yes"/>
    <s v="NO"/>
    <n v="0.82099999999999995"/>
    <n v="3753040.5839999998"/>
    <m/>
    <m/>
    <m/>
    <m/>
    <m/>
    <n v="0"/>
    <m/>
    <n v="0.115"/>
    <n v="525699.96000000008"/>
    <m/>
    <m/>
    <m/>
    <m/>
    <n v="3.2000000000000001E-2"/>
    <n v="146281.728"/>
    <m/>
    <m/>
    <m/>
    <m/>
    <m/>
    <n v="0"/>
    <m/>
    <m/>
    <m/>
    <m/>
    <m/>
    <n v="0"/>
    <m/>
    <m/>
    <m/>
    <m/>
    <n v="2.3E-2"/>
    <n v="105139.992"/>
    <m/>
    <m/>
    <m/>
    <m/>
    <n v="8.9999999999999993E-3"/>
    <n v="41141.735999999997"/>
    <m/>
    <m/>
    <m/>
    <m/>
    <m/>
    <n v="0"/>
    <m/>
    <m/>
    <m/>
    <m/>
    <m/>
    <n v="0"/>
    <m/>
    <m/>
    <m/>
    <m/>
    <n v="1"/>
    <n v="4571303.9999999991"/>
  </r>
  <r>
    <m/>
    <n v="6"/>
    <n v="6"/>
    <s v="MN"/>
    <n v="109"/>
    <s v="MN 109"/>
    <s v="2407-09"/>
    <x v="1"/>
    <m/>
    <s v="S"/>
    <s v="MNDOT"/>
    <m/>
    <s v="BROADWAY, ALDEN, FREEBORN COUNTY, DM&amp;E, UPGRADE TO GATES"/>
    <m/>
    <m/>
    <n v="0"/>
    <m/>
    <s v="DISTRICTWIDE"/>
    <s v="SR"/>
    <s v="7-O-P  "/>
    <s v="7-O-P "/>
    <m/>
    <s v="SETA - SET ASIDE"/>
    <s v="RR X-ING IMPROVEMENTS"/>
    <s v="RRS  "/>
    <s v="RRS"/>
    <m/>
    <m/>
    <n v="275000"/>
    <n v="0"/>
    <n v="0"/>
    <n v="247500"/>
    <n v="0"/>
    <n v="247500"/>
    <n v="0"/>
    <n v="0"/>
    <n v="0"/>
    <n v="0"/>
    <n v="0"/>
    <n v="0"/>
    <n v="0"/>
    <n v="0"/>
    <n v="0"/>
    <n v="0"/>
    <n v="27500"/>
    <n v="0"/>
    <n v="27500"/>
    <n v="0"/>
    <n v="0"/>
    <n v="275000"/>
    <n v="93019540"/>
    <n v="10958722"/>
    <n v="2015"/>
    <m/>
    <m/>
    <m/>
    <m/>
    <m/>
    <m/>
    <s v="NO"/>
    <s v="NO"/>
    <s v="1st District"/>
    <s v="NO"/>
    <s v="NO"/>
    <s v="Yes"/>
    <s v="NO"/>
    <m/>
    <n v="0"/>
    <m/>
    <m/>
    <m/>
    <m/>
    <m/>
    <n v="0"/>
    <m/>
    <m/>
    <n v="0"/>
    <m/>
    <m/>
    <m/>
    <m/>
    <n v="1"/>
    <n v="275000"/>
    <m/>
    <m/>
    <m/>
    <m/>
    <m/>
    <n v="0"/>
    <m/>
    <m/>
    <m/>
    <m/>
    <m/>
    <n v="0"/>
    <m/>
    <m/>
    <m/>
    <m/>
    <m/>
    <n v="0"/>
    <m/>
    <m/>
    <m/>
    <m/>
    <m/>
    <n v="0"/>
    <m/>
    <m/>
    <m/>
    <m/>
    <m/>
    <n v="0"/>
    <m/>
    <m/>
    <m/>
    <m/>
    <m/>
    <n v="0"/>
    <m/>
    <m/>
    <m/>
    <m/>
    <n v="1"/>
    <n v="275000"/>
  </r>
  <r>
    <m/>
    <n v="6"/>
    <n v="6"/>
    <s v="I"/>
    <n v="35"/>
    <s v="I 35"/>
    <s v="2480-104"/>
    <x v="1"/>
    <m/>
    <s v="S"/>
    <s v="MNDOT"/>
    <m/>
    <s v="**AC**SB FROM 0.66 MI. S. CSAH 23 TO 0.5 MI. N. T.H. 30, UNBONDED CONCRETE OVERLAY (AC PROJECT, PAYBACK IN 2016)"/>
    <s v="013+00.473"/>
    <s v="027+00.133"/>
    <n v="13.66"/>
    <m/>
    <s v="FREEBORN"/>
    <s v="RS"/>
    <s v="1-P "/>
    <s v="1-P"/>
    <m/>
    <s v="PVTR - PAVEMENT RESURFACE AND REHABILITATION"/>
    <s v="UNBONDED CONCRETE OVERLAY"/>
    <s v="NHPP  "/>
    <s v="NHPP"/>
    <m/>
    <m/>
    <n v="13650757"/>
    <n v="0"/>
    <n v="0"/>
    <n v="12285681"/>
    <n v="0"/>
    <n v="12285681"/>
    <n v="0"/>
    <n v="4050000"/>
    <n v="0"/>
    <n v="4050000"/>
    <n v="0"/>
    <n v="0"/>
    <n v="0"/>
    <n v="0"/>
    <n v="0"/>
    <n v="0"/>
    <n v="1365076"/>
    <n v="0"/>
    <n v="1365076"/>
    <n v="0"/>
    <n v="0"/>
    <n v="17700757"/>
    <n v="32724849"/>
    <n v="3296876"/>
    <n v="2015"/>
    <m/>
    <s v="MAP-21 NHPP PROJECT ADDED"/>
    <m/>
    <m/>
    <m/>
    <m/>
    <s v="NO"/>
    <s v="NO"/>
    <s v="1st District"/>
    <s v="NO"/>
    <s v="NO"/>
    <s v="Yes"/>
    <m/>
    <n v="0.82099999999999995"/>
    <n v="11207271.497"/>
    <m/>
    <m/>
    <m/>
    <m/>
    <m/>
    <n v="0"/>
    <m/>
    <n v="0.115"/>
    <n v="1569837.0550000002"/>
    <m/>
    <m/>
    <m/>
    <m/>
    <n v="3.2000000000000001E-2"/>
    <n v="436824.22399999999"/>
    <m/>
    <m/>
    <m/>
    <m/>
    <m/>
    <n v="0"/>
    <m/>
    <m/>
    <m/>
    <m/>
    <m/>
    <n v="0"/>
    <m/>
    <m/>
    <m/>
    <m/>
    <n v="2.3E-2"/>
    <n v="313967.41100000002"/>
    <m/>
    <m/>
    <m/>
    <m/>
    <n v="8.9999999999999993E-3"/>
    <n v="122856.81299999999"/>
    <m/>
    <m/>
    <m/>
    <m/>
    <m/>
    <n v="0"/>
    <m/>
    <m/>
    <m/>
    <m/>
    <m/>
    <n v="0"/>
    <m/>
    <m/>
    <m/>
    <m/>
    <n v="1"/>
    <n v="13650756.999999998"/>
  </r>
  <r>
    <m/>
    <n v="6"/>
    <n v="6"/>
    <s v="I"/>
    <n v="35"/>
    <s v="I 35"/>
    <s v="2480-104AC"/>
    <x v="2"/>
    <m/>
    <s v="S"/>
    <s v="MNDOT"/>
    <m/>
    <s v="**AC** SB FROM 0.66 MI. S. CSAH 23 TO 0.5 MI. N. T.H. 30, UNBONDED CONCRETE  OVERLAY (AC PAYBACK 1 OF 1)"/>
    <s v="013+00.473"/>
    <s v="027+00.133"/>
    <n v="13.66"/>
    <m/>
    <s v="FREEBORN"/>
    <s v="RS"/>
    <s v="1-P "/>
    <s v="1-P"/>
    <m/>
    <s v="PVTR - PAVEMENT RESURFACE AND REHABILITATION"/>
    <s v="UNBONDED CONCRETE OVERLAY"/>
    <s v="NHPP  "/>
    <s v="NHPP"/>
    <m/>
    <m/>
    <n v="4050000"/>
    <n v="0"/>
    <n v="0"/>
    <n v="0"/>
    <n v="0"/>
    <n v="0"/>
    <n v="0"/>
    <n v="0"/>
    <n v="0"/>
    <n v="0"/>
    <n v="0"/>
    <n v="4050000"/>
    <n v="0"/>
    <n v="4050000"/>
    <n v="0"/>
    <n v="0"/>
    <n v="0"/>
    <n v="0"/>
    <n v="0"/>
    <n v="0"/>
    <n v="0"/>
    <n v="0"/>
    <n v="18353412"/>
    <n v="0"/>
    <n v="2016"/>
    <m/>
    <m/>
    <m/>
    <m/>
    <m/>
    <m/>
    <s v="NO"/>
    <s v="NO"/>
    <s v="1st District"/>
    <s v="NO"/>
    <s v="NO"/>
    <s v="NO"/>
    <m/>
    <n v="0.82099999999999995"/>
    <n v="3325050"/>
    <n v="0"/>
    <n v="0"/>
    <n v="0"/>
    <n v="0"/>
    <n v="0"/>
    <n v="0"/>
    <n v="0"/>
    <n v="0.115"/>
    <n v="465750"/>
    <n v="0"/>
    <n v="0"/>
    <n v="0"/>
    <n v="0"/>
    <n v="3.2000000000000001E-2"/>
    <n v="129600"/>
    <n v="0"/>
    <n v="0"/>
    <n v="0"/>
    <n v="0"/>
    <n v="0"/>
    <n v="0"/>
    <n v="0"/>
    <n v="0"/>
    <n v="0"/>
    <n v="0"/>
    <n v="0"/>
    <n v="0"/>
    <n v="0"/>
    <n v="0"/>
    <n v="0"/>
    <n v="0"/>
    <n v="2.3E-2"/>
    <n v="93150"/>
    <n v="0"/>
    <n v="0"/>
    <n v="0"/>
    <n v="0"/>
    <n v="8.9999999999999993E-3"/>
    <n v="36450"/>
    <n v="0"/>
    <n v="0"/>
    <n v="0"/>
    <n v="0"/>
    <n v="0"/>
    <n v="0"/>
    <n v="0"/>
    <n v="0"/>
    <n v="0"/>
    <n v="0"/>
    <n v="0"/>
    <n v="0"/>
    <m/>
    <m/>
    <m/>
    <m/>
    <n v="1"/>
    <n v="4050000"/>
  </r>
  <r>
    <m/>
    <n v="6"/>
    <n v="6"/>
    <s v="MN"/>
    <n v="19"/>
    <s v="MN 19"/>
    <s v="2501-08"/>
    <x v="0"/>
    <m/>
    <s v="S"/>
    <s v="MNDOT"/>
    <m/>
    <s v="**BR4M**ELLA** FROM N JCT T.H. 3 TO T.H. 20 (CANNON FALLS), MEDIUM BITUMINOUS MILL AND OVERLAY "/>
    <s v="176+00.466"/>
    <s v="191+00.108"/>
    <n v="13.673999999999999"/>
    <m/>
    <s v="GOODHUE AND RICE"/>
    <s v="RS"/>
    <s v="1-P "/>
    <s v="1-P"/>
    <m/>
    <s v="PVTR - PAVEMENT RESURFACE AND REHABILITATION"/>
    <s v="MILL AND OVERLAY"/>
    <s v="STP 5K - 200K  "/>
    <s v="STP 5K - 200K"/>
    <m/>
    <m/>
    <n v="3833427.61"/>
    <n v="0"/>
    <n v="0"/>
    <n v="3066742.09"/>
    <n v="0"/>
    <n v="3066742.09"/>
    <n v="0"/>
    <n v="0"/>
    <n v="0"/>
    <n v="0"/>
    <n v="0"/>
    <n v="0"/>
    <n v="0"/>
    <n v="0"/>
    <n v="0"/>
    <n v="0"/>
    <n v="766685.52"/>
    <n v="0"/>
    <n v="766685.52"/>
    <n v="0"/>
    <n v="0"/>
    <n v="3833427.61"/>
    <n v="22223713.09"/>
    <n v="1042285.52"/>
    <n v="2014"/>
    <m/>
    <s v="Project let in 2013"/>
    <s v="BR4M"/>
    <m/>
    <m/>
    <m/>
    <s v="NO"/>
    <s v="NO"/>
    <s v="2nd District"/>
    <s v="YES"/>
    <s v="NO"/>
    <s v="Yes"/>
    <s v="NO"/>
    <n v="1"/>
    <n v="3833427.61"/>
    <m/>
    <m/>
    <m/>
    <m/>
    <m/>
    <n v="0"/>
    <m/>
    <m/>
    <n v="0"/>
    <m/>
    <m/>
    <m/>
    <m/>
    <m/>
    <n v="0"/>
    <m/>
    <m/>
    <m/>
    <m/>
    <m/>
    <n v="0"/>
    <m/>
    <m/>
    <m/>
    <m/>
    <m/>
    <n v="0"/>
    <m/>
    <m/>
    <m/>
    <m/>
    <m/>
    <n v="0"/>
    <m/>
    <m/>
    <m/>
    <m/>
    <m/>
    <n v="0"/>
    <m/>
    <m/>
    <m/>
    <m/>
    <m/>
    <n v="0"/>
    <m/>
    <m/>
    <m/>
    <m/>
    <m/>
    <n v="0"/>
    <m/>
    <m/>
    <m/>
    <m/>
    <n v="1"/>
    <n v="3833427.61"/>
  </r>
  <r>
    <m/>
    <n v="6"/>
    <n v="6"/>
    <s v="US"/>
    <n v="52"/>
    <s v="US 52"/>
    <s v="2505-53"/>
    <x v="2"/>
    <m/>
    <s v="S"/>
    <s v="MNDOT"/>
    <m/>
    <s v="SB LANES - FROM 0.4 MI. S. CSAH 11 TO 100' S MAIN ST. RAMP (PINE ISLAND) AND FROM S JCT MN 60 (S OF ZUMBROTA) TO 1.2 MI N CSAH 7, MEDIUM BITUMINOUS MILL AND OVERLAY"/>
    <s v="070+00.650"/>
    <s v="082+00.212"/>
    <n v="7.7590000000000003"/>
    <m/>
    <s v="MULTICOUNTY"/>
    <s v="RS"/>
    <s v="1-P "/>
    <s v="1-P"/>
    <m/>
    <s v="PVTR "/>
    <s v="MILL AND OVERLAY"/>
    <s v="SF  "/>
    <s v="SF"/>
    <m/>
    <m/>
    <n v="2500000"/>
    <n v="0"/>
    <n v="0"/>
    <n v="0"/>
    <n v="0"/>
    <n v="0"/>
    <n v="0"/>
    <n v="0"/>
    <n v="0"/>
    <n v="0"/>
    <n v="0"/>
    <n v="0"/>
    <n v="0"/>
    <n v="0"/>
    <n v="0"/>
    <n v="0"/>
    <n v="2500000"/>
    <n v="0"/>
    <n v="2500000"/>
    <n v="0"/>
    <n v="0"/>
    <n v="2500000"/>
    <n v="63005609"/>
    <n v="2630549"/>
    <n v="2016"/>
    <m/>
    <m/>
    <m/>
    <m/>
    <m/>
    <m/>
    <s v="NO"/>
    <s v="NO"/>
    <s v="2nd District"/>
    <s v="NO"/>
    <s v="NO"/>
    <s v="Yes"/>
    <m/>
    <n v="1"/>
    <n v="2500000"/>
    <m/>
    <m/>
    <m/>
    <m/>
    <m/>
    <n v="0"/>
    <m/>
    <m/>
    <n v="0"/>
    <m/>
    <m/>
    <m/>
    <m/>
    <m/>
    <n v="0"/>
    <m/>
    <m/>
    <m/>
    <m/>
    <m/>
    <n v="0"/>
    <m/>
    <m/>
    <m/>
    <m/>
    <m/>
    <n v="0"/>
    <m/>
    <m/>
    <m/>
    <m/>
    <m/>
    <n v="0"/>
    <m/>
    <m/>
    <m/>
    <m/>
    <m/>
    <n v="0"/>
    <m/>
    <m/>
    <m/>
    <m/>
    <m/>
    <n v="0"/>
    <m/>
    <m/>
    <m/>
    <m/>
    <m/>
    <n v="0"/>
    <m/>
    <m/>
    <m/>
    <m/>
    <n v="1"/>
    <n v="2500000"/>
  </r>
  <r>
    <m/>
    <n v="6"/>
    <n v="6"/>
    <s v="US"/>
    <n v="52"/>
    <s v="US 52"/>
    <s v="2506-72"/>
    <x v="0"/>
    <m/>
    <s v="S"/>
    <s v="MNDOT"/>
    <m/>
    <s v="FROM 1.1 MILES S OF CSAH 9 TO 0.1 MILES N OF CSAH 1 RT , GRADING, BITUMINOUS SURFACING, DRAINAGE AND LIGHTING - STATEWIDE SOLICITATION FOR HSIP FUNDS"/>
    <s v="088+00.374"/>
    <s v="091+00.605"/>
    <n v="3.2290000000000001"/>
    <m/>
    <s v="GOODHUE"/>
    <s v="SH"/>
    <s v="7-O-P"/>
    <s v="7-O-P"/>
    <m/>
    <s v="GRSU - GRADE AND SURFACE"/>
    <s v="GRADE AND SURFACE"/>
    <s v="HSIP  "/>
    <s v="HSIP"/>
    <m/>
    <m/>
    <n v="3500000"/>
    <n v="0"/>
    <n v="900000"/>
    <n v="0"/>
    <n v="0"/>
    <n v="900000"/>
    <n v="0"/>
    <n v="0"/>
    <n v="0"/>
    <n v="0"/>
    <n v="0"/>
    <n v="0"/>
    <n v="0"/>
    <n v="0"/>
    <n v="0"/>
    <n v="0"/>
    <n v="0"/>
    <n v="100000"/>
    <n v="100000"/>
    <n v="0"/>
    <n v="0"/>
    <n v="1000000"/>
    <n v="39002317.459999993"/>
    <n v="7919919.6899999995"/>
    <n v="2014"/>
    <m/>
    <m/>
    <m/>
    <m/>
    <m/>
    <m/>
    <s v="NO"/>
    <s v="NO"/>
    <s v="2nd District"/>
    <s v="NO"/>
    <s v="NO"/>
    <s v="Yes"/>
    <m/>
    <m/>
    <n v="0"/>
    <m/>
    <m/>
    <m/>
    <m/>
    <m/>
    <n v="0"/>
    <m/>
    <m/>
    <n v="0"/>
    <m/>
    <m/>
    <m/>
    <m/>
    <n v="1"/>
    <n v="3500000"/>
    <m/>
    <m/>
    <m/>
    <m/>
    <m/>
    <n v="0"/>
    <m/>
    <m/>
    <m/>
    <m/>
    <m/>
    <n v="0"/>
    <m/>
    <m/>
    <m/>
    <m/>
    <m/>
    <n v="0"/>
    <m/>
    <m/>
    <m/>
    <m/>
    <m/>
    <n v="0"/>
    <m/>
    <m/>
    <m/>
    <m/>
    <m/>
    <n v="0"/>
    <m/>
    <m/>
    <m/>
    <m/>
    <m/>
    <n v="0"/>
    <m/>
    <m/>
    <m/>
    <m/>
    <n v="1"/>
    <n v="3500000"/>
  </r>
  <r>
    <m/>
    <n v="6"/>
    <n v="6"/>
    <s v="US"/>
    <n v="52"/>
    <s v="US 52"/>
    <s v="2506-72"/>
    <x v="0"/>
    <m/>
    <s v="S"/>
    <s v="MNDOT"/>
    <m/>
    <s v="**CIMS** FROM 1.1 MILES S OF CSAH 9 TO 0.1 MILES N OF CSAH 1 RT , GRADING, BITUMINOUS SURFACING, DRAINAGE AND LIGHTING -  ($0.25M CIMS FUNDS, $1.27M SF AND $1.78M LOCAL FUNDS AND $5.6M SAM FUNDS)"/>
    <s v="088+00.374"/>
    <s v="091+00.605"/>
    <n v="3.2290000000000001"/>
    <m/>
    <s v="GOODHUE"/>
    <s v="SH"/>
    <s v="7-O-P"/>
    <s v="7-O-P"/>
    <m/>
    <s v="GRSU - GRADE AND SURFACE"/>
    <s v="GRADE AND SURFACE"/>
    <s v="HSIP  "/>
    <s v="HSIP"/>
    <m/>
    <m/>
    <n v="8900000"/>
    <n v="0"/>
    <n v="0"/>
    <n v="0"/>
    <n v="0"/>
    <n v="0"/>
    <n v="0"/>
    <n v="0"/>
    <n v="0"/>
    <n v="0"/>
    <n v="0"/>
    <n v="0"/>
    <n v="0"/>
    <n v="0"/>
    <n v="0"/>
    <n v="0"/>
    <n v="1520000"/>
    <n v="0"/>
    <n v="1520000"/>
    <n v="5600000"/>
    <n v="1780000"/>
    <n v="8900000"/>
    <m/>
    <m/>
    <m/>
    <m/>
    <m/>
    <m/>
    <m/>
    <m/>
    <m/>
    <m/>
    <m/>
    <m/>
    <m/>
    <m/>
    <m/>
    <m/>
    <m/>
    <m/>
    <m/>
    <m/>
    <m/>
    <m/>
    <m/>
    <m/>
    <m/>
    <m/>
    <m/>
    <m/>
    <m/>
    <m/>
    <m/>
    <n v="0.495"/>
    <n v="3500000"/>
    <m/>
    <m/>
    <m/>
    <m/>
    <m/>
    <m/>
    <m/>
    <m/>
    <m/>
    <m/>
    <m/>
    <m/>
    <m/>
    <m/>
    <m/>
    <m/>
    <m/>
    <m/>
    <m/>
    <m/>
    <m/>
    <m/>
    <m/>
    <m/>
    <m/>
    <m/>
    <m/>
    <m/>
    <n v="0.29499999999999998"/>
    <n v="2120000"/>
    <m/>
    <m/>
    <m/>
    <m/>
    <n v="0.21"/>
    <n v="1500000"/>
    <m/>
    <m/>
    <m/>
    <m/>
    <n v="1"/>
    <n v="7120000"/>
  </r>
  <r>
    <m/>
    <n v="6"/>
    <n v="6"/>
    <s v="US"/>
    <n v="61"/>
    <s v="US 61"/>
    <s v="2513-92"/>
    <x v="1"/>
    <m/>
    <s v="S"/>
    <s v="MNDOT"/>
    <m/>
    <s v="**CIMS** IN RED WING FROM POTTER STREET TO OLD WEST MAIN STREET, MILL AND OVERLAY, MEDIAN CONSTRUCTION AND PEDESTRIAN SAFETY IMPROVEMENT  - MUNICIPAL AGREEMENT PROGRAM - F.Y. 2015 - $2.445M CIMS FUNDS"/>
    <s v="090+00.964"/>
    <s v="091+00.684"/>
    <n v="0.70599999999999996"/>
    <s v="RED WING"/>
    <s v="GOODHUE"/>
    <s v="AM"/>
    <s v="1-P "/>
    <s v="1-P"/>
    <m/>
    <s v="PVTR - PAVEMENT RESURFACE AND REHABILITATION"/>
    <s v="COOP. CONST. AGREEMENT"/>
    <s v="SF LF "/>
    <s v="SF"/>
    <s v="LF"/>
    <m/>
    <n v="1100000"/>
    <n v="0"/>
    <n v="0"/>
    <n v="0"/>
    <n v="0"/>
    <n v="0"/>
    <n v="0"/>
    <n v="0"/>
    <n v="0"/>
    <n v="0"/>
    <n v="0"/>
    <n v="0"/>
    <n v="0"/>
    <n v="0"/>
    <n v="0"/>
    <n v="0"/>
    <n v="1100000"/>
    <n v="0"/>
    <n v="1100000"/>
    <n v="0"/>
    <n v="0"/>
    <n v="1991518"/>
    <n v="65164449"/>
    <n v="5306776"/>
    <n v="2015"/>
    <m/>
    <m/>
    <m/>
    <n v="891518"/>
    <m/>
    <m/>
    <s v="NO"/>
    <s v="NO"/>
    <s v="2nd District"/>
    <s v="NO"/>
    <s v="NO"/>
    <s v="Yes"/>
    <s v="NO"/>
    <m/>
    <n v="0"/>
    <m/>
    <m/>
    <m/>
    <m/>
    <n v="0.25469999999999998"/>
    <n v="903100"/>
    <m/>
    <n v="3.5700000000000003E-2"/>
    <n v="126500"/>
    <m/>
    <m/>
    <m/>
    <m/>
    <n v="1E-3"/>
    <n v="35200"/>
    <m/>
    <m/>
    <m/>
    <m/>
    <m/>
    <n v="0"/>
    <m/>
    <m/>
    <m/>
    <m/>
    <m/>
    <n v="0"/>
    <m/>
    <m/>
    <m/>
    <m/>
    <n v="7.1000000000000004E-3"/>
    <n v="25300"/>
    <m/>
    <m/>
    <m/>
    <m/>
    <n v="2.8E-3"/>
    <n v="9900"/>
    <m/>
    <m/>
    <m/>
    <m/>
    <n v="0.68969999999999998"/>
    <n v="2445000"/>
    <m/>
    <m/>
    <m/>
    <m/>
    <m/>
    <n v="0"/>
    <m/>
    <m/>
    <m/>
    <m/>
    <n v="1"/>
    <n v="3545000"/>
  </r>
  <r>
    <m/>
    <n v="6"/>
    <n v="6"/>
    <s v="US"/>
    <n v="61"/>
    <s v="US 61"/>
    <s v="2513-93"/>
    <x v="1"/>
    <m/>
    <s v="S"/>
    <s v="MNDOT"/>
    <m/>
    <s v="AT SEVASTOPOL ROAD AND WACOUTA ROAD - SOUTH OF RED WING, ADD LEFT TURN LANES AND REMOVE ACCESSES "/>
    <s v="085+00.333"/>
    <s v="088+00.120"/>
    <n v="0.95"/>
    <s v="RED WING"/>
    <s v="GOODHUE"/>
    <s v="SC"/>
    <s v="7-O-P "/>
    <s v="7-O-P"/>
    <m/>
    <s v="GRSU - GRADE AND SURFACE"/>
    <s v="GRADE AND SURFACE"/>
    <s v="SF  "/>
    <s v="SF"/>
    <m/>
    <m/>
    <n v="1193323"/>
    <n v="0"/>
    <n v="0"/>
    <n v="0"/>
    <n v="0"/>
    <n v="0"/>
    <n v="0"/>
    <n v="0"/>
    <n v="0"/>
    <n v="0"/>
    <n v="0"/>
    <n v="0"/>
    <n v="0"/>
    <n v="0"/>
    <n v="0"/>
    <n v="0"/>
    <n v="1193323"/>
    <n v="0"/>
    <n v="1193323"/>
    <n v="0"/>
    <n v="0"/>
    <n v="1193323"/>
    <n v="65164449"/>
    <n v="6500099"/>
    <n v="2015"/>
    <m/>
    <m/>
    <m/>
    <m/>
    <m/>
    <m/>
    <s v="NO"/>
    <s v="NO"/>
    <s v="2nd District"/>
    <s v="NO"/>
    <s v="NO"/>
    <s v="Yes"/>
    <m/>
    <m/>
    <n v="0"/>
    <m/>
    <m/>
    <m/>
    <m/>
    <m/>
    <n v="0"/>
    <m/>
    <m/>
    <n v="0"/>
    <m/>
    <m/>
    <m/>
    <m/>
    <n v="1"/>
    <n v="1193323"/>
    <m/>
    <m/>
    <m/>
    <m/>
    <m/>
    <n v="0"/>
    <m/>
    <m/>
    <m/>
    <m/>
    <m/>
    <n v="0"/>
    <m/>
    <m/>
    <m/>
    <m/>
    <m/>
    <n v="0"/>
    <m/>
    <m/>
    <m/>
    <m/>
    <m/>
    <n v="0"/>
    <m/>
    <m/>
    <m/>
    <m/>
    <m/>
    <n v="0"/>
    <m/>
    <m/>
    <m/>
    <m/>
    <m/>
    <n v="0"/>
    <m/>
    <m/>
    <m/>
    <m/>
    <n v="1"/>
    <n v="1193323"/>
  </r>
  <r>
    <m/>
    <n v="6"/>
    <n v="6"/>
    <s v="US"/>
    <n v="61"/>
    <s v="US 61"/>
    <s v="2514-114"/>
    <x v="9"/>
    <m/>
    <s v="S"/>
    <s v="MNDOT"/>
    <m/>
    <s v="NEAR SPRING CREEK AVE., INCLUDING CAROL LANE, ACCESS MANAGEMENT AND INTERSECTION SAFETY IMPROVEMENTS "/>
    <s v="092+00.400"/>
    <s v="096+00.561"/>
    <n v="4.12"/>
    <m/>
    <s v="GOODHUE"/>
    <s v="AM"/>
    <s v=" "/>
    <m/>
    <m/>
    <s v="GRSU - GRADE AND SURFACE"/>
    <s v="GRADE AND SURFACE"/>
    <s v="SF  "/>
    <s v="SF"/>
    <m/>
    <m/>
    <n v="500000"/>
    <n v="0"/>
    <n v="0"/>
    <n v="0"/>
    <n v="0"/>
    <n v="0"/>
    <n v="0"/>
    <n v="0"/>
    <n v="0"/>
    <n v="0"/>
    <n v="0"/>
    <n v="0"/>
    <n v="0"/>
    <n v="0"/>
    <n v="0"/>
    <n v="0"/>
    <n v="500000"/>
    <n v="0"/>
    <n v="500000"/>
    <n v="0"/>
    <n v="0"/>
    <n v="500000"/>
    <n v="47364938"/>
    <n v="9769883"/>
    <n v="2017"/>
    <m/>
    <m/>
    <m/>
    <m/>
    <m/>
    <m/>
    <s v="NO"/>
    <s v="NO"/>
    <s v="2nd District"/>
    <s v="NO"/>
    <s v="NO"/>
    <s v="Yes"/>
    <m/>
    <m/>
    <n v="0"/>
    <m/>
    <m/>
    <m/>
    <m/>
    <m/>
    <n v="0"/>
    <m/>
    <m/>
    <n v="0"/>
    <m/>
    <m/>
    <m/>
    <m/>
    <n v="1"/>
    <n v="500000"/>
    <m/>
    <m/>
    <m/>
    <m/>
    <m/>
    <n v="0"/>
    <m/>
    <m/>
    <m/>
    <m/>
    <m/>
    <n v="0"/>
    <m/>
    <m/>
    <m/>
    <m/>
    <m/>
    <n v="0"/>
    <m/>
    <m/>
    <m/>
    <m/>
    <m/>
    <n v="0"/>
    <m/>
    <m/>
    <m/>
    <m/>
    <m/>
    <n v="0"/>
    <m/>
    <m/>
    <m/>
    <m/>
    <m/>
    <n v="0"/>
    <m/>
    <m/>
    <m/>
    <m/>
    <n v="1"/>
    <n v="500000"/>
  </r>
  <r>
    <m/>
    <n v="6"/>
    <n v="6"/>
    <s v="US"/>
    <n v="61"/>
    <s v="US 61"/>
    <s v="2514-119"/>
    <x v="0"/>
    <m/>
    <s v="S"/>
    <s v="MNDOT"/>
    <m/>
    <s v="NB AND SB FROM TH 19 TO TH 316, MEDIUM BITUMINOUS MILL AND OVERLAY"/>
    <s v="096+00.561"/>
    <s v="104+00.480"/>
    <n v="7.8230000000000004"/>
    <m/>
    <s v="GOODHUE"/>
    <s v="RS"/>
    <s v="1-P "/>
    <s v="1-P"/>
    <m/>
    <s v="PVTR - PAVEMENT RESURFACE AND REHABILITATION"/>
    <s v="MILL AND OVERLAY"/>
    <s v="NHPP"/>
    <s v="NHPP"/>
    <m/>
    <m/>
    <n v="4386512"/>
    <n v="0"/>
    <n v="0"/>
    <n v="3509210"/>
    <n v="0"/>
    <n v="3509210"/>
    <n v="0"/>
    <n v="0"/>
    <n v="0"/>
    <n v="0"/>
    <n v="0"/>
    <n v="0"/>
    <n v="0"/>
    <n v="0"/>
    <n v="0"/>
    <n v="0"/>
    <n v="877302"/>
    <n v="0"/>
    <n v="877302"/>
    <n v="0"/>
    <n v="0"/>
    <n v="4386512"/>
    <n v="44095527.459999993"/>
    <n v="9193221.6899999995"/>
    <n v="2014"/>
    <m/>
    <s v="MAP-21 NHPP PROJECT ADDED"/>
    <m/>
    <m/>
    <m/>
    <m/>
    <s v="NO"/>
    <s v="NO"/>
    <s v="2nd District"/>
    <s v="NO"/>
    <s v="NO"/>
    <s v="Yes"/>
    <m/>
    <n v="1"/>
    <n v="4386512"/>
    <m/>
    <m/>
    <m/>
    <m/>
    <m/>
    <n v="0"/>
    <m/>
    <m/>
    <n v="0"/>
    <m/>
    <m/>
    <m/>
    <m/>
    <m/>
    <n v="0"/>
    <m/>
    <m/>
    <m/>
    <m/>
    <m/>
    <n v="0"/>
    <m/>
    <m/>
    <m/>
    <m/>
    <m/>
    <n v="0"/>
    <m/>
    <m/>
    <m/>
    <m/>
    <m/>
    <n v="0"/>
    <m/>
    <m/>
    <m/>
    <m/>
    <m/>
    <n v="0"/>
    <m/>
    <m/>
    <m/>
    <m/>
    <m/>
    <n v="0"/>
    <m/>
    <m/>
    <m/>
    <m/>
    <m/>
    <n v="0"/>
    <m/>
    <m/>
    <m/>
    <m/>
    <n v="1"/>
    <n v="4386512"/>
  </r>
  <r>
    <m/>
    <n v="6"/>
    <n v="6"/>
    <s v="US"/>
    <n v="61"/>
    <s v="US 61"/>
    <s v="2514-120"/>
    <x v="1"/>
    <m/>
    <s v="S"/>
    <s v="MNDOT"/>
    <m/>
    <s v="NB AND SB FROM READY MIX ENTRANCE IN RED WING TO TH 19, MEDIUM BITUMINOUS MILL AND OVERLAY"/>
    <s v="088+00.109"/>
    <s v="096+00.561"/>
    <n v="15.616"/>
    <m/>
    <s v="GOODHUE"/>
    <s v="RS"/>
    <s v="1-P "/>
    <s v="1-P"/>
    <m/>
    <s v="PVTR - PAVEMENT RESURFACE AND REHABILITATION"/>
    <s v="MILL AND OVERLAY"/>
    <s v="NHPP  "/>
    <s v="NHPP"/>
    <m/>
    <m/>
    <n v="4484800"/>
    <n v="0"/>
    <n v="0"/>
    <n v="3587840"/>
    <n v="0"/>
    <n v="3587840"/>
    <n v="0"/>
    <n v="0"/>
    <n v="0"/>
    <n v="0"/>
    <n v="0"/>
    <n v="0"/>
    <n v="0"/>
    <n v="0"/>
    <n v="0"/>
    <n v="0"/>
    <n v="896960"/>
    <n v="0"/>
    <n v="896960"/>
    <n v="0"/>
    <n v="0"/>
    <n v="4484800"/>
    <n v="68752289"/>
    <n v="7397059"/>
    <n v="2015"/>
    <m/>
    <s v="MAP-21 NHPP PROJECT ADDED"/>
    <m/>
    <m/>
    <m/>
    <m/>
    <s v="NO"/>
    <s v="NO"/>
    <s v="2nd District"/>
    <s v="NO"/>
    <s v="NO"/>
    <s v="Yes"/>
    <m/>
    <n v="1"/>
    <n v="4484800"/>
    <m/>
    <m/>
    <m/>
    <m/>
    <m/>
    <n v="0"/>
    <m/>
    <m/>
    <n v="0"/>
    <m/>
    <m/>
    <m/>
    <m/>
    <m/>
    <n v="0"/>
    <m/>
    <m/>
    <m/>
    <m/>
    <m/>
    <n v="0"/>
    <m/>
    <m/>
    <m/>
    <m/>
    <m/>
    <n v="0"/>
    <m/>
    <m/>
    <m/>
    <m/>
    <m/>
    <n v="0"/>
    <m/>
    <m/>
    <m/>
    <m/>
    <m/>
    <n v="0"/>
    <m/>
    <m/>
    <m/>
    <m/>
    <m/>
    <n v="0"/>
    <m/>
    <m/>
    <m/>
    <m/>
    <m/>
    <n v="0"/>
    <m/>
    <m/>
    <m/>
    <m/>
    <n v="1"/>
    <n v="4484800"/>
  </r>
  <r>
    <m/>
    <n v="4"/>
    <n v="4"/>
    <s v="MN"/>
    <n v="9"/>
    <s v="MN 9"/>
    <s v="2601-19"/>
    <x v="9"/>
    <m/>
    <s v="S"/>
    <s v="MNDOT"/>
    <m/>
    <s v="JCT. TH 27 IN HERMAN TO JCT. OF TH 55, MILL AND OVERLAY"/>
    <n v="4212100"/>
    <n v="0"/>
    <n v="0"/>
    <n v="3369680"/>
    <n v="0"/>
    <n v="3369680"/>
    <n v="0"/>
    <n v="0"/>
    <n v="0"/>
    <n v="0"/>
    <n v="0"/>
    <n v="0"/>
    <n v="0"/>
    <n v="0"/>
    <n v="0"/>
    <n v="4212100"/>
    <n v="842420"/>
    <n v="0"/>
    <n v="842420"/>
    <n v="0"/>
    <n v="0"/>
    <n v="4212100"/>
    <n v="105586187.5"/>
    <n v="53874730"/>
    <n v="2017"/>
    <m/>
    <m/>
    <m/>
    <m/>
    <m/>
    <m/>
    <s v="NO"/>
    <s v="NO"/>
    <s v="7th District"/>
    <s v="NO"/>
    <n v="0"/>
    <s v="YES"/>
    <s v="NO"/>
    <n v="1"/>
    <n v="4212100"/>
    <m/>
    <m/>
    <m/>
    <m/>
    <m/>
    <n v="0"/>
    <m/>
    <m/>
    <m/>
    <m/>
    <m/>
    <n v="0"/>
    <m/>
    <n v="1"/>
    <n v="4212100"/>
    <m/>
    <m/>
    <m/>
    <m/>
    <m/>
    <n v="0"/>
    <m/>
    <m/>
    <n v="0"/>
    <m/>
    <m/>
    <m/>
    <m/>
    <m/>
    <n v="0"/>
    <m/>
    <m/>
    <m/>
    <m/>
    <m/>
    <n v="0"/>
    <m/>
    <m/>
    <m/>
    <m/>
    <m/>
    <n v="0"/>
    <m/>
    <m/>
    <m/>
    <m/>
    <m/>
    <n v="0"/>
    <m/>
    <m/>
    <m/>
    <m/>
    <m/>
    <n v="0"/>
    <m/>
    <m/>
    <m/>
    <m/>
    <m/>
    <n v="0"/>
    <m/>
    <m/>
    <m/>
    <m/>
    <m/>
    <n v="0"/>
    <m/>
    <m/>
    <m/>
    <m/>
    <n v="1"/>
    <n v="4212100"/>
  </r>
  <r>
    <m/>
    <n v="4"/>
    <n v="4"/>
    <s v="MN"/>
    <n v="79"/>
    <s v="MN 79"/>
    <s v="2613-18"/>
    <x v="2"/>
    <s v="2016-36"/>
    <s v="S"/>
    <s v="MNDOT"/>
    <m/>
    <s v="JCT. TH 59/ELBOW LAKE TO JCT I-94, MILL AND BIT. OVERLAY"/>
    <n v="4243300"/>
    <n v="0"/>
    <n v="0"/>
    <n v="3394600"/>
    <n v="0"/>
    <n v="3394600"/>
    <n v="0"/>
    <n v="0"/>
    <n v="0"/>
    <n v="0"/>
    <n v="0"/>
    <n v="0"/>
    <n v="0"/>
    <n v="0"/>
    <n v="0"/>
    <n v="4243300"/>
    <n v="848700"/>
    <n v="0"/>
    <n v="848700"/>
    <n v="0"/>
    <n v="0"/>
    <n v="4243300"/>
    <n v="66001269"/>
    <n v="37348410"/>
    <n v="2016"/>
    <m/>
    <m/>
    <m/>
    <m/>
    <m/>
    <m/>
    <s v="YES"/>
    <s v="NO"/>
    <s v="7th District"/>
    <s v="NO"/>
    <n v="0"/>
    <s v="YES"/>
    <s v="NO"/>
    <n v="0.80220000000000002"/>
    <n v="3403975.2600000002"/>
    <m/>
    <m/>
    <m/>
    <m/>
    <m/>
    <n v="0"/>
    <m/>
    <m/>
    <m/>
    <m/>
    <n v="0.11210000000000001"/>
    <n v="475673.93"/>
    <m/>
    <n v="0.80220000000000002"/>
    <n v="3403975.2600000002"/>
    <m/>
    <m/>
    <m/>
    <m/>
    <m/>
    <n v="0"/>
    <m/>
    <n v="0.11210000000000001"/>
    <n v="475673.93"/>
    <m/>
    <m/>
    <m/>
    <m/>
    <n v="3.3799999999999997E-2"/>
    <n v="143423.53999999998"/>
    <m/>
    <m/>
    <m/>
    <m/>
    <m/>
    <n v="0"/>
    <m/>
    <m/>
    <m/>
    <m/>
    <m/>
    <n v="0"/>
    <m/>
    <m/>
    <m/>
    <m/>
    <m/>
    <n v="0"/>
    <m/>
    <m/>
    <m/>
    <m/>
    <n v="3.4700000000000002E-2"/>
    <n v="147242.51"/>
    <m/>
    <m/>
    <m/>
    <m/>
    <n v="1.72E-2"/>
    <n v="72984.759999999995"/>
    <m/>
    <m/>
    <m/>
    <m/>
    <m/>
    <n v="0"/>
    <m/>
    <m/>
    <m/>
    <m/>
    <n v="0.99999999999999989"/>
    <n v="4243300"/>
  </r>
  <r>
    <m/>
    <s v="M"/>
    <s v="M"/>
    <s v="MN"/>
    <n v="5"/>
    <s v="MN 5"/>
    <s v="2701-49"/>
    <x v="9"/>
    <m/>
    <s v="S"/>
    <s v="MNDOT"/>
    <n v="7"/>
    <s v="FROM CSAH 4 (EDEN PRAIRIE RD) TO FULLER RD/VENTURE LANE IN EDEN PRAIRIE-MILL AND OVERLAY"/>
    <m/>
    <m/>
    <m/>
    <m/>
    <m/>
    <m/>
    <m/>
    <m/>
    <m/>
    <m/>
    <m/>
    <m/>
    <m/>
    <m/>
    <m/>
    <n v="750000"/>
    <m/>
    <m/>
    <m/>
    <m/>
    <m/>
    <m/>
    <m/>
    <m/>
    <m/>
    <m/>
    <m/>
    <m/>
    <m/>
    <m/>
    <m/>
    <m/>
    <m/>
    <m/>
    <m/>
    <n v="0"/>
    <m/>
    <m/>
    <m/>
    <m/>
    <m/>
    <m/>
    <m/>
    <m/>
    <m/>
    <m/>
    <m/>
    <m/>
    <m/>
    <m/>
    <m/>
    <m/>
    <m/>
    <n v="0.82099999999999995"/>
    <n v="615750"/>
    <m/>
    <m/>
    <m/>
    <m/>
    <m/>
    <n v="0"/>
    <m/>
    <n v="0.115"/>
    <n v="86250"/>
    <s v="Other structures"/>
    <m/>
    <m/>
    <m/>
    <n v="3.2000000000000001E-2"/>
    <n v="24000"/>
    <s v="Low cost high benefit"/>
    <n v="1"/>
    <m/>
    <m/>
    <m/>
    <n v="0"/>
    <m/>
    <m/>
    <m/>
    <m/>
    <m/>
    <n v="0"/>
    <m/>
    <m/>
    <m/>
    <m/>
    <n v="2.3E-2"/>
    <n v="17250"/>
    <m/>
    <m/>
    <m/>
    <m/>
    <n v="8.9999999999999993E-3"/>
    <n v="6749.9999999999991"/>
    <m/>
    <m/>
    <m/>
    <m/>
    <m/>
    <n v="0"/>
    <m/>
    <m/>
    <m/>
    <m/>
    <m/>
    <n v="0"/>
    <m/>
    <m/>
    <m/>
    <m/>
    <n v="1"/>
    <n v="750000"/>
  </r>
  <r>
    <m/>
    <s v="M"/>
    <s v="M"/>
    <s v="MN"/>
    <n v="7"/>
    <s v="MN 7"/>
    <s v="2706-225"/>
    <x v="0"/>
    <m/>
    <s v="S"/>
    <s v="MNDOT"/>
    <n v="7"/>
    <s v="AT OAK ST(HENNEPIN CSAH 19) IN SHOREWOOD/EXCELSIOR-SIGNAL REPLACEMENT &amp; TURN LANE EXTENSION "/>
    <m/>
    <m/>
    <m/>
    <m/>
    <m/>
    <m/>
    <m/>
    <m/>
    <m/>
    <m/>
    <m/>
    <m/>
    <m/>
    <m/>
    <m/>
    <n v="230000"/>
    <m/>
    <m/>
    <m/>
    <m/>
    <m/>
    <m/>
    <m/>
    <m/>
    <m/>
    <m/>
    <m/>
    <m/>
    <m/>
    <m/>
    <m/>
    <m/>
    <m/>
    <m/>
    <m/>
    <n v="60000"/>
    <m/>
    <m/>
    <m/>
    <m/>
    <m/>
    <m/>
    <m/>
    <m/>
    <m/>
    <m/>
    <m/>
    <m/>
    <m/>
    <m/>
    <m/>
    <m/>
    <m/>
    <m/>
    <n v="0"/>
    <m/>
    <m/>
    <m/>
    <m/>
    <m/>
    <n v="0"/>
    <m/>
    <n v="0.77086386140760077"/>
    <n v="131046.85643929213"/>
    <s v="Signals"/>
    <m/>
    <m/>
    <m/>
    <m/>
    <n v="0"/>
    <m/>
    <n v="1"/>
    <m/>
    <m/>
    <m/>
    <n v="0"/>
    <m/>
    <m/>
    <m/>
    <m/>
    <n v="0.22913613859239926"/>
    <n v="38953.143560707875"/>
    <m/>
    <m/>
    <m/>
    <m/>
    <m/>
    <n v="0"/>
    <m/>
    <m/>
    <m/>
    <m/>
    <m/>
    <n v="0"/>
    <m/>
    <m/>
    <m/>
    <m/>
    <m/>
    <n v="0"/>
    <m/>
    <m/>
    <m/>
    <m/>
    <m/>
    <n v="0"/>
    <m/>
    <m/>
    <m/>
    <m/>
    <n v="1"/>
    <n v="170000"/>
  </r>
  <r>
    <m/>
    <s v="M"/>
    <s v="M"/>
    <s v="MN"/>
    <n v="7"/>
    <s v="MN 7"/>
    <s v="2706-227"/>
    <x v="0"/>
    <m/>
    <s v="S"/>
    <s v="MNDOT"/>
    <n v="7"/>
    <s v="AT 5TH AVE N/OAKRIDGE RD IN HOPKINS-SIGNAL REPLACEMENT"/>
    <m/>
    <m/>
    <m/>
    <m/>
    <m/>
    <m/>
    <m/>
    <m/>
    <m/>
    <m/>
    <m/>
    <m/>
    <m/>
    <m/>
    <m/>
    <n v="250000"/>
    <m/>
    <m/>
    <m/>
    <m/>
    <m/>
    <m/>
    <m/>
    <m/>
    <m/>
    <m/>
    <m/>
    <m/>
    <m/>
    <m/>
    <m/>
    <m/>
    <m/>
    <m/>
    <m/>
    <n v="125000"/>
    <m/>
    <m/>
    <m/>
    <m/>
    <m/>
    <m/>
    <m/>
    <m/>
    <m/>
    <m/>
    <m/>
    <m/>
    <m/>
    <m/>
    <m/>
    <m/>
    <m/>
    <m/>
    <n v="0"/>
    <m/>
    <m/>
    <m/>
    <m/>
    <m/>
    <n v="0"/>
    <m/>
    <n v="1"/>
    <n v="125000"/>
    <s v="Signals"/>
    <m/>
    <m/>
    <m/>
    <m/>
    <n v="0"/>
    <m/>
    <n v="1"/>
    <m/>
    <m/>
    <m/>
    <n v="0"/>
    <m/>
    <m/>
    <m/>
    <m/>
    <m/>
    <n v="0"/>
    <m/>
    <m/>
    <m/>
    <m/>
    <m/>
    <n v="0"/>
    <m/>
    <m/>
    <m/>
    <m/>
    <m/>
    <n v="0"/>
    <m/>
    <m/>
    <m/>
    <m/>
    <m/>
    <n v="0"/>
    <m/>
    <m/>
    <m/>
    <m/>
    <m/>
    <n v="0"/>
    <m/>
    <m/>
    <m/>
    <m/>
    <n v="1"/>
    <n v="125000"/>
  </r>
  <r>
    <m/>
    <s v="M"/>
    <s v="M"/>
    <s v="MN"/>
    <n v="7"/>
    <s v="MN 7"/>
    <s v="2706-235"/>
    <x v="0"/>
    <m/>
    <s v="S"/>
    <s v="MNDOT"/>
    <n v="7"/>
    <s v="AT HENNEPIN CSAH 61 (SHADY OAK RD) IN MINNETONKA - UPGRADE TO A 4-LANE RDWY, INTERSECTION IMPROVEMENTS (TIED TO 027-661-046) ($577K IS CO-OP AGMT FUNDS)"/>
    <m/>
    <m/>
    <m/>
    <m/>
    <m/>
    <m/>
    <m/>
    <m/>
    <m/>
    <m/>
    <m/>
    <m/>
    <m/>
    <m/>
    <m/>
    <n v="702000"/>
    <m/>
    <m/>
    <m/>
    <m/>
    <m/>
    <m/>
    <m/>
    <m/>
    <m/>
    <m/>
    <m/>
    <m/>
    <m/>
    <m/>
    <m/>
    <m/>
    <m/>
    <m/>
    <m/>
    <n v="0"/>
    <m/>
    <m/>
    <m/>
    <m/>
    <m/>
    <m/>
    <m/>
    <m/>
    <m/>
    <m/>
    <m/>
    <m/>
    <m/>
    <m/>
    <m/>
    <m/>
    <m/>
    <m/>
    <n v="0"/>
    <m/>
    <m/>
    <m/>
    <m/>
    <m/>
    <n v="0"/>
    <m/>
    <n v="0.71123599999999998"/>
    <n v="499287.67199999996"/>
    <s v="Signals"/>
    <m/>
    <m/>
    <m/>
    <m/>
    <n v="0"/>
    <m/>
    <n v="1"/>
    <m/>
    <m/>
    <m/>
    <n v="0"/>
    <m/>
    <m/>
    <m/>
    <m/>
    <n v="0.28876400000000002"/>
    <n v="202712.32800000001"/>
    <m/>
    <m/>
    <m/>
    <m/>
    <m/>
    <n v="0"/>
    <m/>
    <m/>
    <m/>
    <m/>
    <m/>
    <n v="0"/>
    <m/>
    <m/>
    <m/>
    <m/>
    <m/>
    <n v="0"/>
    <m/>
    <m/>
    <m/>
    <m/>
    <m/>
    <n v="0"/>
    <m/>
    <m/>
    <m/>
    <m/>
    <n v="1"/>
    <n v="702000"/>
  </r>
  <r>
    <m/>
    <n v="1"/>
    <n v="1"/>
    <s v="MN"/>
    <n v="999"/>
    <s v="MN 999"/>
    <m/>
    <x v="4"/>
    <m/>
    <m/>
    <m/>
    <m/>
    <s v="NON -NHS PAVEMENT - 2019"/>
    <m/>
    <m/>
    <m/>
    <m/>
    <m/>
    <m/>
    <m/>
    <m/>
    <m/>
    <m/>
    <m/>
    <m/>
    <m/>
    <m/>
    <m/>
    <n v="4300000"/>
    <m/>
    <m/>
    <m/>
    <m/>
    <m/>
    <m/>
    <m/>
    <m/>
    <m/>
    <m/>
    <m/>
    <m/>
    <m/>
    <m/>
    <m/>
    <m/>
    <m/>
    <m/>
    <m/>
    <n v="4300000"/>
    <m/>
    <m/>
    <m/>
    <m/>
    <m/>
    <m/>
    <m/>
    <m/>
    <m/>
    <m/>
    <m/>
    <m/>
    <m/>
    <m/>
    <m/>
    <m/>
    <m/>
    <n v="0.82099999999999995"/>
    <n v="3530300"/>
    <m/>
    <m/>
    <m/>
    <m/>
    <m/>
    <n v="0"/>
    <m/>
    <n v="0.115"/>
    <n v="494500"/>
    <m/>
    <m/>
    <m/>
    <m/>
    <n v="3.2000000000000001E-2"/>
    <n v="137600"/>
    <m/>
    <m/>
    <m/>
    <m/>
    <m/>
    <n v="0"/>
    <m/>
    <m/>
    <m/>
    <m/>
    <m/>
    <n v="0"/>
    <m/>
    <m/>
    <m/>
    <m/>
    <n v="2.3E-2"/>
    <n v="98900"/>
    <m/>
    <m/>
    <m/>
    <m/>
    <n v="8.9999999999999993E-3"/>
    <n v="38700"/>
    <m/>
    <m/>
    <m/>
    <m/>
    <m/>
    <n v="0"/>
    <m/>
    <m/>
    <m/>
    <m/>
    <m/>
    <n v="0"/>
    <m/>
    <m/>
    <m/>
    <m/>
    <n v="1"/>
    <n v="4300000"/>
  </r>
  <r>
    <m/>
    <s v="M"/>
    <s v="M"/>
    <s v="MN"/>
    <n v="65"/>
    <s v="MN 65"/>
    <s v="2710-42"/>
    <x v="0"/>
    <m/>
    <s v="S"/>
    <s v="MNDOT"/>
    <n v="7"/>
    <s v="NORTH OF 14TH AVE IN MPLS-REPLACE RAILROAD BRIDGE 90446 (NEW 27236) &amp; RAISE CLEARANCE, DRAINAGE"/>
    <m/>
    <m/>
    <m/>
    <m/>
    <m/>
    <m/>
    <m/>
    <m/>
    <m/>
    <m/>
    <m/>
    <m/>
    <m/>
    <m/>
    <m/>
    <n v="11550000"/>
    <m/>
    <m/>
    <m/>
    <m/>
    <m/>
    <m/>
    <m/>
    <m/>
    <m/>
    <m/>
    <m/>
    <m/>
    <m/>
    <m/>
    <m/>
    <m/>
    <m/>
    <m/>
    <m/>
    <n v="0"/>
    <m/>
    <m/>
    <m/>
    <m/>
    <m/>
    <m/>
    <m/>
    <m/>
    <m/>
    <m/>
    <m/>
    <m/>
    <m/>
    <m/>
    <m/>
    <m/>
    <m/>
    <m/>
    <n v="0"/>
    <m/>
    <m/>
    <m/>
    <m/>
    <n v="0.98636117547096813"/>
    <n v="11392471.576689681"/>
    <m/>
    <n v="1.3638824529031904E-2"/>
    <n v="157528.4233103185"/>
    <s v="Drainage and culverts"/>
    <m/>
    <m/>
    <m/>
    <m/>
    <n v="0"/>
    <m/>
    <n v="1"/>
    <m/>
    <m/>
    <m/>
    <n v="0"/>
    <m/>
    <m/>
    <m/>
    <m/>
    <m/>
    <n v="0"/>
    <m/>
    <m/>
    <m/>
    <m/>
    <m/>
    <n v="0"/>
    <m/>
    <m/>
    <m/>
    <m/>
    <m/>
    <n v="0"/>
    <m/>
    <m/>
    <m/>
    <m/>
    <m/>
    <n v="0"/>
    <m/>
    <m/>
    <m/>
    <m/>
    <m/>
    <n v="0"/>
    <m/>
    <m/>
    <m/>
    <m/>
    <n v="1"/>
    <n v="11550000"/>
  </r>
  <r>
    <m/>
    <s v="M"/>
    <s v="M"/>
    <s v="US"/>
    <n v="12"/>
    <s v="US 12"/>
    <s v="2713-107"/>
    <x v="2"/>
    <m/>
    <s v="S"/>
    <s v="MNDOT"/>
    <n v="7"/>
    <s v="AT HENNEPIN CSAH 90 IN INDEPENDENCE - CONSTRUCT LEFT TURN LANES"/>
    <m/>
    <m/>
    <m/>
    <m/>
    <m/>
    <m/>
    <m/>
    <m/>
    <m/>
    <m/>
    <m/>
    <m/>
    <m/>
    <m/>
    <m/>
    <n v="1640000"/>
    <m/>
    <m/>
    <m/>
    <m/>
    <m/>
    <m/>
    <m/>
    <m/>
    <m/>
    <m/>
    <m/>
    <m/>
    <m/>
    <m/>
    <m/>
    <m/>
    <m/>
    <m/>
    <m/>
    <n v="0"/>
    <m/>
    <m/>
    <m/>
    <m/>
    <m/>
    <m/>
    <m/>
    <m/>
    <m/>
    <m/>
    <m/>
    <m/>
    <m/>
    <m/>
    <m/>
    <m/>
    <m/>
    <m/>
    <n v="0"/>
    <m/>
    <m/>
    <m/>
    <m/>
    <m/>
    <n v="0"/>
    <m/>
    <n v="1.2473100434603016E-2"/>
    <n v="20455.884712748946"/>
    <s v="Drainage and culverts"/>
    <m/>
    <m/>
    <m/>
    <m/>
    <n v="0"/>
    <m/>
    <n v="1"/>
    <m/>
    <m/>
    <m/>
    <n v="0"/>
    <m/>
    <m/>
    <m/>
    <m/>
    <n v="0.98752689956539697"/>
    <n v="1619544.1152872511"/>
    <m/>
    <m/>
    <m/>
    <m/>
    <m/>
    <n v="0"/>
    <m/>
    <m/>
    <m/>
    <m/>
    <m/>
    <n v="0"/>
    <m/>
    <m/>
    <m/>
    <m/>
    <m/>
    <n v="0"/>
    <m/>
    <m/>
    <m/>
    <m/>
    <m/>
    <n v="0"/>
    <m/>
    <m/>
    <m/>
    <m/>
    <n v="1"/>
    <n v="1640000"/>
  </r>
  <r>
    <m/>
    <s v="M"/>
    <s v="M"/>
    <s v="US"/>
    <n v="12"/>
    <s v="US 12"/>
    <s v="2714-142"/>
    <x v="1"/>
    <m/>
    <s v="S"/>
    <s v="MNDOT"/>
    <n v="7"/>
    <s v="FROM E JCT HENNEPIN CSAH 101 IN WAYZATA TO I494 CD RD EXIT IN MINNETONKA-CONSTRUCT AUXILIARY LANE, DRAINAGE, GUARDRAIL"/>
    <m/>
    <m/>
    <m/>
    <m/>
    <m/>
    <m/>
    <m/>
    <m/>
    <m/>
    <m/>
    <m/>
    <m/>
    <m/>
    <m/>
    <m/>
    <n v="1265000"/>
    <m/>
    <m/>
    <m/>
    <m/>
    <m/>
    <m/>
    <m/>
    <m/>
    <m/>
    <m/>
    <m/>
    <m/>
    <m/>
    <m/>
    <m/>
    <m/>
    <m/>
    <m/>
    <m/>
    <n v="0"/>
    <m/>
    <m/>
    <m/>
    <m/>
    <m/>
    <m/>
    <m/>
    <m/>
    <m/>
    <m/>
    <m/>
    <m/>
    <m/>
    <m/>
    <m/>
    <m/>
    <m/>
    <m/>
    <n v="0"/>
    <m/>
    <m/>
    <m/>
    <m/>
    <m/>
    <n v="0"/>
    <m/>
    <n v="0.10772382672766682"/>
    <n v="136270.64081049853"/>
    <s v="Drainage and culverts"/>
    <m/>
    <m/>
    <m/>
    <m/>
    <n v="0"/>
    <m/>
    <n v="1"/>
    <m/>
    <m/>
    <m/>
    <n v="0"/>
    <m/>
    <m/>
    <m/>
    <m/>
    <n v="0.89227617327233322"/>
    <n v="1128729.3591895015"/>
    <m/>
    <m/>
    <m/>
    <m/>
    <m/>
    <n v="0"/>
    <m/>
    <m/>
    <m/>
    <m/>
    <m/>
    <n v="0"/>
    <m/>
    <m/>
    <m/>
    <m/>
    <m/>
    <n v="0"/>
    <m/>
    <m/>
    <m/>
    <m/>
    <m/>
    <n v="0"/>
    <m/>
    <m/>
    <m/>
    <m/>
    <n v="1"/>
    <n v="1265000"/>
  </r>
  <r>
    <m/>
    <s v="M"/>
    <s v="M"/>
    <s v="MN"/>
    <n v="55"/>
    <s v="MN 55"/>
    <s v="2722-82"/>
    <x v="1"/>
    <m/>
    <s v="S"/>
    <s v="MNDOT"/>
    <n v="7"/>
    <s v="AT HENNEPIN CSAH 101/SIOUX TRAIL IN MEDINA - REPLACE TEMPORARY WOOD POLE SIGNAL SYSTEM WITH PERMANENT SIGNAL SYSTEM"/>
    <m/>
    <m/>
    <m/>
    <m/>
    <m/>
    <m/>
    <m/>
    <m/>
    <m/>
    <m/>
    <m/>
    <m/>
    <m/>
    <m/>
    <m/>
    <n v="300000"/>
    <m/>
    <m/>
    <m/>
    <m/>
    <m/>
    <m/>
    <m/>
    <m/>
    <m/>
    <m/>
    <m/>
    <m/>
    <m/>
    <m/>
    <m/>
    <m/>
    <m/>
    <m/>
    <m/>
    <n v="150000"/>
    <m/>
    <m/>
    <m/>
    <m/>
    <m/>
    <m/>
    <m/>
    <m/>
    <m/>
    <m/>
    <m/>
    <m/>
    <m/>
    <m/>
    <m/>
    <m/>
    <m/>
    <m/>
    <n v="0"/>
    <m/>
    <m/>
    <m/>
    <m/>
    <m/>
    <n v="0"/>
    <m/>
    <n v="0.96102714581344539"/>
    <n v="144154.07187201682"/>
    <s v="Signals"/>
    <m/>
    <m/>
    <m/>
    <m/>
    <n v="0"/>
    <m/>
    <n v="1"/>
    <m/>
    <m/>
    <m/>
    <n v="0"/>
    <m/>
    <m/>
    <m/>
    <m/>
    <n v="3.8972854186554592E-2"/>
    <n v="5845.9281279831885"/>
    <m/>
    <m/>
    <m/>
    <m/>
    <m/>
    <n v="0"/>
    <m/>
    <m/>
    <m/>
    <m/>
    <m/>
    <n v="0"/>
    <m/>
    <m/>
    <m/>
    <m/>
    <m/>
    <n v="0"/>
    <m/>
    <m/>
    <m/>
    <m/>
    <m/>
    <n v="0"/>
    <m/>
    <m/>
    <m/>
    <m/>
    <n v="1"/>
    <n v="150000"/>
  </r>
  <r>
    <m/>
    <s v="M"/>
    <s v="M"/>
    <s v="MN"/>
    <n v="55"/>
    <s v="MN 55"/>
    <s v="2723-120"/>
    <x v="0"/>
    <m/>
    <s v="S"/>
    <s v="MNDOT"/>
    <n v="7"/>
    <s v="AT NIAGARA LANE/PLYMOUTH BLVD IN PLYMOUTH-SIGNAL REBUILD, CONSTRUCT L-TURN LN WB &amp; LENGTHEN EB L-TURN LANE"/>
    <m/>
    <m/>
    <m/>
    <m/>
    <m/>
    <m/>
    <m/>
    <m/>
    <m/>
    <m/>
    <m/>
    <m/>
    <m/>
    <m/>
    <m/>
    <n v="690000"/>
    <m/>
    <m/>
    <m/>
    <m/>
    <m/>
    <m/>
    <m/>
    <m/>
    <m/>
    <m/>
    <m/>
    <m/>
    <m/>
    <m/>
    <m/>
    <m/>
    <m/>
    <m/>
    <m/>
    <n v="130000"/>
    <m/>
    <m/>
    <m/>
    <m/>
    <m/>
    <m/>
    <m/>
    <m/>
    <m/>
    <m/>
    <m/>
    <m/>
    <m/>
    <m/>
    <m/>
    <m/>
    <m/>
    <m/>
    <n v="0"/>
    <m/>
    <m/>
    <m/>
    <m/>
    <m/>
    <n v="0"/>
    <m/>
    <n v="0.3830360663409223"/>
    <n v="214500.1971509165"/>
    <s v="Signals"/>
    <m/>
    <m/>
    <m/>
    <m/>
    <n v="0"/>
    <m/>
    <n v="1"/>
    <m/>
    <m/>
    <m/>
    <n v="0"/>
    <m/>
    <m/>
    <m/>
    <m/>
    <n v="0.61696393365907765"/>
    <n v="345499.8028490835"/>
    <m/>
    <m/>
    <m/>
    <m/>
    <m/>
    <n v="0"/>
    <m/>
    <m/>
    <m/>
    <m/>
    <m/>
    <n v="0"/>
    <m/>
    <m/>
    <m/>
    <m/>
    <m/>
    <n v="0"/>
    <m/>
    <m/>
    <m/>
    <m/>
    <m/>
    <n v="0"/>
    <m/>
    <m/>
    <m/>
    <m/>
    <n v="1"/>
    <n v="560000"/>
  </r>
  <r>
    <m/>
    <s v="M"/>
    <s v="M"/>
    <s v="MN"/>
    <n v="55"/>
    <s v="MN 55"/>
    <s v="2723-123"/>
    <x v="1"/>
    <m/>
    <s v="S"/>
    <s v="MNDOT"/>
    <n v="7"/>
    <s v="WB FROM I494 NB EXIT RAMP TO PLYMOUTH BLVD IN PLYMOUTH-WIDEN RAMP TO A TRIPLE LEFT TURN AND CONSTRUCT A WB THIRD LANE, SIGNALS, DRAINAGE AND ADA"/>
    <m/>
    <m/>
    <m/>
    <m/>
    <m/>
    <m/>
    <m/>
    <m/>
    <m/>
    <m/>
    <m/>
    <m/>
    <m/>
    <m/>
    <m/>
    <n v="1890000"/>
    <m/>
    <m/>
    <m/>
    <m/>
    <m/>
    <m/>
    <m/>
    <m/>
    <m/>
    <m/>
    <m/>
    <m/>
    <m/>
    <m/>
    <m/>
    <m/>
    <m/>
    <m/>
    <m/>
    <n v="0"/>
    <m/>
    <m/>
    <m/>
    <m/>
    <m/>
    <m/>
    <m/>
    <m/>
    <m/>
    <m/>
    <m/>
    <m/>
    <m/>
    <m/>
    <m/>
    <m/>
    <m/>
    <m/>
    <n v="0"/>
    <m/>
    <m/>
    <m/>
    <m/>
    <m/>
    <n v="0"/>
    <m/>
    <n v="0.20104800455111652"/>
    <n v="379980.72860161023"/>
    <s v="Signals"/>
    <m/>
    <m/>
    <m/>
    <m/>
    <n v="0"/>
    <m/>
    <n v="1"/>
    <m/>
    <m/>
    <m/>
    <n v="0"/>
    <m/>
    <m/>
    <m/>
    <m/>
    <n v="0.78422113942869953"/>
    <n v="1482177.9535202421"/>
    <m/>
    <m/>
    <m/>
    <m/>
    <m/>
    <n v="0"/>
    <m/>
    <m/>
    <m/>
    <m/>
    <n v="1.4730856020183949E-2"/>
    <n v="27841.317878147664"/>
    <m/>
    <m/>
    <m/>
    <m/>
    <m/>
    <n v="0"/>
    <m/>
    <m/>
    <m/>
    <m/>
    <m/>
    <n v="0"/>
    <m/>
    <m/>
    <m/>
    <m/>
    <n v="1"/>
    <n v="1890000"/>
  </r>
  <r>
    <m/>
    <s v="M"/>
    <s v="M"/>
    <s v="MN"/>
    <n v="5"/>
    <s v="MN 5"/>
    <s v="2732-99"/>
    <x v="0"/>
    <m/>
    <s v="S"/>
    <s v="MNDOT"/>
    <n v="7"/>
    <s v="FROM I-494 IN BLOOMINGTON TO EDGCUMBE RD IN ST PAUL-SIGN REPLACEMENT"/>
    <m/>
    <m/>
    <m/>
    <m/>
    <m/>
    <m/>
    <m/>
    <m/>
    <m/>
    <m/>
    <m/>
    <m/>
    <m/>
    <m/>
    <m/>
    <n v="150000"/>
    <m/>
    <m/>
    <m/>
    <m/>
    <m/>
    <m/>
    <m/>
    <m/>
    <m/>
    <m/>
    <m/>
    <m/>
    <m/>
    <m/>
    <m/>
    <m/>
    <m/>
    <m/>
    <m/>
    <n v="0"/>
    <m/>
    <m/>
    <m/>
    <m/>
    <m/>
    <m/>
    <m/>
    <m/>
    <m/>
    <m/>
    <m/>
    <m/>
    <m/>
    <m/>
    <m/>
    <m/>
    <m/>
    <m/>
    <n v="0"/>
    <m/>
    <m/>
    <m/>
    <m/>
    <m/>
    <n v="0"/>
    <m/>
    <n v="1"/>
    <n v="150000"/>
    <s v="Signals"/>
    <m/>
    <m/>
    <m/>
    <m/>
    <n v="0"/>
    <m/>
    <n v="1"/>
    <m/>
    <m/>
    <m/>
    <n v="0"/>
    <m/>
    <m/>
    <m/>
    <m/>
    <m/>
    <n v="0"/>
    <m/>
    <m/>
    <m/>
    <m/>
    <m/>
    <n v="0"/>
    <m/>
    <m/>
    <m/>
    <m/>
    <m/>
    <n v="0"/>
    <m/>
    <m/>
    <m/>
    <m/>
    <m/>
    <n v="0"/>
    <m/>
    <m/>
    <m/>
    <m/>
    <m/>
    <n v="0"/>
    <m/>
    <m/>
    <m/>
    <m/>
    <n v="1"/>
    <n v="150000"/>
  </r>
  <r>
    <m/>
    <s v="M"/>
    <s v="M"/>
    <s v="MN"/>
    <n v="100"/>
    <s v="MN 100"/>
    <s v="2733-87"/>
    <x v="0"/>
    <m/>
    <s v="S"/>
    <s v="MNDOT"/>
    <n v="7"/>
    <s v="FROM I494 IN BLOOMINGTON TO 50TH ST IN EDINA - SIGN REPLACEMENT"/>
    <m/>
    <m/>
    <m/>
    <m/>
    <m/>
    <m/>
    <m/>
    <m/>
    <m/>
    <m/>
    <m/>
    <m/>
    <m/>
    <m/>
    <m/>
    <n v="350000"/>
    <m/>
    <m/>
    <m/>
    <m/>
    <m/>
    <m/>
    <m/>
    <m/>
    <m/>
    <m/>
    <m/>
    <m/>
    <m/>
    <m/>
    <m/>
    <m/>
    <m/>
    <m/>
    <m/>
    <n v="0"/>
    <m/>
    <m/>
    <m/>
    <m/>
    <m/>
    <m/>
    <m/>
    <m/>
    <m/>
    <m/>
    <m/>
    <m/>
    <m/>
    <m/>
    <m/>
    <m/>
    <m/>
    <m/>
    <n v="0"/>
    <m/>
    <m/>
    <m/>
    <m/>
    <m/>
    <n v="0"/>
    <m/>
    <n v="1"/>
    <n v="350000"/>
    <s v="Signs"/>
    <m/>
    <m/>
    <m/>
    <m/>
    <n v="0"/>
    <m/>
    <n v="1"/>
    <m/>
    <m/>
    <m/>
    <n v="0"/>
    <m/>
    <m/>
    <m/>
    <m/>
    <m/>
    <n v="0"/>
    <m/>
    <m/>
    <m/>
    <m/>
    <m/>
    <n v="0"/>
    <m/>
    <m/>
    <m/>
    <m/>
    <m/>
    <n v="0"/>
    <m/>
    <m/>
    <m/>
    <m/>
    <m/>
    <n v="0"/>
    <m/>
    <m/>
    <m/>
    <m/>
    <m/>
    <n v="0"/>
    <m/>
    <m/>
    <m/>
    <m/>
    <n v="1"/>
    <n v="350000"/>
  </r>
  <r>
    <m/>
    <s v="M"/>
    <s v="M"/>
    <s v="MN"/>
    <n v="100"/>
    <s v="MN 100"/>
    <s v="2733-89"/>
    <x v="2"/>
    <m/>
    <s v="S"/>
    <s v="MNDOT"/>
    <n v="7"/>
    <s v="FROM JUST N I494 IN EDINA TO 36TH ST IN ST LOUIS PARK-CPR AND DIAMOND GRINDING"/>
    <m/>
    <m/>
    <m/>
    <m/>
    <m/>
    <m/>
    <m/>
    <m/>
    <m/>
    <m/>
    <m/>
    <m/>
    <m/>
    <m/>
    <m/>
    <n v="10000000"/>
    <m/>
    <m/>
    <m/>
    <m/>
    <m/>
    <m/>
    <m/>
    <m/>
    <m/>
    <m/>
    <m/>
    <m/>
    <m/>
    <m/>
    <m/>
    <m/>
    <m/>
    <m/>
    <m/>
    <n v="0"/>
    <m/>
    <m/>
    <m/>
    <m/>
    <m/>
    <m/>
    <m/>
    <m/>
    <m/>
    <m/>
    <m/>
    <m/>
    <m/>
    <m/>
    <m/>
    <m/>
    <m/>
    <n v="0.82099999999999995"/>
    <n v="8209999.9999999991"/>
    <m/>
    <m/>
    <m/>
    <m/>
    <m/>
    <n v="0"/>
    <m/>
    <n v="0.115"/>
    <n v="1150000"/>
    <s v="Drainage and culverts"/>
    <m/>
    <m/>
    <m/>
    <n v="3.2000000000000001E-2"/>
    <n v="320000"/>
    <s v="Low cost high benefit"/>
    <n v="1"/>
    <m/>
    <m/>
    <m/>
    <n v="0"/>
    <m/>
    <m/>
    <m/>
    <m/>
    <m/>
    <n v="0"/>
    <m/>
    <m/>
    <m/>
    <m/>
    <n v="2.3E-2"/>
    <n v="230000"/>
    <m/>
    <m/>
    <m/>
    <m/>
    <n v="8.9999999999999993E-3"/>
    <n v="90000"/>
    <m/>
    <m/>
    <m/>
    <m/>
    <m/>
    <n v="0"/>
    <m/>
    <m/>
    <m/>
    <m/>
    <m/>
    <n v="0"/>
    <m/>
    <m/>
    <m/>
    <m/>
    <n v="1"/>
    <n v="10000000"/>
  </r>
  <r>
    <m/>
    <s v="M"/>
    <s v="M"/>
    <s v="MN"/>
    <n v="100"/>
    <s v="MN 100"/>
    <s v="2734-27W17"/>
    <x v="0"/>
    <m/>
    <s v="S"/>
    <s v="MNDOT"/>
    <n v="7"/>
    <s v="HCRRA BRIDGE 5309 (NEW BRIDGE 27W17) IN ST. LOUIS PARK - DESIGN AND CONSTRUCT NEW LRT BRIDGE"/>
    <m/>
    <m/>
    <m/>
    <m/>
    <m/>
    <m/>
    <m/>
    <m/>
    <m/>
    <m/>
    <m/>
    <m/>
    <m/>
    <m/>
    <m/>
    <n v="1900000"/>
    <m/>
    <m/>
    <m/>
    <m/>
    <m/>
    <m/>
    <m/>
    <m/>
    <m/>
    <m/>
    <m/>
    <m/>
    <m/>
    <m/>
    <m/>
    <m/>
    <m/>
    <m/>
    <m/>
    <n v="0"/>
    <m/>
    <m/>
    <m/>
    <m/>
    <m/>
    <m/>
    <m/>
    <m/>
    <m/>
    <m/>
    <m/>
    <m/>
    <m/>
    <m/>
    <m/>
    <m/>
    <m/>
    <m/>
    <n v="0"/>
    <m/>
    <m/>
    <m/>
    <m/>
    <n v="0.92900000000000005"/>
    <n v="1765100"/>
    <m/>
    <m/>
    <n v="0"/>
    <m/>
    <m/>
    <m/>
    <m/>
    <m/>
    <n v="0"/>
    <m/>
    <n v="1"/>
    <m/>
    <m/>
    <m/>
    <n v="0"/>
    <m/>
    <m/>
    <m/>
    <m/>
    <m/>
    <n v="0"/>
    <m/>
    <m/>
    <m/>
    <m/>
    <n v="3.5000000000000003E-2"/>
    <n v="66500"/>
    <m/>
    <m/>
    <m/>
    <m/>
    <n v="3.5999999999999997E-2"/>
    <n v="68400"/>
    <m/>
    <m/>
    <m/>
    <m/>
    <m/>
    <n v="0"/>
    <m/>
    <m/>
    <m/>
    <m/>
    <m/>
    <n v="0"/>
    <m/>
    <m/>
    <m/>
    <m/>
    <n v="1"/>
    <n v="1900000"/>
  </r>
  <r>
    <m/>
    <s v="M"/>
    <s v="M"/>
    <s v="MN"/>
    <n v="100"/>
    <s v="MN 100"/>
    <s v="2734-33"/>
    <x v="1"/>
    <m/>
    <s v="S"/>
    <s v="MNDOT"/>
    <n v="7"/>
    <s v="**ELLA**AB**AC**FROM 36TH ST TO CEDAR LAKE RD IN ST. LOUIS PARK - REPLACE BRIDGES 5308(27303), 5309 (NEW PED BRIDGE 27304), 5462(27305), 5598(27306), OVERLAY AND JOINT REPLACEMENT BRIDGE 27109, RECONSTRUCT MAIN LINE PAVEMENT AND INTERCHANGES INCLUDING CONSTRUCTING AUXILLIARY LANES AND NOISE WALLS (AC PROJECT, PAYBACK IN 2016)"/>
    <m/>
    <m/>
    <m/>
    <m/>
    <m/>
    <m/>
    <m/>
    <m/>
    <m/>
    <m/>
    <m/>
    <m/>
    <m/>
    <m/>
    <m/>
    <n v="28740000"/>
    <m/>
    <m/>
    <m/>
    <m/>
    <m/>
    <m/>
    <m/>
    <m/>
    <m/>
    <m/>
    <m/>
    <m/>
    <m/>
    <m/>
    <m/>
    <m/>
    <m/>
    <m/>
    <m/>
    <n v="1000000"/>
    <m/>
    <m/>
    <m/>
    <m/>
    <m/>
    <m/>
    <m/>
    <m/>
    <m/>
    <m/>
    <m/>
    <m/>
    <m/>
    <m/>
    <m/>
    <m/>
    <m/>
    <m/>
    <n v="0"/>
    <m/>
    <m/>
    <m/>
    <m/>
    <n v="0.43809936370903302"/>
    <n v="12152876.349288575"/>
    <m/>
    <n v="0.50079934135888604"/>
    <n v="13892173.7292955"/>
    <s v="Other structures"/>
    <m/>
    <m/>
    <m/>
    <n v="2.4295785680714397E-3"/>
    <n v="67396.509478301741"/>
    <s v="Sustained crash locations"/>
    <n v="1.0000000000000007"/>
    <m/>
    <m/>
    <m/>
    <n v="0"/>
    <m/>
    <m/>
    <m/>
    <m/>
    <n v="2.8671716364010065E-2"/>
    <n v="795353.41193763923"/>
    <m/>
    <m/>
    <m/>
    <m/>
    <m/>
    <n v="0"/>
    <m/>
    <m/>
    <m/>
    <m/>
    <n v="0.03"/>
    <n v="832200"/>
    <m/>
    <m/>
    <m/>
    <m/>
    <m/>
    <n v="0"/>
    <m/>
    <m/>
    <m/>
    <m/>
    <m/>
    <n v="0"/>
    <m/>
    <m/>
    <m/>
    <m/>
    <n v="1.0000000000000007"/>
    <n v="27740000.000000015"/>
  </r>
  <r>
    <m/>
    <s v="M"/>
    <s v="M"/>
    <s v="MN"/>
    <n v="100"/>
    <s v="MN 100"/>
    <s v="2734-33AC"/>
    <x v="2"/>
    <m/>
    <s v="S"/>
    <s v="MNDOT"/>
    <n v="7"/>
    <s v="**AC**FROM 36TH ST TO CEDAR LAKE RD IN ST. LOUIS PARK - REPLACE BRIDGES 5308(27303), 5309(NEW PED BRIDGE 27304), 5462(27305), 5598(27306), OVERLAY AND JOINT REPLACEMENT BRIDGE 27109, RECONSTRUCT MAIN LINE PAVEMENT AND INTERCHANGES INCLUDING CONSTRUCTING AUXILLIARY LANES AND NOISE WALLS (AC PAYBACK 1 OF 1)"/>
    <m/>
    <m/>
    <m/>
    <m/>
    <m/>
    <m/>
    <m/>
    <m/>
    <m/>
    <m/>
    <m/>
    <m/>
    <m/>
    <m/>
    <m/>
    <n v="33830000"/>
    <m/>
    <m/>
    <m/>
    <m/>
    <m/>
    <m/>
    <m/>
    <m/>
    <m/>
    <m/>
    <m/>
    <m/>
    <m/>
    <m/>
    <m/>
    <m/>
    <m/>
    <m/>
    <m/>
    <n v="0"/>
    <m/>
    <m/>
    <m/>
    <m/>
    <m/>
    <m/>
    <m/>
    <m/>
    <m/>
    <m/>
    <m/>
    <m/>
    <m/>
    <m/>
    <m/>
    <m/>
    <m/>
    <m/>
    <n v="0"/>
    <m/>
    <m/>
    <m/>
    <m/>
    <n v="0.43809936370903302"/>
    <n v="14820901.474276587"/>
    <m/>
    <n v="0.50079934135888604"/>
    <n v="16942041.718171116"/>
    <s v="Other structures"/>
    <m/>
    <m/>
    <m/>
    <n v="2.4295785680714397E-3"/>
    <n v="82192.642957856806"/>
    <s v="Sustained crash locations"/>
    <n v="1.0000000000000007"/>
    <m/>
    <m/>
    <m/>
    <n v="0"/>
    <m/>
    <m/>
    <m/>
    <m/>
    <n v="2.8671716364010065E-2"/>
    <n v="969964.16459446051"/>
    <m/>
    <m/>
    <m/>
    <m/>
    <m/>
    <n v="0"/>
    <m/>
    <m/>
    <m/>
    <m/>
    <n v="0.03"/>
    <n v="1014900"/>
    <m/>
    <m/>
    <m/>
    <m/>
    <m/>
    <n v="0"/>
    <m/>
    <m/>
    <m/>
    <m/>
    <m/>
    <n v="0"/>
    <m/>
    <m/>
    <m/>
    <m/>
    <n v="1.0000000000000007"/>
    <n v="33830000.000000015"/>
  </r>
  <r>
    <m/>
    <s v="M"/>
    <s v="M"/>
    <s v="MN"/>
    <n v="100"/>
    <s v="MN 100"/>
    <s v="2734-33RR"/>
    <x v="0"/>
    <m/>
    <s v="S"/>
    <s v="MNDOT"/>
    <n v="7"/>
    <s v="FROM 36TH ST TO CEDAR LAKE RD IN ST. LOUIS PARK - RAIL ROAD AGREEMENT"/>
    <m/>
    <m/>
    <m/>
    <m/>
    <m/>
    <m/>
    <m/>
    <m/>
    <m/>
    <m/>
    <m/>
    <m/>
    <m/>
    <m/>
    <m/>
    <n v="3125000"/>
    <m/>
    <m/>
    <m/>
    <m/>
    <m/>
    <m/>
    <m/>
    <m/>
    <m/>
    <m/>
    <m/>
    <m/>
    <m/>
    <m/>
    <m/>
    <m/>
    <m/>
    <m/>
    <m/>
    <n v="0"/>
    <m/>
    <m/>
    <m/>
    <m/>
    <m/>
    <m/>
    <m/>
    <m/>
    <m/>
    <m/>
    <m/>
    <m/>
    <m/>
    <m/>
    <m/>
    <m/>
    <m/>
    <m/>
    <n v="0"/>
    <m/>
    <m/>
    <m/>
    <m/>
    <m/>
    <n v="0"/>
    <m/>
    <m/>
    <n v="0"/>
    <m/>
    <m/>
    <m/>
    <m/>
    <m/>
    <n v="0"/>
    <m/>
    <n v="1"/>
    <m/>
    <m/>
    <m/>
    <n v="0"/>
    <m/>
    <m/>
    <m/>
    <m/>
    <m/>
    <n v="0"/>
    <m/>
    <m/>
    <m/>
    <m/>
    <m/>
    <n v="0"/>
    <m/>
    <m/>
    <m/>
    <m/>
    <m/>
    <n v="0"/>
    <m/>
    <m/>
    <m/>
    <m/>
    <n v="1"/>
    <n v="3125000"/>
    <m/>
    <m/>
    <m/>
    <m/>
    <m/>
    <n v="0"/>
    <m/>
    <m/>
    <m/>
    <m/>
    <n v="1"/>
    <n v="3125000"/>
  </r>
  <r>
    <m/>
    <s v="M"/>
    <s v="M"/>
    <s v="MN"/>
    <n v="100"/>
    <s v="MN 100"/>
    <s v="2734-50"/>
    <x v="9"/>
    <m/>
    <s v="S"/>
    <s v="MNDOT"/>
    <n v="7"/>
    <s v="FROM 36TH ST TO CEDAR LAKE RD IN ST LOUIS PARK-LANDSCAPING"/>
    <m/>
    <m/>
    <m/>
    <m/>
    <m/>
    <m/>
    <m/>
    <m/>
    <m/>
    <m/>
    <m/>
    <m/>
    <m/>
    <m/>
    <m/>
    <n v="250000"/>
    <m/>
    <m/>
    <m/>
    <m/>
    <m/>
    <m/>
    <m/>
    <m/>
    <m/>
    <m/>
    <m/>
    <m/>
    <m/>
    <m/>
    <m/>
    <m/>
    <m/>
    <m/>
    <m/>
    <n v="0"/>
    <m/>
    <m/>
    <m/>
    <m/>
    <m/>
    <m/>
    <m/>
    <m/>
    <m/>
    <m/>
    <m/>
    <m/>
    <m/>
    <m/>
    <m/>
    <m/>
    <m/>
    <m/>
    <n v="0"/>
    <m/>
    <m/>
    <m/>
    <m/>
    <m/>
    <n v="0"/>
    <m/>
    <n v="1"/>
    <n v="250000"/>
    <s v="Other structures"/>
    <m/>
    <m/>
    <m/>
    <m/>
    <n v="0"/>
    <m/>
    <n v="1"/>
    <m/>
    <m/>
    <m/>
    <n v="0"/>
    <m/>
    <m/>
    <m/>
    <m/>
    <m/>
    <n v="0"/>
    <m/>
    <m/>
    <m/>
    <m/>
    <m/>
    <n v="0"/>
    <m/>
    <m/>
    <m/>
    <m/>
    <m/>
    <n v="0"/>
    <m/>
    <m/>
    <m/>
    <m/>
    <m/>
    <n v="0"/>
    <m/>
    <m/>
    <m/>
    <m/>
    <m/>
    <n v="0"/>
    <m/>
    <m/>
    <m/>
    <m/>
    <n v="1"/>
    <n v="250000"/>
  </r>
  <r>
    <m/>
    <s v="M"/>
    <s v="M"/>
    <s v="MN"/>
    <n v="100"/>
    <s v="MN 100"/>
    <s v="2735-193"/>
    <x v="2"/>
    <m/>
    <s v="S"/>
    <s v="MNDOT"/>
    <n v="7"/>
    <s v="SB ENTRANCE RAMP FROM DULUTH ST TO MN100 IN GOLDEN VALLEY- CONSTRUCT  HOV BYPASS, DRAINAGE, TMS"/>
    <m/>
    <m/>
    <m/>
    <m/>
    <m/>
    <m/>
    <m/>
    <m/>
    <m/>
    <m/>
    <m/>
    <m/>
    <m/>
    <m/>
    <m/>
    <n v="270000"/>
    <m/>
    <m/>
    <m/>
    <m/>
    <m/>
    <m/>
    <m/>
    <m/>
    <m/>
    <m/>
    <m/>
    <m/>
    <m/>
    <m/>
    <m/>
    <m/>
    <m/>
    <m/>
    <m/>
    <n v="0"/>
    <m/>
    <m/>
    <m/>
    <m/>
    <m/>
    <m/>
    <m/>
    <m/>
    <m/>
    <m/>
    <m/>
    <m/>
    <m/>
    <m/>
    <m/>
    <m/>
    <m/>
    <m/>
    <n v="0"/>
    <m/>
    <m/>
    <m/>
    <m/>
    <m/>
    <n v="0"/>
    <m/>
    <n v="7.8104183567903898E-2"/>
    <n v="21088.129563334052"/>
    <s v="Drainage and culverts"/>
    <m/>
    <m/>
    <m/>
    <m/>
    <n v="0"/>
    <m/>
    <n v="1"/>
    <m/>
    <m/>
    <m/>
    <n v="0"/>
    <m/>
    <m/>
    <m/>
    <m/>
    <n v="0.92189581643209606"/>
    <n v="248911.87043666592"/>
    <m/>
    <m/>
    <m/>
    <m/>
    <m/>
    <n v="0"/>
    <m/>
    <m/>
    <m/>
    <m/>
    <m/>
    <n v="0"/>
    <m/>
    <m/>
    <m/>
    <m/>
    <m/>
    <n v="0"/>
    <m/>
    <m/>
    <m/>
    <m/>
    <m/>
    <n v="0"/>
    <m/>
    <m/>
    <m/>
    <m/>
    <n v="1"/>
    <n v="270000"/>
  </r>
  <r>
    <m/>
    <s v="M"/>
    <s v="M"/>
    <s v="MN"/>
    <n v="101"/>
    <s v="MN 101"/>
    <s v="2738-28"/>
    <x v="0"/>
    <m/>
    <s v="S"/>
    <s v="MNDOT"/>
    <n v="7"/>
    <s v="**SAM**RECONSTRUCT INTERCHANGE AT MN101/CSAH144 IN ROGERS (TIED WITH 2738-29, 238-010-003)"/>
    <m/>
    <m/>
    <m/>
    <m/>
    <m/>
    <m/>
    <m/>
    <m/>
    <m/>
    <m/>
    <m/>
    <m/>
    <m/>
    <m/>
    <m/>
    <n v="9200000"/>
    <m/>
    <m/>
    <m/>
    <m/>
    <m/>
    <m/>
    <m/>
    <m/>
    <m/>
    <m/>
    <m/>
    <m/>
    <m/>
    <m/>
    <m/>
    <m/>
    <m/>
    <m/>
    <m/>
    <n v="0"/>
    <m/>
    <m/>
    <m/>
    <m/>
    <m/>
    <m/>
    <m/>
    <m/>
    <m/>
    <m/>
    <m/>
    <m/>
    <m/>
    <m/>
    <m/>
    <m/>
    <m/>
    <m/>
    <n v="0"/>
    <m/>
    <m/>
    <m/>
    <m/>
    <m/>
    <n v="0"/>
    <m/>
    <m/>
    <n v="0"/>
    <m/>
    <m/>
    <m/>
    <m/>
    <m/>
    <n v="0"/>
    <m/>
    <n v="1"/>
    <m/>
    <m/>
    <m/>
    <n v="0"/>
    <m/>
    <m/>
    <m/>
    <m/>
    <n v="0.75366270408479752"/>
    <n v="6933696.877580137"/>
    <m/>
    <m/>
    <m/>
    <m/>
    <m/>
    <n v="0"/>
    <m/>
    <m/>
    <m/>
    <m/>
    <m/>
    <n v="0"/>
    <m/>
    <m/>
    <m/>
    <m/>
    <m/>
    <n v="0"/>
    <m/>
    <m/>
    <m/>
    <m/>
    <n v="0.24633729591520251"/>
    <n v="2266303.122419863"/>
    <s v="Right of way"/>
    <m/>
    <m/>
    <m/>
    <n v="1"/>
    <n v="9200000"/>
  </r>
  <r>
    <n v="126"/>
    <s v="M"/>
    <s v="M"/>
    <s v="MN"/>
    <n v="101"/>
    <s v="MN 101"/>
    <s v="2738-29"/>
    <x v="0"/>
    <m/>
    <s v="S"/>
    <s v="MNDOT"/>
    <n v="7"/>
    <s v="FROM S. DIAMOND LAKE RD IN ROGERS TO HENNEPIN/WRIGHT COUNTY LINE - BITMUMINOUS MILL &amp; OVERLAY (TIED WITH 2738-28, 238-010-003)"/>
    <m/>
    <m/>
    <m/>
    <m/>
    <m/>
    <m/>
    <m/>
    <m/>
    <m/>
    <m/>
    <m/>
    <m/>
    <m/>
    <m/>
    <m/>
    <n v="1085000"/>
    <m/>
    <m/>
    <m/>
    <m/>
    <m/>
    <m/>
    <m/>
    <m/>
    <m/>
    <m/>
    <m/>
    <m/>
    <m/>
    <m/>
    <m/>
    <m/>
    <m/>
    <m/>
    <m/>
    <n v="0"/>
    <m/>
    <m/>
    <m/>
    <m/>
    <m/>
    <m/>
    <m/>
    <m/>
    <m/>
    <m/>
    <m/>
    <m/>
    <m/>
    <m/>
    <m/>
    <m/>
    <m/>
    <n v="0.79704356320673864"/>
    <n v="864792.26607931138"/>
    <m/>
    <m/>
    <m/>
    <m/>
    <m/>
    <n v="0"/>
    <m/>
    <n v="1.5853062879576808E-2"/>
    <n v="17200.573224340838"/>
    <s v="Guardrails and fencing"/>
    <m/>
    <m/>
    <m/>
    <n v="0.18710337391368459"/>
    <n v="203007.16069634777"/>
    <s v="Low cost high benefit"/>
    <n v="1"/>
    <m/>
    <m/>
    <m/>
    <n v="0"/>
    <m/>
    <m/>
    <m/>
    <m/>
    <m/>
    <n v="0"/>
    <m/>
    <m/>
    <m/>
    <m/>
    <m/>
    <n v="0"/>
    <m/>
    <m/>
    <m/>
    <m/>
    <m/>
    <n v="0"/>
    <m/>
    <m/>
    <m/>
    <m/>
    <m/>
    <n v="0"/>
    <m/>
    <m/>
    <m/>
    <m/>
    <m/>
    <n v="0"/>
    <m/>
    <m/>
    <m/>
    <m/>
    <n v="1"/>
    <n v="1085000"/>
  </r>
  <r>
    <m/>
    <s v="M"/>
    <s v="M"/>
    <s v="MN"/>
    <n v="252"/>
    <s v="MN 252"/>
    <s v="2748-62"/>
    <x v="2"/>
    <m/>
    <s v="S"/>
    <s v="MNDOT"/>
    <n v="7"/>
    <s v="FROM MN610 IN BROOKLYN PARK TO I694 IN BROOKLYN CENTER-SIGNAL COORDINATION, DEPLOY CC CAMERAS, AND DYNAMIC MESSAGE SIGNS"/>
    <m/>
    <m/>
    <m/>
    <m/>
    <m/>
    <m/>
    <m/>
    <m/>
    <m/>
    <m/>
    <m/>
    <m/>
    <m/>
    <m/>
    <m/>
    <n v="839039"/>
    <m/>
    <m/>
    <m/>
    <m/>
    <m/>
    <m/>
    <m/>
    <m/>
    <m/>
    <m/>
    <m/>
    <m/>
    <m/>
    <m/>
    <m/>
    <m/>
    <m/>
    <m/>
    <m/>
    <n v="0"/>
    <m/>
    <m/>
    <m/>
    <m/>
    <m/>
    <m/>
    <m/>
    <m/>
    <m/>
    <m/>
    <m/>
    <m/>
    <m/>
    <m/>
    <m/>
    <m/>
    <m/>
    <m/>
    <n v="0"/>
    <m/>
    <m/>
    <m/>
    <m/>
    <m/>
    <n v="0"/>
    <m/>
    <m/>
    <n v="0"/>
    <m/>
    <m/>
    <m/>
    <m/>
    <m/>
    <n v="0"/>
    <m/>
    <n v="1"/>
    <m/>
    <m/>
    <m/>
    <n v="0"/>
    <m/>
    <m/>
    <m/>
    <m/>
    <n v="1"/>
    <n v="839039"/>
    <m/>
    <m/>
    <m/>
    <m/>
    <m/>
    <n v="0"/>
    <m/>
    <m/>
    <m/>
    <m/>
    <m/>
    <n v="0"/>
    <m/>
    <m/>
    <m/>
    <m/>
    <m/>
    <n v="0"/>
    <m/>
    <m/>
    <m/>
    <m/>
    <m/>
    <n v="0"/>
    <m/>
    <m/>
    <m/>
    <m/>
    <n v="1"/>
    <n v="839039"/>
  </r>
  <r>
    <m/>
    <s v="M"/>
    <s v="M"/>
    <s v="US"/>
    <n v="169"/>
    <s v="US 169"/>
    <s v="2750-82"/>
    <x v="2"/>
    <m/>
    <s v="S"/>
    <s v="MNDOT"/>
    <n v="7"/>
    <s v="FROM MN610 IN BROOKLYN PARK TO US10 IN ANOKA-SIGNAL COORDINATION, DEPLOY CC CAMERAS, AND DYNAMIC MESSAGE SIGNS"/>
    <m/>
    <m/>
    <m/>
    <m/>
    <m/>
    <m/>
    <m/>
    <m/>
    <m/>
    <m/>
    <m/>
    <m/>
    <m/>
    <m/>
    <m/>
    <n v="1152197"/>
    <m/>
    <m/>
    <m/>
    <m/>
    <m/>
    <m/>
    <m/>
    <m/>
    <m/>
    <m/>
    <m/>
    <m/>
    <m/>
    <m/>
    <m/>
    <m/>
    <m/>
    <m/>
    <m/>
    <n v="0"/>
    <m/>
    <m/>
    <m/>
    <m/>
    <m/>
    <m/>
    <m/>
    <m/>
    <m/>
    <m/>
    <m/>
    <m/>
    <m/>
    <m/>
    <m/>
    <m/>
    <m/>
    <m/>
    <n v="0"/>
    <m/>
    <m/>
    <m/>
    <m/>
    <m/>
    <n v="0"/>
    <m/>
    <m/>
    <n v="0"/>
    <m/>
    <m/>
    <m/>
    <m/>
    <m/>
    <n v="0"/>
    <m/>
    <n v="1"/>
    <m/>
    <m/>
    <m/>
    <n v="0"/>
    <m/>
    <m/>
    <m/>
    <m/>
    <n v="1"/>
    <n v="1152197"/>
    <m/>
    <m/>
    <m/>
    <m/>
    <m/>
    <n v="0"/>
    <m/>
    <m/>
    <m/>
    <m/>
    <m/>
    <n v="0"/>
    <m/>
    <m/>
    <m/>
    <m/>
    <m/>
    <n v="0"/>
    <m/>
    <m/>
    <m/>
    <m/>
    <m/>
    <n v="0"/>
    <m/>
    <m/>
    <m/>
    <m/>
    <n v="1"/>
    <n v="1152197"/>
  </r>
  <r>
    <n v="188"/>
    <s v="M"/>
    <s v="M"/>
    <s v="US"/>
    <n v="169"/>
    <s v="US 169"/>
    <s v="2750-84"/>
    <x v="2"/>
    <m/>
    <s v="S"/>
    <s v="MNDOT"/>
    <n v="7"/>
    <s v="AT 93RD AVE IN BROOKLYN PARK/OSSEO-LANDSCAPING"/>
    <m/>
    <m/>
    <m/>
    <m/>
    <m/>
    <m/>
    <m/>
    <m/>
    <m/>
    <m/>
    <m/>
    <m/>
    <m/>
    <m/>
    <m/>
    <n v="50000"/>
    <m/>
    <m/>
    <m/>
    <m/>
    <m/>
    <m/>
    <m/>
    <m/>
    <m/>
    <m/>
    <m/>
    <m/>
    <m/>
    <m/>
    <m/>
    <m/>
    <m/>
    <m/>
    <m/>
    <n v="0"/>
    <m/>
    <m/>
    <m/>
    <m/>
    <m/>
    <m/>
    <m/>
    <m/>
    <m/>
    <m/>
    <m/>
    <m/>
    <m/>
    <m/>
    <m/>
    <m/>
    <m/>
    <m/>
    <n v="0"/>
    <m/>
    <m/>
    <m/>
    <m/>
    <m/>
    <n v="0"/>
    <m/>
    <n v="1"/>
    <n v="50000"/>
    <s v="Other structures"/>
    <m/>
    <m/>
    <m/>
    <m/>
    <n v="0"/>
    <m/>
    <n v="1"/>
    <m/>
    <m/>
    <m/>
    <n v="0"/>
    <m/>
    <m/>
    <m/>
    <m/>
    <m/>
    <n v="0"/>
    <m/>
    <m/>
    <m/>
    <m/>
    <m/>
    <n v="0"/>
    <m/>
    <m/>
    <m/>
    <m/>
    <m/>
    <n v="0"/>
    <m/>
    <m/>
    <m/>
    <m/>
    <m/>
    <n v="0"/>
    <m/>
    <m/>
    <m/>
    <m/>
    <m/>
    <n v="0"/>
    <m/>
    <m/>
    <m/>
    <m/>
    <n v="1"/>
    <n v="50000"/>
  </r>
  <r>
    <n v="29"/>
    <s v="M"/>
    <s v="M"/>
    <s v="MN"/>
    <n v="100"/>
    <s v="MN 100"/>
    <s v="2755-101"/>
    <x v="0"/>
    <m/>
    <s v="S"/>
    <s v="MNDOT"/>
    <n v="7"/>
    <s v="AT BROOKLYN BLVD OVER MN100 IN BROOKLYN CENTER-REDECK BRIDGE 27038 &amp; PED BRIDGES 27038A, 27038B, REPLACE APPROACH PANELS, DRAINAGE &amp; GUARDRAIL"/>
    <m/>
    <m/>
    <m/>
    <m/>
    <m/>
    <m/>
    <m/>
    <m/>
    <m/>
    <m/>
    <m/>
    <m/>
    <m/>
    <m/>
    <m/>
    <n v="2210000"/>
    <m/>
    <m/>
    <m/>
    <m/>
    <m/>
    <m/>
    <m/>
    <m/>
    <m/>
    <m/>
    <m/>
    <m/>
    <m/>
    <m/>
    <m/>
    <m/>
    <m/>
    <m/>
    <m/>
    <n v="0"/>
    <m/>
    <m/>
    <m/>
    <m/>
    <m/>
    <m/>
    <m/>
    <m/>
    <m/>
    <m/>
    <m/>
    <m/>
    <m/>
    <m/>
    <m/>
    <m/>
    <m/>
    <m/>
    <n v="0"/>
    <m/>
    <m/>
    <m/>
    <m/>
    <n v="0.99646096436460563"/>
    <n v="2202178.7312457785"/>
    <m/>
    <n v="3.5390356353943346E-3"/>
    <n v="7821.2687542214799"/>
    <s v="Drainage and culverts"/>
    <m/>
    <m/>
    <m/>
    <m/>
    <n v="0"/>
    <m/>
    <n v="1"/>
    <m/>
    <m/>
    <m/>
    <n v="0"/>
    <m/>
    <m/>
    <m/>
    <m/>
    <m/>
    <n v="0"/>
    <m/>
    <m/>
    <m/>
    <m/>
    <m/>
    <n v="0"/>
    <m/>
    <m/>
    <m/>
    <m/>
    <m/>
    <n v="0"/>
    <m/>
    <m/>
    <m/>
    <m/>
    <m/>
    <n v="0"/>
    <m/>
    <m/>
    <m/>
    <m/>
    <m/>
    <n v="0"/>
    <m/>
    <m/>
    <m/>
    <m/>
    <n v="1"/>
    <n v="2210000"/>
  </r>
  <r>
    <m/>
    <s v="M"/>
    <s v="M"/>
    <s v="US"/>
    <n v="212"/>
    <s v="US 212"/>
    <s v="2763-49"/>
    <x v="1"/>
    <m/>
    <s v="S"/>
    <s v="MNDOT"/>
    <n v="7"/>
    <s v="**TED12** AT SHADY OAK ROAD IN EDEN PRAIRIE - INTERCHANGE RECONSTRUCTION"/>
    <m/>
    <m/>
    <m/>
    <m/>
    <m/>
    <m/>
    <m/>
    <m/>
    <m/>
    <m/>
    <m/>
    <m/>
    <m/>
    <m/>
    <m/>
    <n v="7000000"/>
    <m/>
    <m/>
    <m/>
    <m/>
    <m/>
    <m/>
    <m/>
    <m/>
    <m/>
    <m/>
    <m/>
    <m/>
    <m/>
    <m/>
    <m/>
    <m/>
    <m/>
    <m/>
    <m/>
    <n v="7000000"/>
    <m/>
    <m/>
    <m/>
    <m/>
    <m/>
    <m/>
    <m/>
    <m/>
    <m/>
    <m/>
    <m/>
    <m/>
    <m/>
    <m/>
    <m/>
    <m/>
    <m/>
    <n v="0.13"/>
    <n v="0"/>
    <m/>
    <m/>
    <m/>
    <m/>
    <n v="0.44899999999999995"/>
    <n v="0"/>
    <m/>
    <m/>
    <n v="0"/>
    <m/>
    <m/>
    <m/>
    <m/>
    <n v="0.1"/>
    <n v="0"/>
    <s v="Low cost high benefit"/>
    <n v="1"/>
    <m/>
    <m/>
    <m/>
    <n v="0"/>
    <m/>
    <m/>
    <m/>
    <m/>
    <n v="0.25"/>
    <n v="0"/>
    <m/>
    <m/>
    <m/>
    <m/>
    <n v="3.5000000000000003E-2"/>
    <n v="0"/>
    <m/>
    <m/>
    <m/>
    <m/>
    <n v="3.5999999999999997E-2"/>
    <n v="0"/>
    <m/>
    <m/>
    <m/>
    <m/>
    <m/>
    <n v="0"/>
    <m/>
    <m/>
    <m/>
    <m/>
    <m/>
    <n v="0"/>
    <m/>
    <m/>
    <m/>
    <m/>
    <n v="1"/>
    <n v="0"/>
  </r>
  <r>
    <m/>
    <s v="M"/>
    <s v="M"/>
    <s v="MN"/>
    <s v="610"/>
    <s v="MN 610"/>
    <s v="2771-101"/>
    <x v="0"/>
    <m/>
    <s v="S"/>
    <s v="MNDOT"/>
    <n v="7"/>
    <s v="HENNEPIN CSAH 81 TO I94 IN MAPLE GROVE-POWERLINE RELOCATION INCLUDING INSTALLATION OF NEW STILL TOWER STRUCTURES AND REMOVAL OF LATICE TOWER"/>
    <m/>
    <m/>
    <m/>
    <m/>
    <m/>
    <m/>
    <m/>
    <m/>
    <m/>
    <m/>
    <m/>
    <m/>
    <m/>
    <m/>
    <m/>
    <n v="1982341"/>
    <m/>
    <m/>
    <m/>
    <m/>
    <m/>
    <m/>
    <m/>
    <m/>
    <m/>
    <m/>
    <m/>
    <m/>
    <m/>
    <m/>
    <m/>
    <m/>
    <m/>
    <m/>
    <m/>
    <n v="0"/>
    <m/>
    <m/>
    <m/>
    <m/>
    <m/>
    <m/>
    <m/>
    <m/>
    <m/>
    <m/>
    <m/>
    <m/>
    <m/>
    <m/>
    <m/>
    <m/>
    <m/>
    <m/>
    <n v="0"/>
    <m/>
    <m/>
    <m/>
    <m/>
    <m/>
    <n v="0"/>
    <m/>
    <n v="1"/>
    <n v="1982341"/>
    <s v="Other structures"/>
    <m/>
    <m/>
    <m/>
    <m/>
    <n v="0"/>
    <m/>
    <n v="1"/>
    <m/>
    <m/>
    <m/>
    <n v="0"/>
    <m/>
    <m/>
    <m/>
    <m/>
    <m/>
    <n v="0"/>
    <m/>
    <m/>
    <m/>
    <m/>
    <m/>
    <n v="0"/>
    <m/>
    <m/>
    <m/>
    <m/>
    <m/>
    <n v="0"/>
    <m/>
    <m/>
    <m/>
    <m/>
    <m/>
    <n v="0"/>
    <m/>
    <m/>
    <m/>
    <m/>
    <m/>
    <n v="0"/>
    <m/>
    <m/>
    <m/>
    <m/>
    <n v="1"/>
    <n v="1982341"/>
  </r>
  <r>
    <m/>
    <s v="M"/>
    <s v="M"/>
    <s v="MN"/>
    <s v="610"/>
    <s v="MN 610"/>
    <s v="2771-37E"/>
    <x v="1"/>
    <m/>
    <s v="S"/>
    <s v="MNDOT"/>
    <n v="7"/>
    <s v="**MN266** EXTENSION OF 105TH AVE TO W OF I94 IN MAPLE GROVE-ROADWAY REALIGNMENT (2010 APPROPRIATIONS ACT-STP) "/>
    <m/>
    <m/>
    <m/>
    <m/>
    <m/>
    <m/>
    <m/>
    <m/>
    <m/>
    <m/>
    <m/>
    <m/>
    <m/>
    <m/>
    <m/>
    <n v="399932"/>
    <m/>
    <m/>
    <m/>
    <m/>
    <m/>
    <m/>
    <m/>
    <m/>
    <m/>
    <m/>
    <m/>
    <m/>
    <m/>
    <m/>
    <m/>
    <m/>
    <m/>
    <m/>
    <m/>
    <n v="0"/>
    <m/>
    <m/>
    <m/>
    <m/>
    <m/>
    <m/>
    <m/>
    <m/>
    <m/>
    <m/>
    <m/>
    <m/>
    <m/>
    <m/>
    <m/>
    <m/>
    <m/>
    <n v="0.8"/>
    <n v="319945.60000000003"/>
    <m/>
    <m/>
    <m/>
    <m/>
    <n v="0.2"/>
    <n v="79986.400000000009"/>
    <m/>
    <m/>
    <n v="0"/>
    <m/>
    <m/>
    <m/>
    <m/>
    <m/>
    <n v="0"/>
    <m/>
    <n v="1"/>
    <m/>
    <m/>
    <m/>
    <n v="0"/>
    <m/>
    <m/>
    <m/>
    <m/>
    <m/>
    <n v="0"/>
    <m/>
    <m/>
    <m/>
    <m/>
    <m/>
    <n v="0"/>
    <m/>
    <m/>
    <m/>
    <m/>
    <m/>
    <n v="0"/>
    <m/>
    <m/>
    <m/>
    <m/>
    <m/>
    <n v="0"/>
    <m/>
    <m/>
    <m/>
    <m/>
    <m/>
    <n v="0"/>
    <m/>
    <m/>
    <m/>
    <m/>
    <n v="1"/>
    <n v="399932.00000000006"/>
  </r>
  <r>
    <m/>
    <s v="M"/>
    <s v="M"/>
    <s v="MN"/>
    <s v="610"/>
    <s v="MN 610"/>
    <s v="2771-38E"/>
    <x v="1"/>
    <m/>
    <s v="S"/>
    <s v="MNDOT"/>
    <n v="7"/>
    <s v="**MN119** EXTENSION OF 105TH AVE TO W OF I94 IN MAPLE GROVE-ROADWAY REALIGNMENT (SAFETEA-LU)"/>
    <m/>
    <m/>
    <m/>
    <m/>
    <m/>
    <m/>
    <m/>
    <m/>
    <m/>
    <m/>
    <m/>
    <m/>
    <m/>
    <m/>
    <m/>
    <n v="936518"/>
    <m/>
    <m/>
    <m/>
    <m/>
    <m/>
    <m/>
    <m/>
    <m/>
    <m/>
    <m/>
    <m/>
    <m/>
    <m/>
    <m/>
    <m/>
    <m/>
    <m/>
    <m/>
    <m/>
    <n v="0"/>
    <m/>
    <m/>
    <m/>
    <m/>
    <m/>
    <m/>
    <m/>
    <m/>
    <m/>
    <m/>
    <m/>
    <m/>
    <m/>
    <m/>
    <m/>
    <m/>
    <m/>
    <n v="0.8"/>
    <n v="749214.4"/>
    <m/>
    <m/>
    <m/>
    <m/>
    <n v="0.2"/>
    <n v="187303.6"/>
    <m/>
    <m/>
    <n v="0"/>
    <m/>
    <m/>
    <m/>
    <m/>
    <m/>
    <n v="0"/>
    <m/>
    <n v="1"/>
    <m/>
    <m/>
    <m/>
    <n v="0"/>
    <m/>
    <m/>
    <m/>
    <m/>
    <m/>
    <n v="0"/>
    <m/>
    <m/>
    <m/>
    <m/>
    <m/>
    <n v="0"/>
    <m/>
    <m/>
    <m/>
    <m/>
    <m/>
    <n v="0"/>
    <m/>
    <m/>
    <m/>
    <m/>
    <m/>
    <n v="0"/>
    <m/>
    <m/>
    <m/>
    <m/>
    <m/>
    <n v="0"/>
    <m/>
    <m/>
    <m/>
    <m/>
    <n v="1"/>
    <n v="936518"/>
  </r>
  <r>
    <n v="93"/>
    <s v="M"/>
    <s v="M"/>
    <s v="MN"/>
    <s v="610"/>
    <s v="MN 610"/>
    <s v="2771-38H"/>
    <x v="1"/>
    <m/>
    <s v="S"/>
    <s v="MNDOT"/>
    <n v="7"/>
    <s v="**MN249** EXTENSION OF 105TH AVE TO W OF I94 IN MAPLE GROVE-ROADWAY REALIGNMENT (2008 APPROPRIATIONS ACT-STP)"/>
    <m/>
    <m/>
    <m/>
    <m/>
    <m/>
    <m/>
    <m/>
    <m/>
    <m/>
    <m/>
    <m/>
    <m/>
    <m/>
    <m/>
    <m/>
    <n v="490000"/>
    <m/>
    <m/>
    <m/>
    <m/>
    <m/>
    <m/>
    <m/>
    <m/>
    <m/>
    <m/>
    <m/>
    <m/>
    <m/>
    <m/>
    <m/>
    <m/>
    <m/>
    <m/>
    <m/>
    <n v="0"/>
    <m/>
    <m/>
    <m/>
    <m/>
    <m/>
    <m/>
    <m/>
    <m/>
    <m/>
    <m/>
    <m/>
    <m/>
    <m/>
    <m/>
    <m/>
    <m/>
    <m/>
    <n v="0.8"/>
    <n v="392000"/>
    <m/>
    <m/>
    <m/>
    <m/>
    <n v="0.2"/>
    <n v="98000"/>
    <m/>
    <m/>
    <n v="0"/>
    <m/>
    <m/>
    <m/>
    <m/>
    <m/>
    <n v="0"/>
    <m/>
    <n v="1"/>
    <m/>
    <m/>
    <m/>
    <n v="0"/>
    <m/>
    <m/>
    <m/>
    <m/>
    <m/>
    <n v="0"/>
    <m/>
    <m/>
    <m/>
    <m/>
    <m/>
    <n v="0"/>
    <m/>
    <m/>
    <m/>
    <m/>
    <m/>
    <n v="0"/>
    <m/>
    <m/>
    <m/>
    <m/>
    <m/>
    <n v="0"/>
    <m/>
    <m/>
    <m/>
    <m/>
    <m/>
    <n v="0"/>
    <m/>
    <m/>
    <m/>
    <m/>
    <n v="1"/>
    <n v="490000"/>
  </r>
  <r>
    <m/>
    <s v="M"/>
    <s v="M"/>
    <s v="MN"/>
    <s v="610"/>
    <s v="MN 610"/>
    <s v="2771-38S1A"/>
    <x v="1"/>
    <m/>
    <s v="S"/>
    <s v="MNDOT"/>
    <n v="7"/>
    <s v="**MN211** EXTENSION OF 105TH AVE TO W OF I94 IN MAPLE GROVE-RIGHT OF WAY (SAFETEA-LU)"/>
    <m/>
    <m/>
    <m/>
    <m/>
    <m/>
    <m/>
    <m/>
    <m/>
    <m/>
    <m/>
    <m/>
    <m/>
    <m/>
    <m/>
    <m/>
    <n v="2107164"/>
    <m/>
    <m/>
    <m/>
    <m/>
    <m/>
    <m/>
    <m/>
    <m/>
    <m/>
    <m/>
    <m/>
    <m/>
    <m/>
    <m/>
    <m/>
    <m/>
    <m/>
    <m/>
    <m/>
    <n v="0"/>
    <m/>
    <m/>
    <m/>
    <m/>
    <m/>
    <m/>
    <m/>
    <m/>
    <m/>
    <m/>
    <m/>
    <m/>
    <m/>
    <m/>
    <m/>
    <m/>
    <m/>
    <m/>
    <n v="0"/>
    <m/>
    <m/>
    <m/>
    <m/>
    <m/>
    <n v="0"/>
    <m/>
    <m/>
    <n v="0"/>
    <m/>
    <m/>
    <m/>
    <m/>
    <m/>
    <n v="0"/>
    <m/>
    <n v="1"/>
    <m/>
    <m/>
    <m/>
    <n v="0"/>
    <m/>
    <m/>
    <m/>
    <m/>
    <m/>
    <n v="0"/>
    <m/>
    <m/>
    <m/>
    <m/>
    <m/>
    <n v="0"/>
    <m/>
    <m/>
    <m/>
    <m/>
    <m/>
    <n v="0"/>
    <m/>
    <m/>
    <m/>
    <m/>
    <m/>
    <n v="0"/>
    <m/>
    <m/>
    <m/>
    <m/>
    <n v="1"/>
    <n v="2107164"/>
    <s v="Right of way"/>
    <m/>
    <m/>
    <m/>
    <n v="1"/>
    <n v="2107164"/>
  </r>
  <r>
    <m/>
    <s v="M"/>
    <s v="M"/>
    <s v="MN"/>
    <s v="610"/>
    <s v="MN 610"/>
    <s v="2771-38S2A"/>
    <x v="1"/>
    <m/>
    <s v="S"/>
    <s v="MNDOT"/>
    <n v="7"/>
    <s v="**MN226** EXTENSION OF 105TH AVE TO W OF I94 IN MAPLE GROVE-ROADWAY REALIGNMENT (SAFETEA-LU)"/>
    <m/>
    <m/>
    <m/>
    <m/>
    <m/>
    <m/>
    <m/>
    <m/>
    <m/>
    <m/>
    <m/>
    <m/>
    <m/>
    <m/>
    <m/>
    <n v="1873034"/>
    <m/>
    <m/>
    <m/>
    <m/>
    <m/>
    <m/>
    <m/>
    <m/>
    <m/>
    <m/>
    <m/>
    <m/>
    <m/>
    <m/>
    <m/>
    <m/>
    <m/>
    <m/>
    <m/>
    <n v="0"/>
    <m/>
    <m/>
    <m/>
    <m/>
    <m/>
    <m/>
    <m/>
    <m/>
    <m/>
    <m/>
    <m/>
    <m/>
    <m/>
    <m/>
    <m/>
    <m/>
    <m/>
    <n v="0.8"/>
    <n v="1498427.2000000002"/>
    <m/>
    <m/>
    <m/>
    <m/>
    <n v="0.2"/>
    <n v="374606.80000000005"/>
    <m/>
    <m/>
    <n v="0"/>
    <m/>
    <m/>
    <m/>
    <m/>
    <m/>
    <n v="0"/>
    <m/>
    <n v="1"/>
    <m/>
    <m/>
    <m/>
    <n v="0"/>
    <m/>
    <m/>
    <m/>
    <m/>
    <m/>
    <n v="0"/>
    <m/>
    <m/>
    <m/>
    <m/>
    <m/>
    <n v="0"/>
    <m/>
    <m/>
    <m/>
    <m/>
    <m/>
    <n v="0"/>
    <m/>
    <m/>
    <m/>
    <m/>
    <m/>
    <n v="0"/>
    <m/>
    <m/>
    <m/>
    <m/>
    <m/>
    <n v="0"/>
    <m/>
    <m/>
    <m/>
    <m/>
    <n v="1"/>
    <n v="1873034.0000000002"/>
  </r>
  <r>
    <n v="143"/>
    <s v="M"/>
    <s v="M"/>
    <s v="MN"/>
    <s v="610"/>
    <s v="MN 610"/>
    <s v="2771-38TA"/>
    <x v="1"/>
    <m/>
    <s v="S"/>
    <s v="MNDOT"/>
    <n v="7"/>
    <s v="**MN235** EXTENSION OF 105TH AVE TO W OF I94 IN MAPLE GROVE-ROADWAY REALIGNMENT (SAFETEA-LU)"/>
    <m/>
    <m/>
    <m/>
    <m/>
    <m/>
    <m/>
    <m/>
    <m/>
    <m/>
    <m/>
    <m/>
    <m/>
    <m/>
    <m/>
    <m/>
    <n v="4204068"/>
    <m/>
    <m/>
    <m/>
    <m/>
    <m/>
    <m/>
    <m/>
    <m/>
    <m/>
    <m/>
    <m/>
    <m/>
    <m/>
    <m/>
    <m/>
    <m/>
    <m/>
    <m/>
    <m/>
    <n v="0"/>
    <m/>
    <m/>
    <m/>
    <m/>
    <m/>
    <m/>
    <m/>
    <m/>
    <m/>
    <m/>
    <m/>
    <m/>
    <m/>
    <m/>
    <m/>
    <m/>
    <m/>
    <n v="0.8"/>
    <n v="3363254.4000000004"/>
    <m/>
    <m/>
    <m/>
    <m/>
    <n v="0.2"/>
    <n v="840813.60000000009"/>
    <m/>
    <m/>
    <n v="0"/>
    <m/>
    <m/>
    <m/>
    <m/>
    <m/>
    <n v="0"/>
    <m/>
    <n v="1"/>
    <m/>
    <m/>
    <m/>
    <n v="0"/>
    <m/>
    <m/>
    <m/>
    <m/>
    <m/>
    <n v="0"/>
    <m/>
    <m/>
    <m/>
    <m/>
    <m/>
    <n v="0"/>
    <m/>
    <m/>
    <m/>
    <m/>
    <m/>
    <n v="0"/>
    <m/>
    <m/>
    <m/>
    <m/>
    <m/>
    <n v="0"/>
    <m/>
    <m/>
    <m/>
    <m/>
    <m/>
    <n v="0"/>
    <m/>
    <m/>
    <m/>
    <m/>
    <n v="1"/>
    <n v="4204068"/>
  </r>
  <r>
    <m/>
    <s v="M"/>
    <s v="M"/>
    <s v="US"/>
    <n v="169"/>
    <s v="US 169"/>
    <s v="2772-102"/>
    <x v="2"/>
    <m/>
    <s v="S"/>
    <s v="MNDOT"/>
    <n v="7"/>
    <s v="OVER US212/MN62 IN EDEN PRAIRIE/EDINA-REDECK BRIDGES 27079 AND 27080, NEW APPROACH PANELS"/>
    <m/>
    <m/>
    <m/>
    <m/>
    <m/>
    <m/>
    <m/>
    <m/>
    <m/>
    <m/>
    <m/>
    <m/>
    <m/>
    <m/>
    <m/>
    <n v="2320000"/>
    <m/>
    <m/>
    <m/>
    <m/>
    <m/>
    <m/>
    <m/>
    <m/>
    <m/>
    <m/>
    <m/>
    <m/>
    <m/>
    <m/>
    <m/>
    <m/>
    <m/>
    <m/>
    <m/>
    <n v="0"/>
    <m/>
    <m/>
    <m/>
    <m/>
    <m/>
    <m/>
    <m/>
    <m/>
    <m/>
    <m/>
    <m/>
    <m/>
    <m/>
    <m/>
    <m/>
    <m/>
    <m/>
    <m/>
    <n v="0"/>
    <m/>
    <m/>
    <m/>
    <m/>
    <n v="0.95238095238095233"/>
    <n v="2209523.8095238092"/>
    <m/>
    <m/>
    <n v="0"/>
    <m/>
    <m/>
    <m/>
    <m/>
    <m/>
    <n v="0"/>
    <m/>
    <n v="1"/>
    <m/>
    <m/>
    <m/>
    <n v="0"/>
    <m/>
    <m/>
    <m/>
    <m/>
    <n v="4.7619047619047616E-2"/>
    <n v="110476.19047619047"/>
    <m/>
    <m/>
    <m/>
    <m/>
    <m/>
    <n v="0"/>
    <m/>
    <m/>
    <m/>
    <m/>
    <m/>
    <n v="0"/>
    <m/>
    <m/>
    <m/>
    <m/>
    <m/>
    <n v="0"/>
    <m/>
    <m/>
    <m/>
    <m/>
    <m/>
    <n v="0"/>
    <m/>
    <m/>
    <m/>
    <m/>
    <n v="1"/>
    <n v="2319999.9999999995"/>
  </r>
  <r>
    <m/>
    <s v="M"/>
    <s v="M"/>
    <s v="US"/>
    <n v="169"/>
    <s v="US 169"/>
    <s v="2772-103"/>
    <x v="2"/>
    <m/>
    <s v="S"/>
    <s v="MNDOT"/>
    <n v="7"/>
    <s v="ON EAST SIDE FROM 42ND AVE N TO 49TH ST N IN NEW HOPE - NOISE WALL"/>
    <m/>
    <m/>
    <m/>
    <m/>
    <m/>
    <m/>
    <m/>
    <m/>
    <m/>
    <m/>
    <m/>
    <m/>
    <m/>
    <m/>
    <m/>
    <n v="1355000"/>
    <m/>
    <m/>
    <m/>
    <m/>
    <m/>
    <m/>
    <m/>
    <m/>
    <m/>
    <m/>
    <m/>
    <m/>
    <m/>
    <m/>
    <m/>
    <m/>
    <m/>
    <m/>
    <m/>
    <n v="135000"/>
    <m/>
    <m/>
    <m/>
    <m/>
    <m/>
    <m/>
    <m/>
    <m/>
    <m/>
    <m/>
    <m/>
    <m/>
    <m/>
    <m/>
    <m/>
    <m/>
    <m/>
    <m/>
    <n v="0"/>
    <m/>
    <m/>
    <m/>
    <m/>
    <m/>
    <n v="0"/>
    <m/>
    <n v="0.54078325714808506"/>
    <n v="659755.57372066379"/>
    <s v="Other structures"/>
    <m/>
    <m/>
    <m/>
    <m/>
    <n v="0"/>
    <m/>
    <n v="1.0000000000000004"/>
    <m/>
    <m/>
    <m/>
    <n v="0"/>
    <m/>
    <m/>
    <m/>
    <m/>
    <n v="9.2167428519153525E-3"/>
    <n v="11244.426279336731"/>
    <m/>
    <m/>
    <m/>
    <m/>
    <m/>
    <n v="0"/>
    <m/>
    <m/>
    <m/>
    <m/>
    <m/>
    <n v="0"/>
    <m/>
    <m/>
    <m/>
    <m/>
    <n v="0.45"/>
    <n v="549000"/>
    <m/>
    <m/>
    <m/>
    <m/>
    <m/>
    <n v="0"/>
    <m/>
    <m/>
    <m/>
    <m/>
    <n v="1.0000000000000004"/>
    <n v="1220000.0000000005"/>
  </r>
  <r>
    <m/>
    <s v="M"/>
    <s v="M"/>
    <s v="US"/>
    <n v="169"/>
    <s v="US 169"/>
    <s v="2772-105"/>
    <x v="9"/>
    <m/>
    <s v="S"/>
    <s v="MNDOT"/>
    <n v="7"/>
    <s v="JUST NORTH OF MN62 IN EDINA TO MN55 IN GOLDEN VALLEY -CPR WITH DIAMOND GRINDING AND MILL AND OVERLAY, DRAINAGE"/>
    <m/>
    <m/>
    <m/>
    <m/>
    <m/>
    <m/>
    <m/>
    <m/>
    <m/>
    <m/>
    <m/>
    <m/>
    <m/>
    <m/>
    <m/>
    <n v="16515000"/>
    <m/>
    <m/>
    <m/>
    <m/>
    <m/>
    <m/>
    <m/>
    <m/>
    <m/>
    <m/>
    <m/>
    <m/>
    <m/>
    <m/>
    <m/>
    <m/>
    <m/>
    <m/>
    <m/>
    <n v="0"/>
    <m/>
    <m/>
    <m/>
    <m/>
    <m/>
    <m/>
    <m/>
    <m/>
    <m/>
    <m/>
    <m/>
    <m/>
    <m/>
    <m/>
    <m/>
    <m/>
    <m/>
    <n v="0.66371268490088131"/>
    <n v="10961214.991138054"/>
    <m/>
    <m/>
    <m/>
    <m/>
    <m/>
    <n v="0"/>
    <m/>
    <n v="0.29744383241486511"/>
    <n v="4912284.8923314968"/>
    <s v="Other structures"/>
    <m/>
    <m/>
    <m/>
    <m/>
    <n v="0"/>
    <m/>
    <n v="0.99999999999999989"/>
    <m/>
    <m/>
    <m/>
    <n v="0"/>
    <m/>
    <m/>
    <m/>
    <m/>
    <n v="1.9646627849826435E-2"/>
    <n v="324464.05893988354"/>
    <m/>
    <m/>
    <m/>
    <m/>
    <m/>
    <n v="0"/>
    <m/>
    <m/>
    <m/>
    <m/>
    <n v="1.9196854834427159E-2"/>
    <n v="317036.05759056454"/>
    <m/>
    <m/>
    <m/>
    <m/>
    <m/>
    <n v="0"/>
    <m/>
    <m/>
    <m/>
    <m/>
    <m/>
    <n v="0"/>
    <m/>
    <m/>
    <m/>
    <m/>
    <n v="0.99999999999999989"/>
    <n v="16515000"/>
  </r>
  <r>
    <m/>
    <s v="M"/>
    <s v="M"/>
    <s v="US"/>
    <n v="169"/>
    <s v="US 169"/>
    <s v="2772-112"/>
    <x v="9"/>
    <m/>
    <s v="S"/>
    <s v="MNDOT"/>
    <n v="7"/>
    <s v="FROM I394 IN GOLDEN VALLEY TO I94 IN BROOKLYN PARK-INCIDENT MGMT, ITS REFURBISHMENT AND ENHANCEMENT"/>
    <m/>
    <m/>
    <m/>
    <m/>
    <m/>
    <m/>
    <m/>
    <m/>
    <m/>
    <m/>
    <m/>
    <m/>
    <m/>
    <m/>
    <m/>
    <n v="500000"/>
    <m/>
    <m/>
    <m/>
    <m/>
    <m/>
    <m/>
    <m/>
    <m/>
    <m/>
    <m/>
    <m/>
    <m/>
    <m/>
    <m/>
    <m/>
    <m/>
    <m/>
    <m/>
    <m/>
    <n v="0"/>
    <m/>
    <m/>
    <m/>
    <m/>
    <m/>
    <m/>
    <m/>
    <m/>
    <m/>
    <m/>
    <m/>
    <m/>
    <m/>
    <m/>
    <m/>
    <m/>
    <m/>
    <m/>
    <n v="0"/>
    <m/>
    <m/>
    <m/>
    <m/>
    <m/>
    <n v="0"/>
    <m/>
    <n v="1"/>
    <n v="500000"/>
    <s v="Other traffic devices"/>
    <m/>
    <m/>
    <m/>
    <m/>
    <n v="0"/>
    <m/>
    <n v="1"/>
    <m/>
    <m/>
    <m/>
    <n v="0"/>
    <m/>
    <m/>
    <m/>
    <m/>
    <m/>
    <n v="0"/>
    <m/>
    <m/>
    <m/>
    <m/>
    <m/>
    <n v="0"/>
    <m/>
    <m/>
    <m/>
    <m/>
    <m/>
    <n v="0"/>
    <m/>
    <m/>
    <m/>
    <m/>
    <m/>
    <n v="0"/>
    <m/>
    <m/>
    <m/>
    <m/>
    <m/>
    <n v="0"/>
    <m/>
    <m/>
    <m/>
    <m/>
    <n v="1"/>
    <n v="500000"/>
  </r>
  <r>
    <m/>
    <s v="M"/>
    <s v="M"/>
    <s v="US"/>
    <n v="169"/>
    <s v="US 169"/>
    <s v="2772-90"/>
    <x v="0"/>
    <m/>
    <s v="S"/>
    <s v="MNDOT"/>
    <n v="7"/>
    <s v="FROM I-394 IN ST LOUIS PARK TO BROOKLYN BLVD IN BROOKLYN PARK-SIGN REPLACEMENT"/>
    <m/>
    <m/>
    <m/>
    <m/>
    <m/>
    <m/>
    <m/>
    <m/>
    <m/>
    <m/>
    <m/>
    <m/>
    <m/>
    <m/>
    <m/>
    <n v="450000"/>
    <m/>
    <m/>
    <m/>
    <m/>
    <m/>
    <m/>
    <m/>
    <m/>
    <m/>
    <m/>
    <m/>
    <m/>
    <m/>
    <m/>
    <m/>
    <m/>
    <m/>
    <m/>
    <m/>
    <n v="0"/>
    <m/>
    <m/>
    <m/>
    <m/>
    <m/>
    <m/>
    <m/>
    <m/>
    <m/>
    <m/>
    <m/>
    <m/>
    <m/>
    <m/>
    <m/>
    <m/>
    <m/>
    <m/>
    <n v="0"/>
    <m/>
    <m/>
    <m/>
    <m/>
    <m/>
    <n v="0"/>
    <m/>
    <n v="1"/>
    <n v="450000"/>
    <s v="Signs"/>
    <m/>
    <m/>
    <m/>
    <m/>
    <n v="0"/>
    <m/>
    <n v="1"/>
    <m/>
    <m/>
    <m/>
    <n v="0"/>
    <m/>
    <m/>
    <m/>
    <m/>
    <m/>
    <n v="0"/>
    <m/>
    <m/>
    <m/>
    <m/>
    <m/>
    <n v="0"/>
    <m/>
    <m/>
    <m/>
    <m/>
    <m/>
    <n v="0"/>
    <m/>
    <m/>
    <m/>
    <m/>
    <m/>
    <n v="0"/>
    <m/>
    <m/>
    <m/>
    <m/>
    <m/>
    <n v="0"/>
    <m/>
    <m/>
    <m/>
    <m/>
    <n v="1"/>
    <n v="450000"/>
  </r>
  <r>
    <m/>
    <s v="M"/>
    <s v="M"/>
    <s v="US"/>
    <n v="169"/>
    <s v="US 169"/>
    <s v="2772-91"/>
    <x v="0"/>
    <m/>
    <s v="S"/>
    <s v="MNDOT"/>
    <n v="7"/>
    <s v="FROM JUST N OF JCT I494 IN BLOOMINGTON TO JUST N JCT MN 62 IN EDINA-MILL &amp; UNBONDED CONCRETE OVERLAY, GUARDRAIL, DRAINAGE, PED RAMPS, CURB AND GUTTER, SIGNAL &amp; SIGNING"/>
    <m/>
    <m/>
    <m/>
    <m/>
    <m/>
    <m/>
    <m/>
    <m/>
    <m/>
    <m/>
    <m/>
    <m/>
    <m/>
    <m/>
    <m/>
    <n v="8755000"/>
    <m/>
    <m/>
    <m/>
    <m/>
    <m/>
    <m/>
    <m/>
    <m/>
    <m/>
    <m/>
    <m/>
    <m/>
    <m/>
    <m/>
    <m/>
    <m/>
    <m/>
    <m/>
    <m/>
    <n v="0"/>
    <m/>
    <m/>
    <m/>
    <m/>
    <m/>
    <m/>
    <m/>
    <m/>
    <m/>
    <m/>
    <m/>
    <m/>
    <m/>
    <m/>
    <m/>
    <m/>
    <m/>
    <n v="0.80171178493666595"/>
    <n v="7018986.6771205105"/>
    <m/>
    <m/>
    <m/>
    <m/>
    <m/>
    <n v="0"/>
    <m/>
    <n v="7.5091181144942065E-2"/>
    <n v="657423.29092396772"/>
    <s v="Guardrails and fencing"/>
    <m/>
    <m/>
    <m/>
    <n v="8.6499999999999994E-2"/>
    <n v="757307.5"/>
    <s v="Low cost high benefit"/>
    <n v="1.0000000000000002"/>
    <m/>
    <m/>
    <m/>
    <n v="0"/>
    <m/>
    <m/>
    <m/>
    <m/>
    <n v="3.4357263312549971E-2"/>
    <n v="300797.84030137502"/>
    <m/>
    <m/>
    <m/>
    <m/>
    <m/>
    <n v="0"/>
    <m/>
    <m/>
    <m/>
    <m/>
    <n v="2.33977060584215E-3"/>
    <n v="20484.691654148024"/>
    <m/>
    <m/>
    <m/>
    <m/>
    <m/>
    <n v="0"/>
    <m/>
    <m/>
    <m/>
    <m/>
    <m/>
    <n v="0"/>
    <m/>
    <m/>
    <m/>
    <m/>
    <n v="1.0000000000000002"/>
    <n v="8755000.0000000019"/>
  </r>
  <r>
    <m/>
    <s v="M"/>
    <s v="M"/>
    <s v="US"/>
    <n v="169"/>
    <s v="US 169"/>
    <s v="2772-97"/>
    <x v="1"/>
    <m/>
    <s v="S"/>
    <s v="MNDOT"/>
    <n v="7"/>
    <s v="AT 36TH AVE N (EAST RAMP) IN PLYMOUTH - REPLACE SIGNAL SYSTEM"/>
    <m/>
    <m/>
    <m/>
    <m/>
    <m/>
    <m/>
    <m/>
    <m/>
    <m/>
    <m/>
    <m/>
    <m/>
    <m/>
    <m/>
    <m/>
    <n v="225000"/>
    <m/>
    <m/>
    <m/>
    <m/>
    <m/>
    <m/>
    <m/>
    <m/>
    <m/>
    <m/>
    <m/>
    <m/>
    <m/>
    <m/>
    <m/>
    <m/>
    <m/>
    <m/>
    <m/>
    <n v="112500"/>
    <m/>
    <m/>
    <m/>
    <m/>
    <m/>
    <m/>
    <m/>
    <m/>
    <m/>
    <m/>
    <m/>
    <m/>
    <m/>
    <m/>
    <m/>
    <m/>
    <m/>
    <m/>
    <n v="0"/>
    <m/>
    <m/>
    <m/>
    <m/>
    <m/>
    <n v="0"/>
    <m/>
    <n v="0.94870259649359523"/>
    <n v="106729.04210552946"/>
    <s v="Signals"/>
    <m/>
    <m/>
    <m/>
    <m/>
    <n v="0"/>
    <m/>
    <n v="1"/>
    <m/>
    <m/>
    <m/>
    <n v="0"/>
    <m/>
    <m/>
    <m/>
    <m/>
    <n v="5.1297403506404798E-2"/>
    <n v="5770.9578944705399"/>
    <m/>
    <m/>
    <m/>
    <m/>
    <m/>
    <n v="0"/>
    <m/>
    <m/>
    <m/>
    <m/>
    <m/>
    <n v="0"/>
    <m/>
    <m/>
    <m/>
    <m/>
    <m/>
    <n v="0"/>
    <m/>
    <m/>
    <m/>
    <m/>
    <m/>
    <n v="0"/>
    <m/>
    <m/>
    <m/>
    <m/>
    <n v="1"/>
    <n v="112500"/>
  </r>
  <r>
    <m/>
    <s v="M"/>
    <s v="M"/>
    <s v="US"/>
    <n v="169"/>
    <s v="US 169"/>
    <s v="2772-99"/>
    <x v="1"/>
    <m/>
    <s v="S"/>
    <s v="MNDOT"/>
    <n v="7"/>
    <s v="ON EAST SIDE FROM 16TH ST W IN ST. LOUIS PARK TO JUST N OF WAYZATA BLVD IN GOLDEN VALLEY - NOISE WALL AND ACCESS CLOSURE"/>
    <m/>
    <m/>
    <m/>
    <m/>
    <m/>
    <m/>
    <m/>
    <m/>
    <m/>
    <m/>
    <m/>
    <m/>
    <m/>
    <m/>
    <m/>
    <n v="845000"/>
    <m/>
    <m/>
    <m/>
    <m/>
    <m/>
    <m/>
    <m/>
    <m/>
    <m/>
    <m/>
    <m/>
    <m/>
    <m/>
    <m/>
    <m/>
    <m/>
    <m/>
    <m/>
    <m/>
    <n v="75000"/>
    <m/>
    <m/>
    <m/>
    <m/>
    <m/>
    <m/>
    <m/>
    <m/>
    <m/>
    <m/>
    <m/>
    <m/>
    <m/>
    <m/>
    <m/>
    <m/>
    <m/>
    <m/>
    <n v="0"/>
    <m/>
    <m/>
    <m/>
    <m/>
    <m/>
    <n v="0"/>
    <m/>
    <n v="0.88175299936108287"/>
    <n v="678949.8095080338"/>
    <s v="Other structures"/>
    <m/>
    <m/>
    <m/>
    <m/>
    <n v="0"/>
    <m/>
    <n v="1"/>
    <m/>
    <m/>
    <m/>
    <n v="0"/>
    <m/>
    <m/>
    <m/>
    <m/>
    <n v="0.11824700063891716"/>
    <n v="91050.190491966219"/>
    <m/>
    <m/>
    <m/>
    <m/>
    <m/>
    <n v="0"/>
    <m/>
    <m/>
    <m/>
    <m/>
    <m/>
    <n v="0"/>
    <m/>
    <m/>
    <m/>
    <m/>
    <m/>
    <n v="0"/>
    <m/>
    <m/>
    <m/>
    <m/>
    <m/>
    <n v="0"/>
    <m/>
    <m/>
    <m/>
    <m/>
    <n v="1"/>
    <n v="770000"/>
  </r>
  <r>
    <m/>
    <n v="2"/>
    <n v="2"/>
    <s v="US"/>
    <n v="999"/>
    <s v="US999"/>
    <m/>
    <x v="8"/>
    <m/>
    <m/>
    <m/>
    <m/>
    <s v="NHS PAVEMENT"/>
    <m/>
    <m/>
    <m/>
    <m/>
    <m/>
    <m/>
    <s v=""/>
    <m/>
    <m/>
    <m/>
    <m/>
    <s v=""/>
    <m/>
    <m/>
    <m/>
    <n v="3600000"/>
    <m/>
    <m/>
    <m/>
    <m/>
    <n v="0"/>
    <m/>
    <m/>
    <m/>
    <n v="0"/>
    <m/>
    <m/>
    <m/>
    <n v="0"/>
    <m/>
    <m/>
    <m/>
    <m/>
    <n v="0"/>
    <m/>
    <n v="3600000"/>
    <n v="3600000"/>
    <n v="0"/>
    <n v="0"/>
    <n v="2023"/>
    <m/>
    <m/>
    <m/>
    <m/>
    <m/>
    <m/>
    <m/>
    <m/>
    <m/>
    <m/>
    <m/>
    <m/>
    <m/>
    <n v="0.82099999999999995"/>
    <n v="2955600"/>
    <m/>
    <m/>
    <m/>
    <m/>
    <m/>
    <n v="0"/>
    <m/>
    <n v="0.115"/>
    <n v="414000"/>
    <m/>
    <m/>
    <m/>
    <m/>
    <n v="3.2000000000000001E-2"/>
    <n v="115200"/>
    <m/>
    <m/>
    <m/>
    <m/>
    <m/>
    <n v="0"/>
    <m/>
    <m/>
    <m/>
    <m/>
    <m/>
    <n v="0"/>
    <m/>
    <m/>
    <m/>
    <m/>
    <n v="2.3E-2"/>
    <n v="82800"/>
    <m/>
    <m/>
    <m/>
    <m/>
    <n v="8.9999999999999993E-3"/>
    <n v="32399.999999999996"/>
    <m/>
    <m/>
    <m/>
    <m/>
    <m/>
    <n v="0"/>
    <m/>
    <m/>
    <m/>
    <m/>
    <m/>
    <n v="0"/>
    <m/>
    <m/>
    <m/>
    <m/>
    <n v="1"/>
    <n v="3600000"/>
  </r>
  <r>
    <m/>
    <s v="M"/>
    <s v="M"/>
    <s v="MN"/>
    <n v="62"/>
    <s v="MN 62"/>
    <s v="2775-15"/>
    <x v="0"/>
    <m/>
    <s v="S"/>
    <s v="MNDOT"/>
    <n v="7"/>
    <s v=" FROM PORTLAND AVE TO BLOOMINGTON AVE IN RICHFIELD &amp; MINNEAPOLIS - REPLACE LIGHTING SYSTEM"/>
    <m/>
    <m/>
    <m/>
    <m/>
    <m/>
    <m/>
    <m/>
    <m/>
    <m/>
    <m/>
    <m/>
    <m/>
    <m/>
    <m/>
    <m/>
    <n v="150000"/>
    <m/>
    <m/>
    <m/>
    <m/>
    <m/>
    <m/>
    <m/>
    <m/>
    <m/>
    <m/>
    <m/>
    <m/>
    <m/>
    <m/>
    <m/>
    <m/>
    <m/>
    <m/>
    <m/>
    <n v="0"/>
    <m/>
    <m/>
    <m/>
    <m/>
    <m/>
    <m/>
    <m/>
    <m/>
    <m/>
    <m/>
    <m/>
    <m/>
    <m/>
    <m/>
    <m/>
    <m/>
    <m/>
    <m/>
    <n v="0"/>
    <m/>
    <m/>
    <m/>
    <m/>
    <m/>
    <n v="0"/>
    <m/>
    <n v="1"/>
    <n v="150000"/>
    <s v="Lighting"/>
    <m/>
    <m/>
    <m/>
    <m/>
    <n v="0"/>
    <m/>
    <n v="1"/>
    <m/>
    <m/>
    <m/>
    <n v="0"/>
    <m/>
    <m/>
    <m/>
    <m/>
    <m/>
    <n v="0"/>
    <m/>
    <m/>
    <m/>
    <m/>
    <m/>
    <n v="0"/>
    <m/>
    <m/>
    <m/>
    <m/>
    <m/>
    <n v="0"/>
    <m/>
    <m/>
    <m/>
    <m/>
    <m/>
    <n v="0"/>
    <m/>
    <m/>
    <m/>
    <m/>
    <m/>
    <n v="0"/>
    <m/>
    <m/>
    <m/>
    <m/>
    <n v="1"/>
    <n v="150000"/>
  </r>
  <r>
    <m/>
    <n v="6"/>
    <n v="6"/>
    <s v="MN"/>
    <n v="999"/>
    <s v="MN 999"/>
    <s v="8806-BR-19"/>
    <x v="4"/>
    <m/>
    <s v="S"/>
    <s v="MNDOT"/>
    <m/>
    <s v="DISTRICTWIDE SETASIDE - BRIDGE REPLACEMENT"/>
    <m/>
    <m/>
    <m/>
    <m/>
    <m/>
    <m/>
    <m/>
    <m/>
    <m/>
    <m/>
    <m/>
    <m/>
    <m/>
    <m/>
    <m/>
    <n v="2320911"/>
    <m/>
    <m/>
    <n v="0"/>
    <m/>
    <m/>
    <m/>
    <n v="0"/>
    <m/>
    <m/>
    <m/>
    <n v="0"/>
    <m/>
    <m/>
    <m/>
    <m/>
    <n v="2320911"/>
    <m/>
    <m/>
    <n v="0"/>
    <n v="0"/>
    <n v="2320911"/>
    <m/>
    <m/>
    <n v="2019"/>
    <m/>
    <m/>
    <m/>
    <m/>
    <m/>
    <m/>
    <m/>
    <m/>
    <m/>
    <m/>
    <m/>
    <m/>
    <m/>
    <m/>
    <m/>
    <m/>
    <m/>
    <m/>
    <m/>
    <n v="0.92900000000000005"/>
    <n v="2156126.3190000001"/>
    <m/>
    <m/>
    <m/>
    <m/>
    <m/>
    <m/>
    <m/>
    <m/>
    <m/>
    <m/>
    <m/>
    <m/>
    <m/>
    <m/>
    <m/>
    <m/>
    <m/>
    <m/>
    <m/>
    <m/>
    <m/>
    <m/>
    <m/>
    <m/>
    <m/>
    <n v="3.5000000000000003E-2"/>
    <n v="81231.885000000009"/>
    <m/>
    <m/>
    <m/>
    <m/>
    <n v="3.5999999999999997E-2"/>
    <n v="83552.795999999988"/>
    <m/>
    <m/>
    <m/>
    <m/>
    <m/>
    <m/>
    <m/>
    <m/>
    <m/>
    <m/>
    <m/>
    <m/>
    <m/>
    <m/>
    <m/>
    <m/>
    <n v="1"/>
    <n v="2320911"/>
  </r>
  <r>
    <m/>
    <n v="7"/>
    <n v="7"/>
    <s v="MN"/>
    <n v="999"/>
    <s v="MN999"/>
    <m/>
    <x v="6"/>
    <m/>
    <m/>
    <m/>
    <m/>
    <s v="NON-NHS BRIDGE SETASIDE"/>
    <m/>
    <m/>
    <m/>
    <m/>
    <m/>
    <m/>
    <s v=""/>
    <m/>
    <m/>
    <m/>
    <m/>
    <s v=""/>
    <m/>
    <m/>
    <m/>
    <n v="2300000"/>
    <m/>
    <m/>
    <m/>
    <m/>
    <n v="0"/>
    <m/>
    <m/>
    <m/>
    <n v="0"/>
    <m/>
    <m/>
    <m/>
    <n v="0"/>
    <m/>
    <m/>
    <m/>
    <m/>
    <n v="0"/>
    <m/>
    <n v="2300000"/>
    <n v="2300000"/>
    <n v="174946084.68000001"/>
    <n v="87335512.589999989"/>
    <n v="2021"/>
    <m/>
    <m/>
    <m/>
    <m/>
    <m/>
    <m/>
    <m/>
    <m/>
    <m/>
    <m/>
    <m/>
    <m/>
    <m/>
    <m/>
    <n v="0"/>
    <m/>
    <m/>
    <m/>
    <m/>
    <n v="0.92900000000000005"/>
    <n v="2136700"/>
    <m/>
    <m/>
    <n v="0"/>
    <m/>
    <m/>
    <m/>
    <m/>
    <m/>
    <n v="0"/>
    <m/>
    <m/>
    <m/>
    <m/>
    <m/>
    <n v="0"/>
    <m/>
    <m/>
    <m/>
    <m/>
    <m/>
    <n v="0"/>
    <m/>
    <m/>
    <m/>
    <m/>
    <n v="3.5000000000000003E-2"/>
    <n v="80500.000000000015"/>
    <m/>
    <m/>
    <m/>
    <m/>
    <n v="3.5999999999999997E-2"/>
    <n v="82800"/>
    <m/>
    <m/>
    <m/>
    <m/>
    <m/>
    <n v="0"/>
    <m/>
    <m/>
    <m/>
    <m/>
    <m/>
    <n v="0"/>
    <m/>
    <m/>
    <m/>
    <m/>
    <n v="1"/>
    <n v="2300000"/>
  </r>
  <r>
    <m/>
    <n v="7"/>
    <n v="7"/>
    <s v="MN"/>
    <n v="999"/>
    <s v="MN999"/>
    <m/>
    <x v="7"/>
    <m/>
    <m/>
    <m/>
    <m/>
    <s v="NON-NHS BRIDGE SETASIDE"/>
    <m/>
    <m/>
    <m/>
    <m/>
    <m/>
    <m/>
    <s v=""/>
    <m/>
    <m/>
    <m/>
    <m/>
    <s v=""/>
    <m/>
    <m/>
    <m/>
    <n v="2300000"/>
    <m/>
    <m/>
    <m/>
    <m/>
    <n v="0"/>
    <m/>
    <m/>
    <m/>
    <n v="0"/>
    <m/>
    <m/>
    <m/>
    <n v="0"/>
    <m/>
    <m/>
    <m/>
    <m/>
    <n v="0"/>
    <m/>
    <n v="2300000"/>
    <n v="2300000"/>
    <n v="174946084.68000001"/>
    <n v="87335512.589999989"/>
    <n v="2022"/>
    <m/>
    <m/>
    <m/>
    <m/>
    <m/>
    <m/>
    <m/>
    <m/>
    <m/>
    <m/>
    <m/>
    <m/>
    <m/>
    <m/>
    <n v="0"/>
    <m/>
    <m/>
    <m/>
    <m/>
    <n v="0.92900000000000005"/>
    <n v="2136700"/>
    <m/>
    <m/>
    <n v="0"/>
    <m/>
    <m/>
    <m/>
    <m/>
    <m/>
    <n v="0"/>
    <m/>
    <m/>
    <m/>
    <m/>
    <m/>
    <n v="0"/>
    <m/>
    <m/>
    <m/>
    <m/>
    <m/>
    <n v="0"/>
    <m/>
    <m/>
    <m/>
    <m/>
    <n v="3.5000000000000003E-2"/>
    <n v="80500.000000000015"/>
    <m/>
    <m/>
    <m/>
    <m/>
    <n v="3.5999999999999997E-2"/>
    <n v="82800"/>
    <m/>
    <m/>
    <m/>
    <m/>
    <m/>
    <n v="0"/>
    <m/>
    <m/>
    <m/>
    <m/>
    <m/>
    <n v="0"/>
    <m/>
    <m/>
    <m/>
    <m/>
    <n v="1"/>
    <n v="2300000"/>
  </r>
  <r>
    <m/>
    <n v="7"/>
    <n v="7"/>
    <s v="MN"/>
    <n v="999"/>
    <s v="MN999"/>
    <m/>
    <x v="8"/>
    <m/>
    <m/>
    <m/>
    <m/>
    <s v="NON-NHS BRIDGE SETASIDE"/>
    <m/>
    <m/>
    <m/>
    <m/>
    <m/>
    <m/>
    <s v=""/>
    <m/>
    <m/>
    <m/>
    <m/>
    <s v=""/>
    <m/>
    <m/>
    <m/>
    <n v="2300000"/>
    <m/>
    <m/>
    <m/>
    <m/>
    <n v="0"/>
    <m/>
    <m/>
    <m/>
    <n v="0"/>
    <m/>
    <m/>
    <m/>
    <n v="0"/>
    <m/>
    <m/>
    <m/>
    <m/>
    <n v="0"/>
    <m/>
    <n v="2300000"/>
    <n v="2300000"/>
    <n v="174946084.68000001"/>
    <n v="87335512.589999989"/>
    <n v="2023"/>
    <m/>
    <m/>
    <m/>
    <m/>
    <m/>
    <m/>
    <m/>
    <m/>
    <m/>
    <m/>
    <m/>
    <m/>
    <m/>
    <m/>
    <n v="0"/>
    <m/>
    <m/>
    <m/>
    <m/>
    <n v="0.92900000000000005"/>
    <n v="2136700"/>
    <m/>
    <m/>
    <n v="0"/>
    <m/>
    <m/>
    <m/>
    <m/>
    <m/>
    <n v="0"/>
    <m/>
    <m/>
    <m/>
    <m/>
    <m/>
    <n v="0"/>
    <m/>
    <m/>
    <m/>
    <m/>
    <m/>
    <n v="0"/>
    <m/>
    <m/>
    <m/>
    <m/>
    <n v="3.5000000000000003E-2"/>
    <n v="80500.000000000015"/>
    <m/>
    <m/>
    <m/>
    <m/>
    <n v="3.5999999999999997E-2"/>
    <n v="82800"/>
    <m/>
    <m/>
    <m/>
    <m/>
    <m/>
    <n v="0"/>
    <m/>
    <m/>
    <m/>
    <m/>
    <m/>
    <n v="0"/>
    <m/>
    <m/>
    <m/>
    <m/>
    <n v="1"/>
    <n v="2300000"/>
  </r>
  <r>
    <m/>
    <s v="M"/>
    <s v="M"/>
    <s v="US"/>
    <n v="169"/>
    <s v="US 169"/>
    <s v="2776-03RW14"/>
    <x v="0"/>
    <m/>
    <s v="S"/>
    <s v="MNDOT"/>
    <n v="7"/>
    <s v="I-494, BLOOMINGTON-RW FOR RECONSTRUCTION OF INTERCHANGE"/>
    <m/>
    <m/>
    <m/>
    <m/>
    <m/>
    <m/>
    <m/>
    <m/>
    <m/>
    <m/>
    <m/>
    <m/>
    <m/>
    <m/>
    <m/>
    <n v="5060000"/>
    <m/>
    <m/>
    <m/>
    <m/>
    <m/>
    <m/>
    <m/>
    <m/>
    <m/>
    <m/>
    <m/>
    <m/>
    <m/>
    <m/>
    <m/>
    <m/>
    <m/>
    <m/>
    <m/>
    <n v="0"/>
    <m/>
    <m/>
    <m/>
    <m/>
    <m/>
    <m/>
    <m/>
    <m/>
    <m/>
    <m/>
    <m/>
    <m/>
    <m/>
    <m/>
    <m/>
    <m/>
    <m/>
    <m/>
    <n v="0"/>
    <m/>
    <m/>
    <m/>
    <m/>
    <m/>
    <n v="0"/>
    <m/>
    <m/>
    <n v="0"/>
    <m/>
    <m/>
    <m/>
    <m/>
    <m/>
    <n v="0"/>
    <m/>
    <n v="1"/>
    <m/>
    <m/>
    <m/>
    <n v="0"/>
    <m/>
    <m/>
    <m/>
    <m/>
    <m/>
    <n v="0"/>
    <m/>
    <m/>
    <m/>
    <m/>
    <m/>
    <n v="0"/>
    <m/>
    <m/>
    <m/>
    <m/>
    <m/>
    <n v="0"/>
    <m/>
    <m/>
    <m/>
    <m/>
    <m/>
    <n v="0"/>
    <m/>
    <m/>
    <m/>
    <m/>
    <n v="1"/>
    <n v="5060000"/>
    <s v="Right of way"/>
    <m/>
    <m/>
    <m/>
    <n v="1"/>
    <n v="5060000"/>
  </r>
  <r>
    <m/>
    <s v="M"/>
    <s v="M"/>
    <s v="I"/>
    <n v="94"/>
    <s v="I 94"/>
    <s v="2781-432"/>
    <x v="9"/>
    <m/>
    <s v="S"/>
    <s v="MNDOT"/>
    <n v="7"/>
    <s v="FROM NICOLLET AVE IN MPLS TO W SHINGLE CREEK BRIDGE 27909 IN BROOKLYN CENTER-MAJOR CPR AND DIAMOND GRINDING, DRAINAGE"/>
    <m/>
    <m/>
    <m/>
    <m/>
    <m/>
    <m/>
    <m/>
    <m/>
    <m/>
    <m/>
    <m/>
    <m/>
    <m/>
    <m/>
    <m/>
    <n v="23355000"/>
    <m/>
    <m/>
    <m/>
    <m/>
    <m/>
    <m/>
    <m/>
    <m/>
    <m/>
    <m/>
    <m/>
    <m/>
    <m/>
    <m/>
    <m/>
    <m/>
    <m/>
    <m/>
    <m/>
    <n v="0"/>
    <m/>
    <m/>
    <m/>
    <m/>
    <m/>
    <m/>
    <m/>
    <m/>
    <m/>
    <m/>
    <m/>
    <m/>
    <m/>
    <m/>
    <m/>
    <m/>
    <m/>
    <n v="0.92130123496310423"/>
    <n v="21516990.342563298"/>
    <m/>
    <m/>
    <m/>
    <m/>
    <m/>
    <n v="0"/>
    <m/>
    <n v="1.5729174309058225E-2"/>
    <n v="367354.86598805484"/>
    <s v="Drainage and culverts"/>
    <m/>
    <m/>
    <m/>
    <m/>
    <n v="0"/>
    <m/>
    <n v="1"/>
    <m/>
    <m/>
    <m/>
    <n v="0"/>
    <m/>
    <m/>
    <m/>
    <m/>
    <n v="6.2969590727837532E-2"/>
    <n v="1470654.7914486455"/>
    <m/>
    <m/>
    <m/>
    <m/>
    <m/>
    <n v="0"/>
    <m/>
    <m/>
    <m/>
    <m/>
    <m/>
    <n v="0"/>
    <m/>
    <m/>
    <m/>
    <m/>
    <m/>
    <n v="0"/>
    <m/>
    <m/>
    <m/>
    <m/>
    <m/>
    <n v="0"/>
    <m/>
    <m/>
    <m/>
    <m/>
    <n v="1"/>
    <n v="23354999.999999996"/>
  </r>
  <r>
    <s v="contingency"/>
    <s v="M"/>
    <s v="M"/>
    <s v="I"/>
    <n v="94"/>
    <s v="I 94"/>
    <s v="2781-438"/>
    <x v="0"/>
    <m/>
    <s v="S"/>
    <s v="MNDOT"/>
    <n v="7"/>
    <s v="FROM I94/694 SPLIT IN BROOKLYN CENTER TO NICOLLET AVE IN MPLS - SIGN REPLACEMENT"/>
    <m/>
    <m/>
    <m/>
    <m/>
    <m/>
    <m/>
    <m/>
    <m/>
    <m/>
    <m/>
    <m/>
    <m/>
    <m/>
    <m/>
    <m/>
    <n v="700000"/>
    <m/>
    <m/>
    <m/>
    <m/>
    <m/>
    <m/>
    <m/>
    <m/>
    <m/>
    <m/>
    <m/>
    <m/>
    <m/>
    <m/>
    <m/>
    <m/>
    <m/>
    <m/>
    <m/>
    <n v="0"/>
    <m/>
    <m/>
    <m/>
    <m/>
    <m/>
    <m/>
    <m/>
    <m/>
    <m/>
    <m/>
    <m/>
    <m/>
    <m/>
    <m/>
    <m/>
    <m/>
    <m/>
    <m/>
    <n v="0"/>
    <m/>
    <m/>
    <m/>
    <m/>
    <m/>
    <n v="0"/>
    <m/>
    <n v="1"/>
    <n v="700000"/>
    <s v="Signs"/>
    <m/>
    <m/>
    <m/>
    <m/>
    <n v="0"/>
    <m/>
    <n v="1"/>
    <m/>
    <m/>
    <m/>
    <n v="0"/>
    <m/>
    <m/>
    <m/>
    <m/>
    <m/>
    <n v="0"/>
    <m/>
    <m/>
    <m/>
    <m/>
    <m/>
    <n v="0"/>
    <m/>
    <m/>
    <m/>
    <m/>
    <m/>
    <n v="0"/>
    <m/>
    <m/>
    <m/>
    <m/>
    <m/>
    <n v="0"/>
    <m/>
    <m/>
    <m/>
    <m/>
    <m/>
    <n v="0"/>
    <m/>
    <m/>
    <m/>
    <m/>
    <n v="1"/>
    <n v="700000"/>
  </r>
  <r>
    <n v="176"/>
    <s v="M"/>
    <s v="M"/>
    <s v="I"/>
    <n v="94"/>
    <s v="I 94"/>
    <s v="2781-447"/>
    <x v="1"/>
    <m/>
    <s v="S"/>
    <s v="MNDOT"/>
    <n v="7"/>
    <s v="WB RAMP OVER LRT AND CITY ST LOCATED JUST E OF JCT OF MN 55 IN MPLS AND ON I494 OVER 34TH ST IN BLOOMINGTON- PAINT BRIDGES 27859, 27861, 27V28 AND 27765, AND  APPROPRIATE BEARING WORK"/>
    <m/>
    <m/>
    <m/>
    <m/>
    <m/>
    <m/>
    <m/>
    <m/>
    <m/>
    <m/>
    <m/>
    <m/>
    <m/>
    <m/>
    <m/>
    <n v="1195000"/>
    <m/>
    <m/>
    <m/>
    <m/>
    <m/>
    <m/>
    <m/>
    <m/>
    <m/>
    <m/>
    <m/>
    <m/>
    <m/>
    <m/>
    <m/>
    <m/>
    <m/>
    <m/>
    <m/>
    <n v="0"/>
    <m/>
    <m/>
    <m/>
    <m/>
    <m/>
    <m/>
    <m/>
    <m/>
    <m/>
    <m/>
    <m/>
    <m/>
    <m/>
    <m/>
    <m/>
    <m/>
    <m/>
    <m/>
    <n v="0"/>
    <m/>
    <m/>
    <m/>
    <m/>
    <n v="0.97871867375570565"/>
    <n v="1169568.8151380683"/>
    <m/>
    <n v="2.1281326244294345E-2"/>
    <n v="25431.184861931742"/>
    <s v="Guardrails and fencing"/>
    <m/>
    <m/>
    <m/>
    <m/>
    <n v="0"/>
    <m/>
    <n v="1"/>
    <m/>
    <m/>
    <m/>
    <n v="0"/>
    <m/>
    <m/>
    <m/>
    <m/>
    <m/>
    <n v="0"/>
    <m/>
    <m/>
    <m/>
    <m/>
    <m/>
    <n v="0"/>
    <m/>
    <m/>
    <m/>
    <m/>
    <m/>
    <n v="0"/>
    <m/>
    <m/>
    <m/>
    <m/>
    <m/>
    <n v="0"/>
    <m/>
    <m/>
    <m/>
    <m/>
    <m/>
    <n v="0"/>
    <m/>
    <m/>
    <m/>
    <m/>
    <n v="1"/>
    <n v="1195000"/>
  </r>
  <r>
    <m/>
    <s v="M"/>
    <s v="M"/>
    <s v="I"/>
    <n v="94"/>
    <s v="I 94"/>
    <s v="2781-448"/>
    <x v="1"/>
    <m/>
    <s v="S"/>
    <s v="MNDOT"/>
    <n v="7"/>
    <s v="NEAR JUNCTION OF I94 AND I394 IN MPLS - REMOVE AND REPLACE LOW SLUMP AND O/L AND DECK REPAIRS ON BRIDGES 27793 AND 27799L, GUARDRAIL"/>
    <m/>
    <m/>
    <m/>
    <m/>
    <m/>
    <m/>
    <m/>
    <m/>
    <m/>
    <m/>
    <m/>
    <m/>
    <m/>
    <m/>
    <m/>
    <n v="370000"/>
    <m/>
    <m/>
    <m/>
    <m/>
    <m/>
    <m/>
    <m/>
    <m/>
    <m/>
    <m/>
    <m/>
    <m/>
    <m/>
    <m/>
    <m/>
    <m/>
    <m/>
    <m/>
    <m/>
    <n v="0"/>
    <m/>
    <m/>
    <m/>
    <m/>
    <m/>
    <m/>
    <m/>
    <m/>
    <m/>
    <m/>
    <m/>
    <m/>
    <m/>
    <m/>
    <m/>
    <m/>
    <m/>
    <m/>
    <n v="0"/>
    <m/>
    <m/>
    <m/>
    <m/>
    <n v="0.98680076789607873"/>
    <n v="365116.28412154911"/>
    <m/>
    <n v="1.3199232103921212E-2"/>
    <n v="4883.7158784508483"/>
    <s v="Guardrails and fencing"/>
    <m/>
    <m/>
    <m/>
    <m/>
    <n v="0"/>
    <m/>
    <n v="1"/>
    <m/>
    <m/>
    <m/>
    <n v="0"/>
    <m/>
    <m/>
    <m/>
    <m/>
    <m/>
    <n v="0"/>
    <m/>
    <m/>
    <m/>
    <m/>
    <m/>
    <n v="0"/>
    <m/>
    <m/>
    <m/>
    <m/>
    <m/>
    <n v="0"/>
    <m/>
    <m/>
    <m/>
    <m/>
    <m/>
    <n v="0"/>
    <m/>
    <m/>
    <m/>
    <m/>
    <m/>
    <n v="0"/>
    <m/>
    <m/>
    <m/>
    <m/>
    <n v="1"/>
    <n v="369999.99999999994"/>
  </r>
  <r>
    <m/>
    <s v="M"/>
    <s v="M"/>
    <s v="I"/>
    <n v="94"/>
    <s v="I 94"/>
    <s v="2781-452"/>
    <x v="9"/>
    <m/>
    <s v="S"/>
    <s v="MNDOT"/>
    <n v="7"/>
    <s v="I94 NB ON RAMP OVER GLENWOOD AVE IN MPLS-REPAIR BRIDGE 27728"/>
    <m/>
    <m/>
    <m/>
    <m/>
    <m/>
    <m/>
    <m/>
    <m/>
    <m/>
    <m/>
    <m/>
    <m/>
    <m/>
    <m/>
    <m/>
    <n v="11385000"/>
    <m/>
    <m/>
    <m/>
    <m/>
    <m/>
    <m/>
    <m/>
    <m/>
    <m/>
    <m/>
    <m/>
    <m/>
    <m/>
    <m/>
    <m/>
    <m/>
    <m/>
    <m/>
    <m/>
    <n v="0"/>
    <m/>
    <m/>
    <m/>
    <m/>
    <m/>
    <m/>
    <m/>
    <m/>
    <m/>
    <m/>
    <m/>
    <m/>
    <m/>
    <m/>
    <m/>
    <m/>
    <m/>
    <m/>
    <n v="0"/>
    <m/>
    <m/>
    <m/>
    <m/>
    <n v="0.99975710479395308"/>
    <n v="11382234.638079155"/>
    <m/>
    <n v="2.42895206046929E-4"/>
    <n v="2765.3619208442865"/>
    <s v="Drainage and culverts"/>
    <m/>
    <m/>
    <m/>
    <m/>
    <n v="0"/>
    <m/>
    <n v="1"/>
    <m/>
    <m/>
    <m/>
    <n v="0"/>
    <m/>
    <m/>
    <m/>
    <m/>
    <m/>
    <n v="0"/>
    <m/>
    <m/>
    <m/>
    <m/>
    <m/>
    <n v="0"/>
    <m/>
    <m/>
    <m/>
    <m/>
    <m/>
    <n v="0"/>
    <m/>
    <m/>
    <m/>
    <m/>
    <m/>
    <n v="0"/>
    <m/>
    <m/>
    <m/>
    <m/>
    <m/>
    <n v="0"/>
    <m/>
    <m/>
    <m/>
    <m/>
    <n v="1"/>
    <n v="11385000"/>
  </r>
  <r>
    <m/>
    <s v="M"/>
    <s v="M"/>
    <s v="I"/>
    <n v="94"/>
    <s v="I 94"/>
    <s v="2781-453"/>
    <x v="9"/>
    <m/>
    <s v="S"/>
    <s v="MNDOT"/>
    <n v="7"/>
    <s v="AT HENNEPIN/LYNDALE TUNNEL (BRIDGE 27832) AND EB I94 UNDER I35W TUNNEL (BRIDGE 27834) IN MPLS-TILE REPAIR"/>
    <m/>
    <m/>
    <m/>
    <m/>
    <m/>
    <m/>
    <m/>
    <m/>
    <m/>
    <m/>
    <m/>
    <m/>
    <m/>
    <m/>
    <m/>
    <n v="4655000"/>
    <m/>
    <m/>
    <m/>
    <m/>
    <m/>
    <m/>
    <m/>
    <m/>
    <m/>
    <m/>
    <m/>
    <m/>
    <m/>
    <m/>
    <m/>
    <m/>
    <m/>
    <m/>
    <m/>
    <n v="0"/>
    <m/>
    <m/>
    <m/>
    <m/>
    <m/>
    <m/>
    <m/>
    <m/>
    <m/>
    <m/>
    <m/>
    <m/>
    <m/>
    <m/>
    <m/>
    <m/>
    <m/>
    <m/>
    <n v="0"/>
    <m/>
    <m/>
    <m/>
    <m/>
    <n v="0.9722492934568856"/>
    <n v="4525820.4610418025"/>
    <m/>
    <n v="5.9736912707852126E-4"/>
    <n v="2780.7532865505163"/>
    <s v="Drainage and culverts"/>
    <m/>
    <m/>
    <m/>
    <m/>
    <n v="0"/>
    <m/>
    <n v="1"/>
    <m/>
    <m/>
    <m/>
    <n v="0"/>
    <m/>
    <m/>
    <m/>
    <m/>
    <n v="2.7153337416035914E-2"/>
    <n v="126398.78567164717"/>
    <m/>
    <m/>
    <m/>
    <m/>
    <m/>
    <n v="0"/>
    <m/>
    <m/>
    <m/>
    <m/>
    <m/>
    <n v="0"/>
    <m/>
    <m/>
    <m/>
    <m/>
    <m/>
    <n v="0"/>
    <m/>
    <m/>
    <m/>
    <m/>
    <m/>
    <n v="0"/>
    <m/>
    <m/>
    <m/>
    <m/>
    <n v="1"/>
    <n v="4655000"/>
  </r>
  <r>
    <m/>
    <s v="M"/>
    <s v="M"/>
    <s v="I"/>
    <s v="94"/>
    <s v="I 94"/>
    <s v="2781-456"/>
    <x v="0"/>
    <m/>
    <s v="S"/>
    <s v="MNDOT"/>
    <n v="7"/>
    <s v="SOUTH SIDE OF I-94, FROM SE FRANKLIN AVE TO JUST E OF SE CECIL ST IN MPLS-NOISE WALL ABSORPTION PANELS"/>
    <m/>
    <m/>
    <m/>
    <m/>
    <m/>
    <m/>
    <m/>
    <m/>
    <m/>
    <m/>
    <m/>
    <m/>
    <m/>
    <m/>
    <m/>
    <n v="710000"/>
    <m/>
    <m/>
    <m/>
    <m/>
    <m/>
    <m/>
    <m/>
    <m/>
    <m/>
    <m/>
    <m/>
    <m/>
    <m/>
    <m/>
    <m/>
    <m/>
    <m/>
    <m/>
    <m/>
    <n v="0"/>
    <m/>
    <m/>
    <m/>
    <m/>
    <m/>
    <m/>
    <m/>
    <m/>
    <m/>
    <m/>
    <m/>
    <m/>
    <m/>
    <m/>
    <m/>
    <m/>
    <m/>
    <m/>
    <n v="0"/>
    <m/>
    <m/>
    <m/>
    <m/>
    <m/>
    <n v="0"/>
    <m/>
    <n v="1"/>
    <n v="710000"/>
    <s v="Other structures"/>
    <m/>
    <m/>
    <m/>
    <m/>
    <n v="0"/>
    <m/>
    <n v="1"/>
    <m/>
    <m/>
    <m/>
    <n v="0"/>
    <m/>
    <m/>
    <m/>
    <m/>
    <m/>
    <n v="0"/>
    <m/>
    <m/>
    <m/>
    <m/>
    <m/>
    <n v="0"/>
    <m/>
    <m/>
    <m/>
    <m/>
    <m/>
    <n v="0"/>
    <m/>
    <m/>
    <m/>
    <m/>
    <m/>
    <n v="0"/>
    <m/>
    <m/>
    <m/>
    <m/>
    <m/>
    <n v="0"/>
    <m/>
    <m/>
    <m/>
    <m/>
    <n v="1"/>
    <n v="710000"/>
  </r>
  <r>
    <m/>
    <s v="M"/>
    <s v="M"/>
    <s v="I"/>
    <n v="94"/>
    <s v="I 94"/>
    <s v="2781-XXX"/>
    <x v="1"/>
    <m/>
    <s v="S"/>
    <s v="MNDOT"/>
    <m/>
    <s v="**TED14** I-94 7th Street Ramp"/>
    <m/>
    <m/>
    <m/>
    <m/>
    <m/>
    <m/>
    <m/>
    <m/>
    <m/>
    <m/>
    <m/>
    <m/>
    <m/>
    <m/>
    <m/>
    <n v="9700000"/>
    <m/>
    <m/>
    <m/>
    <m/>
    <m/>
    <m/>
    <m/>
    <m/>
    <m/>
    <m/>
    <m/>
    <m/>
    <m/>
    <m/>
    <m/>
    <m/>
    <m/>
    <m/>
    <m/>
    <n v="2910000"/>
    <n v="9700000"/>
    <m/>
    <m/>
    <m/>
    <m/>
    <m/>
    <m/>
    <m/>
    <m/>
    <m/>
    <m/>
    <m/>
    <m/>
    <m/>
    <m/>
    <m/>
    <m/>
    <m/>
    <m/>
    <m/>
    <m/>
    <m/>
    <m/>
    <m/>
    <m/>
    <m/>
    <m/>
    <m/>
    <m/>
    <m/>
    <m/>
    <m/>
    <m/>
    <m/>
    <m/>
    <m/>
    <m/>
    <m/>
    <m/>
    <m/>
    <m/>
    <m/>
    <m/>
    <m/>
    <m/>
    <m/>
    <m/>
    <m/>
    <m/>
    <m/>
    <m/>
    <m/>
    <m/>
    <m/>
    <m/>
    <m/>
    <m/>
    <m/>
    <m/>
    <m/>
    <m/>
    <m/>
    <n v="1"/>
    <n v="6790000"/>
    <m/>
    <m/>
    <m/>
    <m/>
    <m/>
    <m/>
    <m/>
    <m/>
    <m/>
    <m/>
    <n v="1"/>
    <n v="6790000"/>
  </r>
  <r>
    <m/>
    <s v="M"/>
    <s v="M"/>
    <s v="I"/>
    <s v="35W"/>
    <s v="I 35W"/>
    <s v="2782-295"/>
    <x v="0"/>
    <m/>
    <s v="S"/>
    <s v="MNDOT"/>
    <n v="7"/>
    <s v="FROM 42ND ST IN MPLS TO 66TH ST IN RICHFIELD - GATEWAYS LANDSCAPING_x000a_"/>
    <m/>
    <m/>
    <m/>
    <m/>
    <m/>
    <m/>
    <m/>
    <m/>
    <m/>
    <m/>
    <m/>
    <m/>
    <m/>
    <m/>
    <m/>
    <n v="500000"/>
    <m/>
    <m/>
    <m/>
    <m/>
    <m/>
    <m/>
    <m/>
    <m/>
    <m/>
    <m/>
    <m/>
    <m/>
    <m/>
    <m/>
    <m/>
    <m/>
    <m/>
    <m/>
    <m/>
    <n v="0"/>
    <m/>
    <m/>
    <m/>
    <m/>
    <m/>
    <m/>
    <m/>
    <m/>
    <m/>
    <m/>
    <m/>
    <m/>
    <m/>
    <m/>
    <m/>
    <m/>
    <m/>
    <m/>
    <n v="0"/>
    <m/>
    <m/>
    <m/>
    <m/>
    <m/>
    <n v="0"/>
    <m/>
    <m/>
    <n v="0"/>
    <m/>
    <m/>
    <m/>
    <m/>
    <m/>
    <n v="0"/>
    <m/>
    <m/>
    <m/>
    <m/>
    <m/>
    <n v="0"/>
    <m/>
    <m/>
    <m/>
    <m/>
    <m/>
    <n v="0"/>
    <m/>
    <m/>
    <m/>
    <m/>
    <m/>
    <n v="0"/>
    <m/>
    <m/>
    <m/>
    <m/>
    <m/>
    <n v="0"/>
    <m/>
    <m/>
    <m/>
    <m/>
    <n v="1"/>
    <n v="500000"/>
    <m/>
    <m/>
    <m/>
    <m/>
    <m/>
    <n v="0"/>
    <m/>
    <m/>
    <m/>
    <m/>
    <n v="1"/>
    <n v="500000"/>
  </r>
  <r>
    <m/>
    <s v="M"/>
    <s v="M"/>
    <s v="I"/>
    <s v="35W"/>
    <s v="I 35W"/>
    <s v="2782-315"/>
    <x v="1"/>
    <m/>
    <s v="S"/>
    <s v="MNDOT"/>
    <n v="7"/>
    <s v="FROM 42ND ST IN MPLS TO 66TH ST IN RICHFIELD - CORRIDOR LANDSCAPING"/>
    <m/>
    <m/>
    <m/>
    <m/>
    <m/>
    <m/>
    <m/>
    <m/>
    <m/>
    <m/>
    <m/>
    <m/>
    <m/>
    <m/>
    <m/>
    <n v="200000"/>
    <m/>
    <m/>
    <m/>
    <m/>
    <m/>
    <m/>
    <m/>
    <m/>
    <m/>
    <m/>
    <m/>
    <m/>
    <m/>
    <m/>
    <m/>
    <m/>
    <m/>
    <m/>
    <m/>
    <n v="0"/>
    <m/>
    <m/>
    <m/>
    <m/>
    <m/>
    <m/>
    <m/>
    <m/>
    <m/>
    <m/>
    <m/>
    <m/>
    <m/>
    <m/>
    <m/>
    <m/>
    <m/>
    <m/>
    <n v="0"/>
    <m/>
    <m/>
    <m/>
    <m/>
    <m/>
    <n v="0"/>
    <m/>
    <n v="0.5"/>
    <n v="100000"/>
    <s v="Other structures"/>
    <m/>
    <m/>
    <m/>
    <m/>
    <n v="0"/>
    <m/>
    <n v="1"/>
    <m/>
    <m/>
    <m/>
    <n v="0"/>
    <m/>
    <m/>
    <m/>
    <m/>
    <m/>
    <n v="0"/>
    <m/>
    <m/>
    <m/>
    <m/>
    <m/>
    <n v="0"/>
    <m/>
    <m/>
    <m/>
    <m/>
    <m/>
    <n v="0"/>
    <m/>
    <m/>
    <m/>
    <m/>
    <n v="0.5"/>
    <n v="100000"/>
    <m/>
    <m/>
    <m/>
    <m/>
    <m/>
    <n v="0"/>
    <m/>
    <m/>
    <m/>
    <m/>
    <n v="1"/>
    <n v="200000"/>
  </r>
  <r>
    <m/>
    <s v="M"/>
    <s v="M"/>
    <s v="I"/>
    <s v="35W"/>
    <s v="I 35W"/>
    <s v="2782-316"/>
    <x v="2"/>
    <m/>
    <s v="S"/>
    <s v="MNDOT"/>
    <n v="7"/>
    <s v="FROM 42ND ST IN MINNEAPOLIS TO 66TH ST IN RICHFIELD  - CORRIDOR LANDSCAPING "/>
    <m/>
    <m/>
    <m/>
    <m/>
    <m/>
    <m/>
    <m/>
    <m/>
    <m/>
    <m/>
    <m/>
    <m/>
    <m/>
    <m/>
    <m/>
    <n v="500000"/>
    <m/>
    <m/>
    <m/>
    <m/>
    <m/>
    <m/>
    <m/>
    <m/>
    <m/>
    <m/>
    <m/>
    <m/>
    <m/>
    <m/>
    <m/>
    <m/>
    <m/>
    <m/>
    <m/>
    <n v="0"/>
    <m/>
    <m/>
    <m/>
    <m/>
    <m/>
    <m/>
    <m/>
    <m/>
    <m/>
    <m/>
    <m/>
    <m/>
    <m/>
    <m/>
    <m/>
    <m/>
    <m/>
    <m/>
    <n v="0"/>
    <m/>
    <m/>
    <m/>
    <m/>
    <m/>
    <n v="0"/>
    <m/>
    <m/>
    <n v="0"/>
    <m/>
    <m/>
    <m/>
    <m/>
    <m/>
    <n v="0"/>
    <m/>
    <n v="1"/>
    <m/>
    <m/>
    <m/>
    <n v="0"/>
    <m/>
    <m/>
    <m/>
    <m/>
    <m/>
    <n v="0"/>
    <m/>
    <m/>
    <m/>
    <m/>
    <m/>
    <n v="0"/>
    <m/>
    <m/>
    <m/>
    <m/>
    <m/>
    <n v="0"/>
    <m/>
    <m/>
    <m/>
    <m/>
    <n v="1"/>
    <n v="500000"/>
    <m/>
    <m/>
    <m/>
    <m/>
    <m/>
    <n v="0"/>
    <m/>
    <m/>
    <m/>
    <m/>
    <n v="1"/>
    <n v="500000"/>
  </r>
  <r>
    <n v="130"/>
    <n v="2"/>
    <n v="2"/>
    <s v="US"/>
    <n v="999"/>
    <s v="US999"/>
    <m/>
    <x v="7"/>
    <m/>
    <m/>
    <m/>
    <m/>
    <s v="NHS PAVEMENT"/>
    <m/>
    <m/>
    <m/>
    <m/>
    <m/>
    <m/>
    <s v=""/>
    <m/>
    <m/>
    <m/>
    <m/>
    <s v=""/>
    <m/>
    <m/>
    <m/>
    <n v="3200000"/>
    <m/>
    <m/>
    <m/>
    <m/>
    <n v="0"/>
    <m/>
    <m/>
    <m/>
    <n v="0"/>
    <m/>
    <m/>
    <m/>
    <n v="0"/>
    <m/>
    <m/>
    <m/>
    <m/>
    <n v="0"/>
    <m/>
    <n v="3200000"/>
    <n v="3200000"/>
    <n v="0"/>
    <n v="0"/>
    <n v="2022"/>
    <m/>
    <m/>
    <m/>
    <m/>
    <m/>
    <m/>
    <m/>
    <m/>
    <m/>
    <m/>
    <m/>
    <m/>
    <m/>
    <n v="0.82099999999999995"/>
    <n v="2627200"/>
    <m/>
    <m/>
    <m/>
    <m/>
    <m/>
    <n v="0"/>
    <m/>
    <n v="0.115"/>
    <n v="368000"/>
    <m/>
    <m/>
    <m/>
    <m/>
    <n v="3.2000000000000001E-2"/>
    <n v="102400"/>
    <m/>
    <m/>
    <m/>
    <m/>
    <m/>
    <n v="0"/>
    <m/>
    <m/>
    <m/>
    <m/>
    <m/>
    <n v="0"/>
    <m/>
    <m/>
    <m/>
    <m/>
    <n v="2.3E-2"/>
    <n v="73600"/>
    <m/>
    <m/>
    <m/>
    <m/>
    <n v="8.9999999999999993E-3"/>
    <n v="28799.999999999996"/>
    <m/>
    <m/>
    <m/>
    <m/>
    <m/>
    <n v="0"/>
    <m/>
    <m/>
    <m/>
    <m/>
    <m/>
    <n v="0"/>
    <m/>
    <m/>
    <m/>
    <m/>
    <n v="1"/>
    <n v="3200000"/>
  </r>
  <r>
    <m/>
    <s v="M"/>
    <s v="M"/>
    <s v="I"/>
    <s v="35W"/>
    <s v="I 35W"/>
    <s v="2782-320"/>
    <x v="0"/>
    <m/>
    <s v="S"/>
    <s v="MNDOT"/>
    <n v="7"/>
    <s v="AT W 94TH ST OVER I35W IN BLOOMINGTON-REPLACE BRIDGE 9053 AND APPROACH WORK"/>
    <m/>
    <m/>
    <m/>
    <m/>
    <m/>
    <m/>
    <m/>
    <m/>
    <m/>
    <m/>
    <m/>
    <m/>
    <m/>
    <m/>
    <m/>
    <n v="8440000"/>
    <m/>
    <m/>
    <m/>
    <m/>
    <m/>
    <m/>
    <m/>
    <m/>
    <m/>
    <m/>
    <m/>
    <m/>
    <m/>
    <m/>
    <m/>
    <m/>
    <m/>
    <m/>
    <m/>
    <n v="245000"/>
    <m/>
    <m/>
    <m/>
    <m/>
    <m/>
    <m/>
    <m/>
    <m/>
    <m/>
    <m/>
    <m/>
    <m/>
    <m/>
    <m/>
    <m/>
    <m/>
    <m/>
    <n v="0.23681930080785399"/>
    <n v="1940734.1701203634"/>
    <m/>
    <m/>
    <m/>
    <m/>
    <n v="0.50370735955871682"/>
    <n v="4127881.8115836843"/>
    <m/>
    <n v="0.24850264100414443"/>
    <n v="2036479.1430289636"/>
    <s v="Drainage and culverts"/>
    <m/>
    <m/>
    <m/>
    <m/>
    <n v="0"/>
    <m/>
    <m/>
    <m/>
    <m/>
    <m/>
    <n v="0"/>
    <m/>
    <m/>
    <m/>
    <m/>
    <n v="6.4668608044175721E-3"/>
    <n v="52995.924292202006"/>
    <m/>
    <m/>
    <m/>
    <m/>
    <m/>
    <n v="0"/>
    <m/>
    <m/>
    <m/>
    <m/>
    <n v="4.5038378248672094E-3"/>
    <n v="36908.950974786778"/>
    <m/>
    <m/>
    <m/>
    <m/>
    <m/>
    <n v="0"/>
    <m/>
    <m/>
    <m/>
    <m/>
    <m/>
    <n v="0"/>
    <m/>
    <m/>
    <m/>
    <m/>
    <n v="1"/>
    <n v="8195000"/>
  </r>
  <r>
    <m/>
    <s v="M"/>
    <s v="M"/>
    <s v="I"/>
    <s v="35W"/>
    <s v="I 35W"/>
    <s v="2782-327"/>
    <x v="9"/>
    <m/>
    <s v="S"/>
    <s v="MNDOT"/>
    <n v="7"/>
    <s v="FROM 46TH ST TO I94 IN MPLS - MANAGED LANE COMPLETION, PAVEMENT RECONSTRUCTION AND REPAIR, NOISEWALLS, TMS, DRAINAGE, LIGHTING, REPLACE BRIDGES  9731, 9733, 27842, 27843, 27867, 27868, 27869, 27870, 27871, 27872"/>
    <m/>
    <m/>
    <m/>
    <m/>
    <m/>
    <m/>
    <m/>
    <m/>
    <m/>
    <m/>
    <m/>
    <m/>
    <m/>
    <m/>
    <m/>
    <n v="121000000"/>
    <m/>
    <m/>
    <m/>
    <m/>
    <m/>
    <m/>
    <m/>
    <m/>
    <m/>
    <m/>
    <m/>
    <m/>
    <m/>
    <m/>
    <m/>
    <m/>
    <m/>
    <m/>
    <m/>
    <n v="0"/>
    <m/>
    <m/>
    <m/>
    <m/>
    <m/>
    <m/>
    <m/>
    <m/>
    <m/>
    <m/>
    <m/>
    <m/>
    <m/>
    <m/>
    <m/>
    <m/>
    <m/>
    <n v="8.2644628099173556E-2"/>
    <n v="10000000"/>
    <m/>
    <m/>
    <m/>
    <m/>
    <n v="0.64462809917355368"/>
    <n v="78000000"/>
    <m/>
    <m/>
    <n v="0"/>
    <m/>
    <m/>
    <m/>
    <m/>
    <m/>
    <n v="0"/>
    <m/>
    <n v="1"/>
    <m/>
    <m/>
    <m/>
    <n v="0"/>
    <m/>
    <m/>
    <m/>
    <m/>
    <n v="0.27272727272727271"/>
    <n v="32999999.999999996"/>
    <m/>
    <m/>
    <m/>
    <m/>
    <m/>
    <n v="0"/>
    <m/>
    <m/>
    <m/>
    <m/>
    <m/>
    <n v="0"/>
    <m/>
    <m/>
    <m/>
    <m/>
    <m/>
    <n v="0"/>
    <m/>
    <m/>
    <m/>
    <m/>
    <m/>
    <n v="0"/>
    <m/>
    <m/>
    <m/>
    <m/>
    <n v="1"/>
    <n v="121000000"/>
  </r>
  <r>
    <m/>
    <s v="M"/>
    <s v="M"/>
    <s v="I"/>
    <s v="35W"/>
    <s v="I 35W"/>
    <s v="2783-136"/>
    <x v="0"/>
    <m/>
    <s v="S"/>
    <s v="MNDOT"/>
    <n v="7"/>
    <s v="**TED** FROM 3RD &amp; 4TH ST RAMP TO JOHNSON ST IN MINNEAPOLIS- CONSTRUCT ENTRANCE RAMP AND ADD AUXILIARY LANE (TED INTERCHANGE BONDS)"/>
    <m/>
    <m/>
    <m/>
    <m/>
    <m/>
    <m/>
    <m/>
    <m/>
    <m/>
    <m/>
    <m/>
    <m/>
    <m/>
    <m/>
    <m/>
    <n v="13475510"/>
    <m/>
    <m/>
    <m/>
    <m/>
    <m/>
    <m/>
    <m/>
    <m/>
    <m/>
    <m/>
    <m/>
    <m/>
    <m/>
    <m/>
    <m/>
    <m/>
    <m/>
    <m/>
    <m/>
    <n v="4100000"/>
    <m/>
    <m/>
    <m/>
    <m/>
    <m/>
    <m/>
    <m/>
    <m/>
    <m/>
    <m/>
    <m/>
    <m/>
    <m/>
    <m/>
    <m/>
    <m/>
    <m/>
    <n v="0.12"/>
    <n v="1125061.2"/>
    <m/>
    <m/>
    <m/>
    <m/>
    <n v="0.35"/>
    <n v="3281428.5"/>
    <m/>
    <n v="0.115"/>
    <n v="1078183.6500000001"/>
    <s v="Other structures"/>
    <m/>
    <m/>
    <m/>
    <n v="0.09"/>
    <n v="843795.9"/>
    <s v="Low cost high benefit"/>
    <m/>
    <m/>
    <m/>
    <m/>
    <n v="0"/>
    <m/>
    <m/>
    <m/>
    <m/>
    <n v="0.22"/>
    <n v="2062612.2"/>
    <m/>
    <m/>
    <m/>
    <m/>
    <m/>
    <n v="0"/>
    <m/>
    <m/>
    <m/>
    <m/>
    <m/>
    <n v="0"/>
    <m/>
    <m/>
    <m/>
    <m/>
    <n v="0.105"/>
    <n v="984428.54999999993"/>
    <m/>
    <m/>
    <m/>
    <m/>
    <m/>
    <n v="0"/>
    <m/>
    <m/>
    <m/>
    <m/>
    <n v="0.99999999999999989"/>
    <n v="9375510.0000000019"/>
  </r>
  <r>
    <m/>
    <s v="M"/>
    <s v="M"/>
    <s v="I"/>
    <s v="35W"/>
    <s v="I 35W"/>
    <s v="2783-137"/>
    <x v="2"/>
    <m/>
    <s v="S"/>
    <s v="MNDOT"/>
    <n v="7"/>
    <s v="FROM HENNEPIN AVE TO JOHNSON ST IN MINNEAPOLIS - REDECK BRIDGES 27885, 27886, 27985, 27989, 27994, GUARDRAIL"/>
    <m/>
    <m/>
    <m/>
    <m/>
    <m/>
    <m/>
    <m/>
    <m/>
    <m/>
    <m/>
    <m/>
    <m/>
    <m/>
    <m/>
    <m/>
    <n v="2045000"/>
    <m/>
    <m/>
    <m/>
    <m/>
    <m/>
    <m/>
    <m/>
    <m/>
    <m/>
    <m/>
    <m/>
    <m/>
    <m/>
    <m/>
    <m/>
    <m/>
    <m/>
    <m/>
    <m/>
    <n v="0"/>
    <m/>
    <m/>
    <m/>
    <m/>
    <m/>
    <m/>
    <m/>
    <m/>
    <m/>
    <m/>
    <m/>
    <m/>
    <m/>
    <m/>
    <m/>
    <m/>
    <m/>
    <m/>
    <n v="0"/>
    <m/>
    <m/>
    <m/>
    <m/>
    <n v="0.95412855265657348"/>
    <n v="1951192.8901826928"/>
    <m/>
    <m/>
    <n v="0"/>
    <m/>
    <m/>
    <m/>
    <m/>
    <m/>
    <n v="0"/>
    <m/>
    <n v="1"/>
    <m/>
    <m/>
    <m/>
    <n v="0"/>
    <m/>
    <m/>
    <m/>
    <m/>
    <n v="4.5871447343426568E-2"/>
    <n v="93807.109817307326"/>
    <m/>
    <m/>
    <m/>
    <m/>
    <m/>
    <n v="0"/>
    <m/>
    <m/>
    <m/>
    <m/>
    <m/>
    <n v="0"/>
    <m/>
    <m/>
    <m/>
    <m/>
    <m/>
    <n v="0"/>
    <m/>
    <m/>
    <m/>
    <m/>
    <m/>
    <n v="0"/>
    <m/>
    <m/>
    <m/>
    <m/>
    <n v="1"/>
    <n v="2045000"/>
  </r>
  <r>
    <m/>
    <s v="M"/>
    <s v="M"/>
    <s v="I"/>
    <n v="494"/>
    <s v="I 494"/>
    <s v="2785-330"/>
    <x v="0"/>
    <m/>
    <s v="S"/>
    <s v="MNDOT"/>
    <n v="7"/>
    <s v="**AC**FROM N OF I394 IN MINNETONKA TO I94/I494/I694 INTERCHANGE IN MAPLE GROVE - UNBONDED CONCRETE OVERLAY, CPR, RIGHT SIDE DYNAMIC SHOULDER, SIGNING, STRIPING, DRAINAGE, TMS, NOISE WALLS, REDECK AND WIDEN BRIDGES 27973, 27974, 27975, 27976, 27977, 27978, AND REDECK BRIDGE 27905(AC PROJECT, PAYBACK IN 2015)"/>
    <m/>
    <m/>
    <m/>
    <m/>
    <m/>
    <m/>
    <m/>
    <m/>
    <m/>
    <m/>
    <m/>
    <m/>
    <m/>
    <m/>
    <m/>
    <n v="42000000"/>
    <m/>
    <m/>
    <m/>
    <m/>
    <m/>
    <m/>
    <m/>
    <m/>
    <m/>
    <m/>
    <m/>
    <m/>
    <m/>
    <m/>
    <m/>
    <m/>
    <m/>
    <m/>
    <m/>
    <n v="0"/>
    <m/>
    <m/>
    <m/>
    <m/>
    <m/>
    <m/>
    <m/>
    <m/>
    <m/>
    <m/>
    <m/>
    <m/>
    <m/>
    <m/>
    <m/>
    <m/>
    <m/>
    <n v="0.82209769202732419"/>
    <n v="34528103.065147616"/>
    <m/>
    <m/>
    <m/>
    <m/>
    <n v="0.177127813870469"/>
    <n v="7439368.1825596979"/>
    <m/>
    <n v="6.5508326425875625E-4"/>
    <n v="27513.497098867763"/>
    <s v="Drainage and culverts"/>
    <m/>
    <m/>
    <m/>
    <m/>
    <n v="0"/>
    <m/>
    <n v="1.0000000000000002"/>
    <m/>
    <m/>
    <m/>
    <n v="0"/>
    <m/>
    <m/>
    <m/>
    <m/>
    <n v="1.1941083794810295E-4"/>
    <n v="5015.2551938203242"/>
    <m/>
    <m/>
    <m/>
    <m/>
    <m/>
    <n v="0"/>
    <m/>
    <m/>
    <m/>
    <m/>
    <m/>
    <n v="0"/>
    <m/>
    <m/>
    <m/>
    <m/>
    <m/>
    <n v="0"/>
    <m/>
    <m/>
    <m/>
    <m/>
    <m/>
    <n v="0"/>
    <m/>
    <m/>
    <m/>
    <m/>
    <n v="1.0000000000000002"/>
    <n v="42000000.000000007"/>
  </r>
  <r>
    <m/>
    <s v="M"/>
    <s v="M"/>
    <s v="I"/>
    <n v="494"/>
    <s v="I 494"/>
    <s v="2785-330AC"/>
    <x v="1"/>
    <m/>
    <s v="S"/>
    <s v="MNDOT"/>
    <n v="7"/>
    <s v="FROM N OF I394 IN MINNETONKA TO I94/I494/I694 INTERCHANGE IN MAPLE GROVE - UNBONDED CONCRETE OVERLAY, CPR, RIGHT SIDE DYNAMIC SHOULDER, SIGNING, STRIPING, DRAINAGE, TMS, NOISE WALLS, REDECK AND WIDEN BRIDGES 27973, 27974, 27975, 27976, 27977, 27978, AND REDECK BRIDGE 27905(AC PAYBACK 1 OF 1)"/>
    <m/>
    <m/>
    <m/>
    <m/>
    <m/>
    <m/>
    <m/>
    <m/>
    <m/>
    <m/>
    <m/>
    <m/>
    <m/>
    <m/>
    <m/>
    <n v="6000000"/>
    <m/>
    <m/>
    <m/>
    <m/>
    <m/>
    <m/>
    <m/>
    <m/>
    <m/>
    <m/>
    <m/>
    <m/>
    <m/>
    <m/>
    <m/>
    <m/>
    <m/>
    <m/>
    <m/>
    <n v="0"/>
    <m/>
    <m/>
    <m/>
    <m/>
    <m/>
    <m/>
    <m/>
    <m/>
    <m/>
    <m/>
    <m/>
    <m/>
    <m/>
    <m/>
    <m/>
    <m/>
    <m/>
    <n v="0.82099999999999995"/>
    <n v="4926000"/>
    <m/>
    <m/>
    <m/>
    <m/>
    <m/>
    <n v="0"/>
    <m/>
    <n v="0.115"/>
    <n v="690000"/>
    <s v="Other traffic devices"/>
    <m/>
    <m/>
    <m/>
    <n v="3.2000000000000001E-2"/>
    <n v="192000"/>
    <s v="Sustained crash locations"/>
    <n v="1"/>
    <m/>
    <m/>
    <m/>
    <n v="0"/>
    <m/>
    <m/>
    <m/>
    <m/>
    <m/>
    <n v="0"/>
    <m/>
    <m/>
    <m/>
    <m/>
    <n v="2.3E-2"/>
    <n v="138000"/>
    <m/>
    <m/>
    <m/>
    <m/>
    <n v="8.9999999999999993E-3"/>
    <n v="53999.999999999993"/>
    <m/>
    <m/>
    <m/>
    <m/>
    <m/>
    <n v="0"/>
    <m/>
    <m/>
    <m/>
    <m/>
    <m/>
    <n v="0"/>
    <m/>
    <m/>
    <m/>
    <m/>
    <n v="1"/>
    <n v="6000000"/>
  </r>
  <r>
    <m/>
    <n v="4"/>
    <n v="4"/>
    <s v="MN"/>
    <n v="999"/>
    <s v="MN999"/>
    <m/>
    <x v="3"/>
    <m/>
    <m/>
    <m/>
    <m/>
    <s v="DISTRICTWIDE SETASIDES -PAVEMENT PROJECT"/>
    <m/>
    <m/>
    <m/>
    <m/>
    <m/>
    <m/>
    <s v=""/>
    <m/>
    <m/>
    <s v="SETA - SETASIDE"/>
    <m/>
    <s v="STP5K"/>
    <s v="STP5K"/>
    <m/>
    <m/>
    <n v="7100000"/>
    <m/>
    <m/>
    <n v="5840000"/>
    <m/>
    <n v="5840000"/>
    <m/>
    <m/>
    <m/>
    <n v="0"/>
    <m/>
    <m/>
    <m/>
    <n v="0"/>
    <m/>
    <m/>
    <n v="1260000"/>
    <m/>
    <n v="1260000"/>
    <m/>
    <m/>
    <n v="7100000"/>
    <n v="180786084.68000001"/>
    <n v="90945782.589999989"/>
    <n v="2018"/>
    <m/>
    <m/>
    <m/>
    <m/>
    <m/>
    <m/>
    <m/>
    <m/>
    <m/>
    <m/>
    <m/>
    <m/>
    <m/>
    <n v="0.52"/>
    <n v="3692000"/>
    <s v="Reconstruction"/>
    <m/>
    <m/>
    <m/>
    <m/>
    <n v="0"/>
    <m/>
    <n v="0.15"/>
    <n v="1065000"/>
    <m/>
    <m/>
    <m/>
    <m/>
    <n v="0.03"/>
    <n v="213000"/>
    <s v="Lower cost high benefit"/>
    <m/>
    <m/>
    <m/>
    <m/>
    <n v="0"/>
    <m/>
    <m/>
    <m/>
    <m/>
    <m/>
    <n v="0"/>
    <m/>
    <m/>
    <m/>
    <m/>
    <n v="0.01"/>
    <n v="71000"/>
    <m/>
    <m/>
    <m/>
    <m/>
    <n v="0.01"/>
    <n v="71000"/>
    <m/>
    <m/>
    <m/>
    <m/>
    <n v="0.28000000000000003"/>
    <n v="1988000.0000000002"/>
    <s v="District program"/>
    <m/>
    <m/>
    <m/>
    <m/>
    <n v="0"/>
    <m/>
    <m/>
    <m/>
    <m/>
    <n v="1"/>
    <n v="7100000"/>
  </r>
  <r>
    <m/>
    <n v="1"/>
    <n v="1"/>
    <s v="MN"/>
    <n v="999"/>
    <s v="MN 999"/>
    <m/>
    <x v="5"/>
    <m/>
    <m/>
    <m/>
    <m/>
    <s v="NON-NHS BRIDGE  -  2020"/>
    <m/>
    <m/>
    <m/>
    <m/>
    <m/>
    <m/>
    <m/>
    <m/>
    <m/>
    <m/>
    <m/>
    <m/>
    <m/>
    <m/>
    <m/>
    <n v="2010764.2626480085"/>
    <m/>
    <m/>
    <m/>
    <m/>
    <m/>
    <m/>
    <m/>
    <m/>
    <m/>
    <m/>
    <m/>
    <m/>
    <m/>
    <m/>
    <m/>
    <m/>
    <m/>
    <m/>
    <m/>
    <n v="2010764.2626480085"/>
    <m/>
    <m/>
    <m/>
    <m/>
    <m/>
    <m/>
    <m/>
    <m/>
    <m/>
    <m/>
    <m/>
    <m/>
    <m/>
    <m/>
    <m/>
    <m/>
    <m/>
    <m/>
    <n v="0"/>
    <m/>
    <m/>
    <m/>
    <m/>
    <n v="0.92900000000000005"/>
    <n v="1868000"/>
    <m/>
    <m/>
    <n v="0"/>
    <m/>
    <m/>
    <m/>
    <m/>
    <m/>
    <n v="0"/>
    <m/>
    <m/>
    <m/>
    <m/>
    <m/>
    <n v="0"/>
    <m/>
    <m/>
    <m/>
    <m/>
    <m/>
    <n v="0"/>
    <m/>
    <m/>
    <m/>
    <m/>
    <n v="3.5000000000000003E-2"/>
    <n v="70376.749192680305"/>
    <m/>
    <m/>
    <m/>
    <m/>
    <n v="3.5999999999999997E-2"/>
    <n v="72387.513455328299"/>
    <m/>
    <m/>
    <m/>
    <m/>
    <m/>
    <n v="0"/>
    <m/>
    <m/>
    <m/>
    <m/>
    <m/>
    <n v="0"/>
    <m/>
    <m/>
    <m/>
    <m/>
    <n v="1"/>
    <n v="2010764.2626480085"/>
  </r>
  <r>
    <m/>
    <s v="M"/>
    <s v="M"/>
    <s v="I"/>
    <s v="494"/>
    <s v="I 494"/>
    <s v="2785-338"/>
    <x v="1"/>
    <m/>
    <s v="S"/>
    <s v="MNDOT"/>
    <n v="7"/>
    <s v="JUST W OF BUSH LAKE RD IN BLOOMINGTON TO MN 5 IN EDEN PRAIRIE - LANDSCAPING"/>
    <m/>
    <m/>
    <m/>
    <m/>
    <m/>
    <m/>
    <m/>
    <m/>
    <m/>
    <m/>
    <m/>
    <m/>
    <m/>
    <m/>
    <m/>
    <n v="470000"/>
    <m/>
    <m/>
    <m/>
    <m/>
    <m/>
    <m/>
    <m/>
    <m/>
    <m/>
    <m/>
    <m/>
    <m/>
    <m/>
    <m/>
    <m/>
    <m/>
    <m/>
    <m/>
    <m/>
    <n v="0"/>
    <m/>
    <m/>
    <m/>
    <m/>
    <m/>
    <m/>
    <m/>
    <m/>
    <m/>
    <m/>
    <m/>
    <m/>
    <m/>
    <m/>
    <m/>
    <m/>
    <m/>
    <m/>
    <n v="0"/>
    <m/>
    <m/>
    <m/>
    <m/>
    <m/>
    <n v="0"/>
    <m/>
    <n v="0.5"/>
    <n v="235000"/>
    <s v="Other structures"/>
    <m/>
    <m/>
    <m/>
    <m/>
    <n v="0"/>
    <m/>
    <n v="1"/>
    <m/>
    <m/>
    <m/>
    <n v="0"/>
    <m/>
    <m/>
    <m/>
    <m/>
    <m/>
    <n v="0"/>
    <m/>
    <m/>
    <m/>
    <m/>
    <m/>
    <n v="0"/>
    <m/>
    <m/>
    <m/>
    <m/>
    <m/>
    <n v="0"/>
    <m/>
    <m/>
    <m/>
    <m/>
    <n v="0.5"/>
    <n v="235000"/>
    <m/>
    <m/>
    <m/>
    <m/>
    <m/>
    <n v="0"/>
    <m/>
    <m/>
    <m/>
    <m/>
    <n v="1"/>
    <n v="470000"/>
  </r>
  <r>
    <m/>
    <s v="M"/>
    <s v="M"/>
    <s v="I"/>
    <n v="494"/>
    <s v="I 494"/>
    <s v="2785-372"/>
    <x v="0"/>
    <m/>
    <s v="S"/>
    <s v="MNDOT"/>
    <n v="7"/>
    <s v="AT NB MN77 AND AT 12TH AVE OVER I494 IN BLOOMINGTON-REDECK BRIDGES 9082 &amp; 9080 &amp; REPLACE APPROACH PANELS"/>
    <m/>
    <m/>
    <m/>
    <m/>
    <m/>
    <m/>
    <m/>
    <m/>
    <m/>
    <m/>
    <m/>
    <m/>
    <m/>
    <m/>
    <m/>
    <n v="925000"/>
    <m/>
    <m/>
    <m/>
    <m/>
    <m/>
    <m/>
    <m/>
    <m/>
    <m/>
    <m/>
    <m/>
    <m/>
    <m/>
    <m/>
    <m/>
    <m/>
    <m/>
    <m/>
    <m/>
    <n v="0"/>
    <m/>
    <m/>
    <m/>
    <m/>
    <m/>
    <m/>
    <m/>
    <m/>
    <m/>
    <m/>
    <m/>
    <m/>
    <m/>
    <m/>
    <m/>
    <m/>
    <m/>
    <m/>
    <n v="0"/>
    <m/>
    <m/>
    <m/>
    <m/>
    <n v="1"/>
    <n v="925000"/>
    <m/>
    <m/>
    <n v="0"/>
    <m/>
    <m/>
    <m/>
    <m/>
    <m/>
    <n v="0"/>
    <m/>
    <n v="1"/>
    <m/>
    <m/>
    <m/>
    <n v="0"/>
    <m/>
    <m/>
    <m/>
    <m/>
    <m/>
    <n v="0"/>
    <m/>
    <m/>
    <m/>
    <m/>
    <m/>
    <n v="0"/>
    <m/>
    <m/>
    <m/>
    <m/>
    <m/>
    <n v="0"/>
    <m/>
    <m/>
    <m/>
    <m/>
    <m/>
    <n v="0"/>
    <m/>
    <m/>
    <m/>
    <m/>
    <m/>
    <n v="0"/>
    <m/>
    <m/>
    <m/>
    <m/>
    <n v="1"/>
    <n v="925000"/>
  </r>
  <r>
    <m/>
    <s v="M"/>
    <s v="M"/>
    <s v="I"/>
    <n v="394"/>
    <s v="I 394"/>
    <s v="2789-136"/>
    <x v="1"/>
    <m/>
    <s v="S"/>
    <s v="MNDOT"/>
    <n v="7"/>
    <s v="JUST E OF MN100 IN GOLDEN VALLEY TO WEST END OF BRIDGE #27770D IN MPLS- MILL AND OVERLAY, MINOR CPR, DIAMOND GRINDING, SHOULDERS, DRAINAGE, ADA RAMPS, GUARDRAIL AND SIGNAL LOOPS"/>
    <m/>
    <m/>
    <m/>
    <m/>
    <m/>
    <m/>
    <m/>
    <m/>
    <m/>
    <m/>
    <m/>
    <m/>
    <m/>
    <m/>
    <m/>
    <n v="4500000"/>
    <m/>
    <m/>
    <m/>
    <m/>
    <m/>
    <m/>
    <m/>
    <m/>
    <m/>
    <m/>
    <m/>
    <m/>
    <m/>
    <m/>
    <m/>
    <m/>
    <m/>
    <m/>
    <m/>
    <n v="0"/>
    <m/>
    <m/>
    <m/>
    <m/>
    <m/>
    <m/>
    <m/>
    <m/>
    <m/>
    <m/>
    <m/>
    <m/>
    <m/>
    <m/>
    <m/>
    <m/>
    <m/>
    <n v="0.95451830497711099"/>
    <n v="4295332.372396999"/>
    <m/>
    <m/>
    <m/>
    <m/>
    <m/>
    <n v="0"/>
    <m/>
    <n v="1.0148293156706189E-2"/>
    <n v="45667.319205177853"/>
    <s v="Drainage and culverts"/>
    <m/>
    <m/>
    <m/>
    <n v="2.036E-2"/>
    <n v="91620"/>
    <s v="Low cost high benefit"/>
    <n v="1.0000000000000002"/>
    <m/>
    <m/>
    <m/>
    <n v="0"/>
    <m/>
    <m/>
    <m/>
    <m/>
    <n v="8.7781401674068126E-3"/>
    <n v="39501.630753330654"/>
    <m/>
    <m/>
    <m/>
    <m/>
    <m/>
    <n v="0"/>
    <m/>
    <m/>
    <m/>
    <m/>
    <n v="6.1952616987762457E-3"/>
    <n v="27878.677644493106"/>
    <m/>
    <m/>
    <m/>
    <m/>
    <m/>
    <n v="0"/>
    <m/>
    <m/>
    <m/>
    <m/>
    <m/>
    <n v="0"/>
    <m/>
    <m/>
    <m/>
    <m/>
    <n v="1.0000000000000002"/>
    <n v="4500000.0000000009"/>
  </r>
  <r>
    <m/>
    <s v="M"/>
    <s v="M"/>
    <s v="I"/>
    <s v="394"/>
    <s v="I 394"/>
    <s v="2789-141"/>
    <x v="0"/>
    <m/>
    <s v="S"/>
    <s v="MNDOT"/>
    <n v="7"/>
    <s v="**TED12** FROM RIDGEDALE DRIVE TO WESTBOUND I394 IN MINNETONKA - NEW ENTRANCE RAMP/BRIDGE 27W09"/>
    <m/>
    <m/>
    <m/>
    <m/>
    <m/>
    <m/>
    <m/>
    <m/>
    <m/>
    <m/>
    <m/>
    <m/>
    <m/>
    <m/>
    <m/>
    <n v="1603965"/>
    <m/>
    <m/>
    <m/>
    <m/>
    <m/>
    <m/>
    <m/>
    <m/>
    <m/>
    <m/>
    <m/>
    <m/>
    <m/>
    <m/>
    <m/>
    <m/>
    <m/>
    <m/>
    <m/>
    <n v="6396035"/>
    <m/>
    <m/>
    <m/>
    <m/>
    <m/>
    <m/>
    <m/>
    <m/>
    <m/>
    <m/>
    <m/>
    <m/>
    <m/>
    <m/>
    <m/>
    <m/>
    <m/>
    <m/>
    <n v="0"/>
    <m/>
    <m/>
    <m/>
    <m/>
    <m/>
    <n v="0"/>
    <m/>
    <m/>
    <n v="0"/>
    <m/>
    <m/>
    <m/>
    <m/>
    <m/>
    <n v="0"/>
    <m/>
    <n v="1"/>
    <m/>
    <m/>
    <m/>
    <n v="0"/>
    <m/>
    <m/>
    <m/>
    <m/>
    <n v="1"/>
    <n v="0"/>
    <m/>
    <m/>
    <m/>
    <m/>
    <m/>
    <n v="0"/>
    <m/>
    <m/>
    <m/>
    <m/>
    <m/>
    <n v="0"/>
    <m/>
    <m/>
    <m/>
    <m/>
    <m/>
    <n v="0"/>
    <m/>
    <m/>
    <m/>
    <m/>
    <m/>
    <n v="0"/>
    <m/>
    <m/>
    <m/>
    <m/>
    <n v="1"/>
    <n v="0"/>
  </r>
  <r>
    <m/>
    <n v="6"/>
    <n v="6"/>
    <s v="MN"/>
    <n v="26"/>
    <s v="MN 26"/>
    <s v="2802-65"/>
    <x v="1"/>
    <m/>
    <s v="S"/>
    <s v="MNDOT"/>
    <m/>
    <s v="NEAR BROWNSVILLE, REPLACE BRIDGE 5720 "/>
    <s v="013+00.635"/>
    <s v="013+00.635"/>
    <n v="0"/>
    <m/>
    <s v="HOUSTON"/>
    <s v="BR"/>
    <s v="1-B "/>
    <s v="1-B"/>
    <m/>
    <s v="BRPC - BRIDGE REPLACEMENT OR CONSTRUCTION"/>
    <s v="BRIDGE REPLACEMENT"/>
    <s v="STP5K  "/>
    <s v="STP5K"/>
    <m/>
    <m/>
    <n v="1250000"/>
    <n v="0"/>
    <n v="0"/>
    <n v="1000000"/>
    <n v="0"/>
    <n v="1000000"/>
    <n v="0"/>
    <n v="0"/>
    <n v="0"/>
    <n v="0"/>
    <n v="0"/>
    <n v="0"/>
    <n v="0"/>
    <n v="0"/>
    <n v="0"/>
    <n v="0"/>
    <n v="250000"/>
    <n v="0"/>
    <n v="250000"/>
    <n v="0"/>
    <n v="0"/>
    <n v="1250000"/>
    <n v="20439168"/>
    <n v="1931800"/>
    <n v="2015"/>
    <m/>
    <n v="58.4"/>
    <m/>
    <m/>
    <m/>
    <m/>
    <s v="NO"/>
    <s v="NO"/>
    <s v="1st District"/>
    <s v="NO"/>
    <s v="NO"/>
    <s v="Yes"/>
    <s v="NO"/>
    <m/>
    <n v="0"/>
    <m/>
    <m/>
    <m/>
    <m/>
    <n v="1"/>
    <n v="1250000"/>
    <m/>
    <m/>
    <n v="0"/>
    <m/>
    <m/>
    <m/>
    <m/>
    <m/>
    <n v="0"/>
    <m/>
    <m/>
    <m/>
    <m/>
    <m/>
    <n v="0"/>
    <m/>
    <m/>
    <m/>
    <m/>
    <m/>
    <n v="0"/>
    <m/>
    <m/>
    <m/>
    <m/>
    <m/>
    <n v="0"/>
    <m/>
    <m/>
    <m/>
    <m/>
    <m/>
    <n v="0"/>
    <m/>
    <m/>
    <m/>
    <m/>
    <m/>
    <n v="0"/>
    <m/>
    <m/>
    <m/>
    <m/>
    <m/>
    <n v="0"/>
    <m/>
    <m/>
    <m/>
    <m/>
    <n v="1"/>
    <n v="1250000"/>
  </r>
  <r>
    <n v="94"/>
    <n v="6"/>
    <n v="6"/>
    <s v="MN"/>
    <n v="26"/>
    <s v="MN 26"/>
    <s v="2802-66"/>
    <x v="0"/>
    <m/>
    <s v="S"/>
    <s v="MNDOT"/>
    <m/>
    <s v="**BR4M**ELLA** FROM IA/MN STATE LINE TO T.H. 16, MEDIUM BITUMINOUS OVERLAY "/>
    <s v="000+00.000"/>
    <s v="021+00.379"/>
    <n v="21.120999999999999"/>
    <m/>
    <s v="HOUSTON"/>
    <s v="RS"/>
    <s v="1-P "/>
    <s v="1-P"/>
    <m/>
    <s v="PVTR - PAVEMENT RESURFACE AND REHABILITATION"/>
    <s v="BITUMINOUS OVERLAY"/>
    <s v="STP5K  "/>
    <s v="STP5K"/>
    <m/>
    <m/>
    <n v="5826565.21"/>
    <n v="0"/>
    <n v="0"/>
    <n v="4661252.17"/>
    <n v="0"/>
    <n v="4661252.17"/>
    <n v="0"/>
    <n v="0"/>
    <n v="0"/>
    <n v="0"/>
    <n v="0"/>
    <n v="0"/>
    <n v="0"/>
    <n v="0"/>
    <n v="0"/>
    <n v="0"/>
    <n v="1165313.04"/>
    <n v="0"/>
    <n v="1165313.04"/>
    <n v="0"/>
    <n v="0"/>
    <n v="5826565.21"/>
    <n v="26884965.259999998"/>
    <n v="2207598.56"/>
    <n v="2014"/>
    <m/>
    <s v="Project let in 2013"/>
    <s v="BR4M"/>
    <m/>
    <m/>
    <m/>
    <s v="NO"/>
    <s v="NO"/>
    <s v="1st District"/>
    <s v="YES"/>
    <s v="NO"/>
    <s v="Yes"/>
    <s v="NO"/>
    <n v="1"/>
    <n v="5826565.21"/>
    <m/>
    <m/>
    <m/>
    <m/>
    <m/>
    <n v="0"/>
    <m/>
    <m/>
    <n v="0"/>
    <m/>
    <m/>
    <m/>
    <m/>
    <m/>
    <n v="0"/>
    <m/>
    <m/>
    <m/>
    <m/>
    <m/>
    <n v="0"/>
    <m/>
    <m/>
    <m/>
    <m/>
    <m/>
    <n v="0"/>
    <m/>
    <m/>
    <m/>
    <m/>
    <m/>
    <n v="0"/>
    <m/>
    <m/>
    <m/>
    <m/>
    <m/>
    <n v="0"/>
    <m/>
    <m/>
    <m/>
    <m/>
    <m/>
    <n v="0"/>
    <m/>
    <m/>
    <m/>
    <m/>
    <m/>
    <n v="0"/>
    <m/>
    <m/>
    <m/>
    <m/>
    <n v="1"/>
    <n v="5826565.21"/>
  </r>
  <r>
    <m/>
    <n v="6"/>
    <n v="6"/>
    <s v="MN"/>
    <n v="44"/>
    <s v="MN 44"/>
    <s v="2804-35"/>
    <x v="1"/>
    <m/>
    <s v="S"/>
    <s v="MNDOT"/>
    <m/>
    <s v="IN HOKAH, RECONSTRUCT RETAINING WALL "/>
    <s v="065+00.427"/>
    <s v="065+00.501"/>
    <n v="7.3999999999999996E-2"/>
    <m/>
    <s v="HOUSTON"/>
    <s v="RC"/>
    <s v="1-M  "/>
    <s v="1-M "/>
    <m/>
    <s v="APPU - APPURTENANCES"/>
    <m/>
    <s v="SF  "/>
    <s v="SF"/>
    <m/>
    <m/>
    <n v="500000"/>
    <n v="0"/>
    <n v="0"/>
    <n v="0"/>
    <n v="0"/>
    <n v="0"/>
    <n v="0"/>
    <n v="0"/>
    <n v="0"/>
    <n v="0"/>
    <n v="0"/>
    <n v="0"/>
    <n v="0"/>
    <n v="0"/>
    <n v="0"/>
    <n v="0"/>
    <n v="500000"/>
    <n v="0"/>
    <n v="500000"/>
    <n v="0"/>
    <n v="0"/>
    <n v="500000"/>
    <n v="63724849"/>
    <n v="3796876"/>
    <n v="2015"/>
    <m/>
    <m/>
    <m/>
    <m/>
    <m/>
    <m/>
    <s v="NO"/>
    <s v="NO"/>
    <s v="1st District"/>
    <s v="NO"/>
    <s v="NO"/>
    <s v="Yes"/>
    <s v="NO"/>
    <m/>
    <n v="0"/>
    <m/>
    <m/>
    <m/>
    <m/>
    <m/>
    <n v="0"/>
    <m/>
    <n v="1"/>
    <n v="500000"/>
    <m/>
    <m/>
    <m/>
    <m/>
    <m/>
    <n v="0"/>
    <m/>
    <m/>
    <m/>
    <m/>
    <m/>
    <n v="0"/>
    <m/>
    <m/>
    <m/>
    <m/>
    <m/>
    <n v="0"/>
    <m/>
    <m/>
    <m/>
    <m/>
    <m/>
    <n v="0"/>
    <m/>
    <m/>
    <m/>
    <m/>
    <m/>
    <n v="0"/>
    <m/>
    <m/>
    <m/>
    <m/>
    <m/>
    <n v="0"/>
    <m/>
    <m/>
    <m/>
    <m/>
    <m/>
    <n v="0"/>
    <m/>
    <m/>
    <m/>
    <m/>
    <n v="1"/>
    <n v="500000"/>
  </r>
  <r>
    <m/>
    <n v="6"/>
    <n v="6"/>
    <s v="MN"/>
    <n v="44"/>
    <s v="MN 44"/>
    <s v="2804-36"/>
    <x v="1"/>
    <m/>
    <s v="S"/>
    <s v="MNDOT"/>
    <m/>
    <s v="IN CALEDONIA ON EAST SIDE MN 44 FROM FOLTZ DRIVE TO NORTH PARK, TRAIL CONSTRUCTION  - MUNICIPAL AGREEMENT PROGRAM - F.Y. 2015"/>
    <s v="053+00.243"/>
    <s v="053+00.508"/>
    <n v="0.27"/>
    <s v="CALEDONIA"/>
    <s v="HOUSTON"/>
    <s v="AM"/>
    <s v="1-M  "/>
    <s v="1-M "/>
    <m/>
    <s v="GRSU - GRADE AND SURFACE"/>
    <s v="COOP. CONST. AGREEMENT"/>
    <s v="SF LF "/>
    <s v="SF"/>
    <s v="LF"/>
    <m/>
    <n v="50000"/>
    <n v="0"/>
    <n v="0"/>
    <n v="0"/>
    <n v="0"/>
    <n v="0"/>
    <n v="0"/>
    <n v="0"/>
    <n v="0"/>
    <n v="0"/>
    <n v="0"/>
    <n v="0"/>
    <n v="0"/>
    <n v="0"/>
    <n v="0"/>
    <n v="0"/>
    <n v="50000"/>
    <n v="0"/>
    <n v="50000"/>
    <n v="0"/>
    <n v="0"/>
    <n v="133667"/>
    <n v="63724849"/>
    <n v="3846876"/>
    <n v="2015"/>
    <m/>
    <m/>
    <m/>
    <n v="83667"/>
    <m/>
    <m/>
    <s v="NO"/>
    <s v="NO"/>
    <s v="1st District"/>
    <s v="NO"/>
    <s v="NO"/>
    <s v="Yes"/>
    <s v="NO"/>
    <m/>
    <n v="0"/>
    <m/>
    <m/>
    <m/>
    <m/>
    <m/>
    <n v="0"/>
    <m/>
    <m/>
    <n v="0"/>
    <m/>
    <m/>
    <m/>
    <m/>
    <m/>
    <n v="0"/>
    <m/>
    <m/>
    <m/>
    <m/>
    <m/>
    <n v="0"/>
    <m/>
    <m/>
    <m/>
    <m/>
    <m/>
    <n v="0"/>
    <m/>
    <m/>
    <m/>
    <m/>
    <n v="0.5"/>
    <n v="25000"/>
    <m/>
    <m/>
    <m/>
    <m/>
    <n v="0.5"/>
    <n v="25000"/>
    <m/>
    <m/>
    <m/>
    <m/>
    <m/>
    <n v="0"/>
    <m/>
    <m/>
    <m/>
    <m/>
    <m/>
    <n v="0"/>
    <m/>
    <m/>
    <m/>
    <m/>
    <n v="1"/>
    <n v="50000"/>
  </r>
  <r>
    <m/>
    <n v="2"/>
    <n v="2"/>
    <s v="MN"/>
    <n v="200"/>
    <s v="MN 200"/>
    <s v="2908-27AC"/>
    <x v="0"/>
    <m/>
    <s v="S"/>
    <s v="MNDOT"/>
    <m/>
    <s v="**AC** 0.52 MI E OF MN64 TO HUBBARD CSAH 39, RECONSTRUCTION AND NEW BRIDGE 29X01 (AC PAYBACK 1 OF 1)"/>
    <s v="110+00.145"/>
    <s v="111+00.405"/>
    <n v="1.3"/>
    <m/>
    <s v="HUBBARD"/>
    <s v="RC"/>
    <m/>
    <m/>
    <m/>
    <s v="GSBR - GRADE, SURFACE AND BRIDGE"/>
    <s v="GRADE AND SURFACE"/>
    <s v="STP&lt;5K  "/>
    <s v="STP&lt;5K"/>
    <m/>
    <m/>
    <n v="1333600"/>
    <n v="0"/>
    <n v="0"/>
    <n v="0"/>
    <n v="0"/>
    <n v="0"/>
    <n v="0"/>
    <n v="0"/>
    <n v="0"/>
    <n v="0"/>
    <n v="0"/>
    <n v="2532434"/>
    <n v="0"/>
    <n v="2532434"/>
    <n v="0"/>
    <n v="0"/>
    <n v="0"/>
    <n v="0"/>
    <n v="0"/>
    <n v="0"/>
    <n v="0"/>
    <n v="0"/>
    <n v="15417316"/>
    <n v="3840000"/>
    <n v="2014"/>
    <m/>
    <m/>
    <m/>
    <m/>
    <m/>
    <m/>
    <s v="NO"/>
    <s v="NO"/>
    <s v="8th District"/>
    <s v="NO"/>
    <s v="NO"/>
    <s v="NO"/>
    <s v="NO"/>
    <n v="0.55600000000000005"/>
    <n v="741481.60000000009"/>
    <m/>
    <m/>
    <m/>
    <m/>
    <n v="0.28000000000000003"/>
    <n v="373408.00000000006"/>
    <m/>
    <n v="0.115"/>
    <n v="153364"/>
    <m/>
    <m/>
    <m/>
    <m/>
    <n v="2.5000000000000001E-2"/>
    <n v="33340"/>
    <m/>
    <m/>
    <m/>
    <m/>
    <n v="0"/>
    <n v="0"/>
    <m/>
    <m/>
    <m/>
    <m/>
    <n v="0"/>
    <n v="0"/>
    <m/>
    <m/>
    <m/>
    <m/>
    <n v="1.8000000000000002E-2"/>
    <n v="24004.800000000003"/>
    <m/>
    <m/>
    <m/>
    <m/>
    <n v="6.0000000000000001E-3"/>
    <n v="8001.6"/>
    <m/>
    <m/>
    <m/>
    <m/>
    <n v="0"/>
    <n v="0"/>
    <m/>
    <m/>
    <m/>
    <m/>
    <n v="0"/>
    <n v="0"/>
    <m/>
    <m/>
    <m/>
    <m/>
    <n v="1"/>
    <n v="1333600.0000000002"/>
  </r>
  <r>
    <m/>
    <n v="3"/>
    <n v="3"/>
    <s v="MN"/>
    <n v="65"/>
    <s v="MN 65"/>
    <s v="3003-46"/>
    <x v="0"/>
    <s v="2015-07"/>
    <s v="S"/>
    <s v="MNDOT"/>
    <m/>
    <s v="ON NBL, FM ANOKA/ISANTI CO LINE TO 1.1 MI S ISANTI CO CSAH 5 IN ISANTI; AND ON SBL, FM 0.7 MI S ISANTI CO CSAH 5 IN ISANTI TO 2.4 MI S TH 95 IN CAMBRIDGE, BITUMINOUS OVERLAY"/>
    <s v="30+00.382"/>
    <s v="38+00.201"/>
    <n v="8.5"/>
    <m/>
    <s v="MULTICOUNTY"/>
    <s v="RS"/>
    <s v="1-P "/>
    <s v="1-P"/>
    <m/>
    <s v="PVTR - PAVEMENT RESURFACE AND REHABILITATION"/>
    <s v="BITUMINOUS OVERLAY"/>
    <s v="NHPP SF "/>
    <s v="NHPP"/>
    <s v="SF"/>
    <m/>
    <n v="3052873"/>
    <n v="0"/>
    <n v="0"/>
    <n v="0"/>
    <n v="2442298"/>
    <n v="0"/>
    <n v="0"/>
    <n v="0"/>
    <n v="0"/>
    <n v="0"/>
    <n v="0"/>
    <n v="0"/>
    <n v="2442298"/>
    <n v="2442298"/>
    <n v="0"/>
    <n v="2442298"/>
    <n v="0"/>
    <n v="0"/>
    <n v="0"/>
    <n v="0"/>
    <n v="0"/>
    <n v="0"/>
    <n v="0"/>
    <n v="0"/>
    <n v="0"/>
    <n v="0"/>
    <n v="610575"/>
    <n v="0"/>
    <n v="610575"/>
    <n v="0"/>
    <n v="0"/>
    <n v="3052873"/>
    <n v="42288403"/>
    <n v="12962668"/>
    <n v="2014"/>
    <m/>
    <m/>
    <m/>
    <n v="0.88500000000000001"/>
    <n v="2701792.605"/>
    <m/>
    <m/>
    <m/>
    <m/>
    <m/>
    <n v="0"/>
    <m/>
    <n v="0.115"/>
    <n v="351080.39500000002"/>
    <s v="Pavement markings"/>
    <m/>
    <m/>
    <m/>
    <m/>
    <n v="0"/>
    <m/>
    <m/>
    <m/>
    <m/>
    <m/>
    <n v="0"/>
    <m/>
    <m/>
    <m/>
    <m/>
    <m/>
    <n v="0"/>
    <m/>
    <m/>
    <m/>
    <m/>
    <m/>
    <n v="0"/>
    <m/>
    <m/>
    <m/>
    <m/>
    <m/>
    <n v="0"/>
    <m/>
    <m/>
    <m/>
    <m/>
    <m/>
    <n v="0"/>
    <m/>
    <m/>
    <m/>
    <m/>
    <m/>
    <n v="0"/>
    <m/>
    <m/>
    <m/>
    <m/>
    <n v="1"/>
    <n v="3052873"/>
  </r>
  <r>
    <m/>
    <n v="3"/>
    <n v="3"/>
    <s v="MN"/>
    <n v="95"/>
    <s v="MN 95"/>
    <s v="3006-36"/>
    <x v="0"/>
    <s v="2013-00"/>
    <s v="S"/>
    <s v="MNDOT"/>
    <m/>
    <s v="REPLACE BR #9173 (WITH NEW BR. #30001) OVER RUM RIVER 0.6 W OF CAMBRIDGE"/>
    <s v="041+00.117"/>
    <s v="041+00.179"/>
    <n v="40.061999999999998"/>
    <s v="CAMBRIDGE"/>
    <s v="ISANTI"/>
    <s v="BR"/>
    <s v="1-B "/>
    <s v="1-B"/>
    <m/>
    <s v="BRPC - BRIDGE REPLACEMENT OR CONSTRUCTION"/>
    <s v="BRIDGE REPLACEMENT"/>
    <s v="NHPP SF "/>
    <s v="NHPP"/>
    <s v="SF"/>
    <m/>
    <n v="5800000"/>
    <n v="0"/>
    <n v="0"/>
    <n v="0"/>
    <n v="4640000"/>
    <n v="0"/>
    <n v="0"/>
    <n v="0"/>
    <n v="0"/>
    <n v="0"/>
    <n v="0"/>
    <n v="0"/>
    <n v="4640000"/>
    <n v="4640000"/>
    <n v="0"/>
    <n v="4640000"/>
    <n v="0"/>
    <n v="0"/>
    <n v="0"/>
    <n v="0"/>
    <n v="0"/>
    <n v="0"/>
    <n v="0"/>
    <n v="0"/>
    <n v="0"/>
    <n v="0"/>
    <n v="1160000"/>
    <n v="0"/>
    <n v="1160000"/>
    <n v="0"/>
    <n v="0"/>
    <n v="5800000"/>
    <n v="37820626"/>
    <n v="17065095"/>
    <n v="2014"/>
    <m/>
    <m/>
    <m/>
    <m/>
    <n v="0"/>
    <m/>
    <m/>
    <m/>
    <m/>
    <n v="0.92900000000000005"/>
    <n v="5388200"/>
    <m/>
    <m/>
    <n v="0"/>
    <m/>
    <m/>
    <m/>
    <m/>
    <m/>
    <n v="0"/>
    <m/>
    <m/>
    <m/>
    <m/>
    <m/>
    <n v="0"/>
    <m/>
    <m/>
    <m/>
    <m/>
    <m/>
    <n v="0"/>
    <m/>
    <m/>
    <m/>
    <m/>
    <n v="3.5000000000000003E-2"/>
    <n v="203000.00000000003"/>
    <m/>
    <m/>
    <m/>
    <m/>
    <n v="3.5999999999999997E-2"/>
    <n v="208799.99999999997"/>
    <m/>
    <m/>
    <m/>
    <m/>
    <m/>
    <n v="0"/>
    <m/>
    <m/>
    <m/>
    <m/>
    <m/>
    <n v="0"/>
    <m/>
    <m/>
    <m/>
    <m/>
    <n v="1"/>
    <n v="5800000"/>
  </r>
  <r>
    <m/>
    <n v="3"/>
    <n v="3"/>
    <s v="MN"/>
    <n v="95"/>
    <s v="MN 95"/>
    <s v="3006-39"/>
    <x v="9"/>
    <s v="2013-00"/>
    <s v="S"/>
    <s v="MNDOT"/>
    <m/>
    <s v="FERN ST TO DAVIS ST IN CAMBRIDGE, RECONSTRUCTION INCLUDING ADA"/>
    <s v="41+00.309"/>
    <s v="42+00.004"/>
    <n v="0.69499999999999995"/>
    <s v="CAMBRIDGE"/>
    <s v="ISANTI"/>
    <s v="RC"/>
    <s v="1-P "/>
    <s v="1-P"/>
    <m/>
    <s v="GRSU - GRADE AND SURFACE"/>
    <s v="GRADE AND SURFACE"/>
    <s v="NHPP SF "/>
    <s v="NHPP"/>
    <s v="SF"/>
    <m/>
    <n v="6900000"/>
    <n v="0"/>
    <n v="0"/>
    <n v="0"/>
    <n v="5520000"/>
    <n v="0"/>
    <n v="0"/>
    <n v="0"/>
    <n v="0"/>
    <n v="0"/>
    <n v="0"/>
    <n v="0"/>
    <n v="5520000"/>
    <n v="5520000"/>
    <n v="0"/>
    <n v="5520000"/>
    <n v="0"/>
    <n v="0"/>
    <n v="0"/>
    <n v="0"/>
    <n v="0"/>
    <n v="0"/>
    <n v="0"/>
    <n v="0"/>
    <n v="0"/>
    <n v="0"/>
    <n v="1380000"/>
    <n v="0"/>
    <n v="1380000"/>
    <n v="0"/>
    <n v="0"/>
    <n v="6900000"/>
    <n v="35297300"/>
    <n v="9150000"/>
    <n v="2017"/>
    <m/>
    <m/>
    <m/>
    <n v="0.82099999999999995"/>
    <n v="5664900"/>
    <m/>
    <m/>
    <m/>
    <m/>
    <m/>
    <n v="0"/>
    <m/>
    <n v="0.115"/>
    <n v="793500"/>
    <s v="Drainage and culverts"/>
    <m/>
    <m/>
    <m/>
    <n v="3.2000000000000001E-2"/>
    <n v="220800"/>
    <m/>
    <m/>
    <m/>
    <m/>
    <m/>
    <n v="0"/>
    <m/>
    <m/>
    <m/>
    <m/>
    <m/>
    <n v="0"/>
    <m/>
    <m/>
    <m/>
    <m/>
    <n v="2.3E-2"/>
    <n v="158700"/>
    <m/>
    <m/>
    <m/>
    <m/>
    <n v="8.9999999999999993E-3"/>
    <n v="62099.999999999993"/>
    <m/>
    <m/>
    <m/>
    <m/>
    <m/>
    <n v="0"/>
    <m/>
    <m/>
    <m/>
    <m/>
    <m/>
    <n v="0"/>
    <m/>
    <m/>
    <m/>
    <m/>
    <n v="1"/>
    <n v="6900000"/>
  </r>
  <r>
    <m/>
    <n v="1"/>
    <n v="1"/>
    <s v="MN"/>
    <n v="38"/>
    <s v="MN 38"/>
    <s v="3108-70"/>
    <x v="9"/>
    <m/>
    <s v="S"/>
    <s v="MNDOT"/>
    <m/>
    <s v="RECLAIM - TH 38 PUGHOLE LAKE TO MARCELL &amp; ON TH 286 FR. JCT TH 6 TO JCT TH 38 (ASSOC. SP 3117-04)."/>
    <s v="12+00.894"/>
    <s v="27+00.190"/>
    <n v="14.3"/>
    <m/>
    <s v="ITASCA"/>
    <s v="RS"/>
    <m/>
    <m/>
    <m/>
    <s v="PVTR - PAVEMENT RESURFACE AND REHABILITATION"/>
    <s v="CULVERT"/>
    <s v="STP5K  "/>
    <s v="STP5K"/>
    <m/>
    <m/>
    <n v="12200000"/>
    <m/>
    <m/>
    <n v="9760000"/>
    <m/>
    <n v="9760000"/>
    <m/>
    <m/>
    <m/>
    <n v="0"/>
    <m/>
    <m/>
    <m/>
    <n v="0"/>
    <m/>
    <m/>
    <n v="2440000"/>
    <m/>
    <n v="2440000"/>
    <m/>
    <n v="0"/>
    <n v="12200000"/>
    <n v="39168499.700000003"/>
    <n v="15653233.300000001"/>
    <n v="2017"/>
    <m/>
    <m/>
    <m/>
    <m/>
    <m/>
    <s v="YES"/>
    <s v="NO"/>
    <s v="NO"/>
    <s v="8th District"/>
    <s v="NO"/>
    <s v="NO"/>
    <s v="Yes"/>
    <s v="NO"/>
    <n v="0.79508196721311475"/>
    <n v="9700000"/>
    <s v="Reclamation"/>
    <m/>
    <m/>
    <m/>
    <m/>
    <n v="0"/>
    <m/>
    <n v="0.20491803278688525"/>
    <n v="2500000"/>
    <s v="Drainage and culverts"/>
    <m/>
    <m/>
    <m/>
    <m/>
    <n v="0"/>
    <m/>
    <m/>
    <m/>
    <m/>
    <m/>
    <n v="0"/>
    <m/>
    <m/>
    <m/>
    <m/>
    <m/>
    <n v="0"/>
    <m/>
    <m/>
    <m/>
    <m/>
    <m/>
    <n v="0"/>
    <m/>
    <m/>
    <m/>
    <m/>
    <m/>
    <n v="0"/>
    <m/>
    <m/>
    <m/>
    <m/>
    <m/>
    <n v="0"/>
    <m/>
    <m/>
    <m/>
    <m/>
    <m/>
    <n v="0"/>
    <m/>
    <m/>
    <m/>
    <m/>
    <n v="1"/>
    <n v="12200000"/>
  </r>
  <r>
    <m/>
    <n v="1"/>
    <n v="1"/>
    <s v="MN"/>
    <n v="38"/>
    <s v="MN 38"/>
    <s v="3108-76"/>
    <x v="9"/>
    <m/>
    <s v="S"/>
    <s v="MNDOT"/>
    <m/>
    <s v="TH 38 M&amp;O 0.17 MI S JCT HORSESHOE LAKE RD TO S LIMITS BIG FORK."/>
    <s v="33+00.407"/>
    <s v="39+00.633"/>
    <n v="6.2"/>
    <m/>
    <s v="ITASCA"/>
    <s v="RS"/>
    <m/>
    <m/>
    <m/>
    <s v="PVTR - PAVEMENT RESURFACE AND REHABILITATION"/>
    <s v="CULVERT"/>
    <s v="SF  "/>
    <s v="SF"/>
    <m/>
    <m/>
    <n v="2300000"/>
    <m/>
    <m/>
    <m/>
    <m/>
    <n v="0"/>
    <m/>
    <m/>
    <m/>
    <n v="0"/>
    <m/>
    <m/>
    <m/>
    <n v="0"/>
    <m/>
    <m/>
    <n v="2300000"/>
    <m/>
    <n v="2300000"/>
    <m/>
    <n v="0"/>
    <n v="2300000"/>
    <n v="39168499.700000003"/>
    <n v="17953233.300000001"/>
    <n v="2017"/>
    <m/>
    <m/>
    <m/>
    <m/>
    <m/>
    <s v="NO"/>
    <s v="NO"/>
    <s v="NO"/>
    <s v="8th District"/>
    <s v="NO"/>
    <s v="NO"/>
    <s v="Yes"/>
    <s v="NO"/>
    <n v="0.86956521739130432"/>
    <n v="2000000"/>
    <s v="Mill and/or overlay"/>
    <m/>
    <m/>
    <m/>
    <m/>
    <n v="0"/>
    <m/>
    <n v="0.13043478260869565"/>
    <n v="300000"/>
    <s v="Drainage and culverts"/>
    <m/>
    <m/>
    <m/>
    <m/>
    <n v="0"/>
    <m/>
    <m/>
    <m/>
    <m/>
    <m/>
    <n v="0"/>
    <m/>
    <m/>
    <m/>
    <m/>
    <m/>
    <n v="0"/>
    <m/>
    <m/>
    <m/>
    <m/>
    <m/>
    <n v="0"/>
    <m/>
    <m/>
    <m/>
    <m/>
    <m/>
    <n v="0"/>
    <m/>
    <m/>
    <m/>
    <m/>
    <m/>
    <n v="0"/>
    <m/>
    <m/>
    <m/>
    <m/>
    <m/>
    <n v="0"/>
    <m/>
    <m/>
    <m/>
    <m/>
    <n v="1"/>
    <n v="2300000"/>
  </r>
  <r>
    <m/>
    <n v="1"/>
    <n v="2"/>
    <s v="MN"/>
    <n v="46"/>
    <s v="MN 46"/>
    <s v="3109-40"/>
    <x v="2"/>
    <s v="2016-30"/>
    <s v="S"/>
    <s v="MNDOT"/>
    <m/>
    <s v="5.9 MI NW OF SQUAW LAKE, REPL BR #8803 &amp; APPROACHES, (DESIGNED BY DIST 2, FUNDED BY ATP 1 UNDER SP 3109-40M, $852,382)"/>
    <s v="033+00.338"/>
    <s v="033+00.338"/>
    <n v="0"/>
    <m/>
    <s v="ITASCA"/>
    <s v="BR"/>
    <s v="1-B "/>
    <s v="1-B"/>
    <m/>
    <s v="BRPC - BRIDGE REPLACEMENT OR CONSTRUCTION"/>
    <s v="BRIDGE REPLACEMENT"/>
    <s v="  "/>
    <m/>
    <m/>
    <m/>
    <n v="0"/>
    <n v="0"/>
    <n v="0"/>
    <n v="0"/>
    <n v="0"/>
    <n v="0"/>
    <n v="0"/>
    <n v="0"/>
    <n v="0"/>
    <n v="0"/>
    <n v="0"/>
    <n v="0"/>
    <n v="0"/>
    <n v="0"/>
    <n v="0"/>
    <n v="0"/>
    <n v="0"/>
    <n v="0"/>
    <n v="0"/>
    <n v="0"/>
    <n v="0"/>
    <n v="0"/>
    <n v="28933804"/>
    <n v="2939000"/>
    <n v="2016"/>
    <m/>
    <s v="Added on 7/9/12. Funding from ATP 1, SP 3109-40M"/>
    <m/>
    <m/>
    <m/>
    <m/>
    <s v="NO"/>
    <s v="NO"/>
    <s v="8th District"/>
    <s v="NO"/>
    <s v="NO"/>
    <s v="NO"/>
    <s v="NO"/>
    <n v="0"/>
    <n v="0"/>
    <m/>
    <m/>
    <m/>
    <m/>
    <n v="0.92900000000000005"/>
    <n v="0"/>
    <m/>
    <n v="0"/>
    <n v="0"/>
    <m/>
    <m/>
    <m/>
    <m/>
    <n v="0"/>
    <n v="0"/>
    <m/>
    <m/>
    <m/>
    <m/>
    <n v="0"/>
    <n v="0"/>
    <m/>
    <m/>
    <m/>
    <m/>
    <n v="0"/>
    <n v="0"/>
    <m/>
    <m/>
    <m/>
    <m/>
    <n v="3.5000000000000003E-2"/>
    <n v="0"/>
    <m/>
    <m/>
    <m/>
    <m/>
    <n v="3.6000000000000004E-2"/>
    <n v="0"/>
    <m/>
    <m/>
    <m/>
    <m/>
    <n v="0"/>
    <n v="0"/>
    <m/>
    <m/>
    <m/>
    <m/>
    <n v="0"/>
    <n v="0"/>
    <m/>
    <m/>
    <m/>
    <m/>
    <n v="1"/>
    <n v="0"/>
  </r>
  <r>
    <m/>
    <n v="1"/>
    <n v="2"/>
    <s v="MN"/>
    <n v="46"/>
    <s v="MN 46"/>
    <s v="3109-40M"/>
    <x v="2"/>
    <m/>
    <s v="S"/>
    <s v="MNDOT"/>
    <m/>
    <s v="5.0 MI MI N OF SQUAW LAKE, REPLACE BR# 8803, OVER POPPLE RIVER"/>
    <s v="33+00.338"/>
    <n v="0"/>
    <n v="0"/>
    <m/>
    <s v="ITASCA"/>
    <s v="BR"/>
    <s v="1-B "/>
    <s v="1-B"/>
    <m/>
    <s v="BRPC - BRIDGE REPLACEMENT OR CONSTRUCTION"/>
    <s v="BRIDGE REPLACEMENT"/>
    <s v="SF  "/>
    <s v="SF"/>
    <m/>
    <m/>
    <n v="852382"/>
    <n v="0"/>
    <n v="0"/>
    <n v="0"/>
    <n v="0"/>
    <n v="0"/>
    <n v="0"/>
    <n v="0"/>
    <n v="0"/>
    <n v="0"/>
    <n v="0"/>
    <n v="0"/>
    <n v="0"/>
    <n v="0"/>
    <n v="0"/>
    <n v="0"/>
    <n v="852382"/>
    <n v="0"/>
    <n v="852382"/>
    <n v="0"/>
    <n v="0"/>
    <n v="852382"/>
    <n v="47430696"/>
    <n v="10779382"/>
    <n v="2016"/>
    <m/>
    <m/>
    <m/>
    <m/>
    <m/>
    <s v="YES"/>
    <s v="NO"/>
    <s v="NO"/>
    <s v="8th District"/>
    <s v="NO"/>
    <s v="NO"/>
    <s v="Yes"/>
    <s v="NO"/>
    <m/>
    <n v="0"/>
    <m/>
    <m/>
    <m/>
    <m/>
    <n v="1"/>
    <n v="852382"/>
    <m/>
    <m/>
    <n v="0"/>
    <m/>
    <m/>
    <m/>
    <m/>
    <m/>
    <n v="0"/>
    <m/>
    <m/>
    <m/>
    <m/>
    <m/>
    <n v="0"/>
    <m/>
    <m/>
    <m/>
    <m/>
    <m/>
    <n v="0"/>
    <m/>
    <m/>
    <m/>
    <m/>
    <m/>
    <n v="0"/>
    <m/>
    <m/>
    <m/>
    <m/>
    <m/>
    <n v="0"/>
    <m/>
    <m/>
    <m/>
    <m/>
    <m/>
    <n v="0"/>
    <m/>
    <m/>
    <m/>
    <m/>
    <m/>
    <n v="0"/>
    <m/>
    <m/>
    <m/>
    <m/>
    <n v="1"/>
    <n v="852382"/>
  </r>
  <r>
    <m/>
    <n v="1"/>
    <n v="1"/>
    <s v="US"/>
    <n v="169"/>
    <s v="US 169"/>
    <s v="3115-71"/>
    <x v="2"/>
    <m/>
    <s v="S"/>
    <s v="MNDOT"/>
    <m/>
    <s v="**ELLA** IN GRAND RAPIDS FROM WOODLAND PARK ROAD TO 13TH ST. &amp; IN COLERIANE JCT CURLEY AVE TO ELIZABETH AVE( ASSOC. 3116-141), MILL AND OVERLAY"/>
    <s v="300+00.501"/>
    <s v="311+00.962"/>
    <n v="4.4370000000000003"/>
    <s v="GRAND RAPIDS"/>
    <s v="ITASCA"/>
    <s v="RS"/>
    <s v="1-P "/>
    <s v="1-P"/>
    <m/>
    <s v="PVTR - PAVEMENT RESURFACE AND REHABILITATION"/>
    <s v="MILL AND OVERLAY"/>
    <s v="NHPP  "/>
    <s v="NHPP"/>
    <m/>
    <m/>
    <n v="3040000"/>
    <n v="0"/>
    <n v="0"/>
    <n v="2432000"/>
    <n v="0"/>
    <n v="2432000"/>
    <n v="0"/>
    <n v="0"/>
    <n v="0"/>
    <n v="0"/>
    <n v="0"/>
    <n v="0"/>
    <n v="0"/>
    <n v="0"/>
    <n v="0"/>
    <n v="0"/>
    <n v="608000"/>
    <n v="0"/>
    <n v="608000"/>
    <n v="0"/>
    <n v="0"/>
    <n v="3040000"/>
    <n v="38310696"/>
    <n v="4978000"/>
    <n v="2016"/>
    <m/>
    <s v="$1,220,000 MAP 21"/>
    <m/>
    <m/>
    <m/>
    <s v="NO"/>
    <s v="NO"/>
    <s v="NO"/>
    <s v="8th District"/>
    <s v="YES"/>
    <s v="NO"/>
    <s v="Yes"/>
    <s v="NO"/>
    <n v="0.97532894736842102"/>
    <n v="2965000"/>
    <s v="Mill and/or overlay"/>
    <m/>
    <m/>
    <m/>
    <m/>
    <n v="0"/>
    <m/>
    <n v="2.4671052631578948E-2"/>
    <n v="75000"/>
    <s v="Drainage and culverts"/>
    <m/>
    <m/>
    <m/>
    <m/>
    <n v="0"/>
    <m/>
    <m/>
    <m/>
    <m/>
    <m/>
    <n v="0"/>
    <m/>
    <m/>
    <m/>
    <m/>
    <m/>
    <n v="0"/>
    <m/>
    <m/>
    <m/>
    <m/>
    <m/>
    <n v="0"/>
    <m/>
    <m/>
    <m/>
    <m/>
    <m/>
    <n v="0"/>
    <m/>
    <m/>
    <m/>
    <m/>
    <m/>
    <n v="0"/>
    <m/>
    <m/>
    <m/>
    <m/>
    <m/>
    <n v="0"/>
    <m/>
    <m/>
    <m/>
    <m/>
    <n v="1"/>
    <n v="3040000"/>
  </r>
  <r>
    <m/>
    <n v="1"/>
    <n v="1"/>
    <s v="MN"/>
    <n v="286"/>
    <s v="MN 286"/>
    <s v="3117-04"/>
    <x v="9"/>
    <m/>
    <s v="S"/>
    <s v="MNDOT"/>
    <m/>
    <s v="JCT TH 6 TO JCT TH 38, MILL AND OVELAY( ASSOC SP 3108-76)"/>
    <s v="00+00.000"/>
    <s v="4+00.327"/>
    <n v="4.3"/>
    <m/>
    <s v="ITASCA"/>
    <s v="RS"/>
    <m/>
    <m/>
    <m/>
    <s v="PVTR - PAVEMENT RESURFACE AND REHABILITATION"/>
    <s v="CULVERT"/>
    <s v="SF  "/>
    <s v="SF"/>
    <m/>
    <m/>
    <n v="1600000"/>
    <m/>
    <m/>
    <m/>
    <m/>
    <n v="0"/>
    <m/>
    <m/>
    <m/>
    <n v="0"/>
    <m/>
    <m/>
    <m/>
    <n v="0"/>
    <m/>
    <m/>
    <n v="1600000"/>
    <m/>
    <n v="1600000"/>
    <m/>
    <n v="0"/>
    <n v="1600000"/>
    <n v="43728499.700000003"/>
    <n v="21103233.300000001"/>
    <n v="2017"/>
    <m/>
    <m/>
    <m/>
    <m/>
    <m/>
    <s v="NO"/>
    <s v="NO"/>
    <s v="NO"/>
    <s v="8th District"/>
    <s v="NO"/>
    <s v="NO"/>
    <s v="Yes"/>
    <s v="NO"/>
    <n v="0.85875000000000001"/>
    <n v="1374000"/>
    <s v="Mill and/or overlay"/>
    <m/>
    <m/>
    <m/>
    <m/>
    <n v="0"/>
    <m/>
    <n v="0.14124999999999999"/>
    <n v="225999.99999999997"/>
    <s v="Drainage and culverts"/>
    <m/>
    <m/>
    <m/>
    <m/>
    <n v="0"/>
    <m/>
    <m/>
    <m/>
    <m/>
    <m/>
    <n v="0"/>
    <m/>
    <m/>
    <m/>
    <m/>
    <m/>
    <n v="0"/>
    <m/>
    <m/>
    <m/>
    <m/>
    <m/>
    <n v="0"/>
    <m/>
    <m/>
    <m/>
    <m/>
    <m/>
    <n v="0"/>
    <m/>
    <m/>
    <m/>
    <m/>
    <m/>
    <n v="0"/>
    <m/>
    <m/>
    <m/>
    <m/>
    <m/>
    <n v="0"/>
    <m/>
    <m/>
    <m/>
    <m/>
    <n v="1"/>
    <n v="1600000"/>
  </r>
  <r>
    <m/>
    <n v="7"/>
    <n v="7"/>
    <s v="US"/>
    <n v="71"/>
    <s v="US 71"/>
    <s v="3205-29"/>
    <x v="1"/>
    <s v="2015-TH-8"/>
    <s v="S"/>
    <s v="MNDOT"/>
    <m/>
    <s v="**CIMS** IN JACKSON, COMPLETE STREETS, ROUNABOUT AND REPLACE OLD BR 6741 WITH NEW BR 32011 (CIMS $1,260,000)"/>
    <s v="008+00.85"/>
    <s v="008+00.85"/>
    <n v="0"/>
    <m/>
    <s v="JACKSON"/>
    <s v="BR"/>
    <s v="1-B "/>
    <s v="1-B"/>
    <m/>
    <s v="BRPC - BRIDGE REPLACEMENT OR CONSTRUCTION"/>
    <s v="BRIDGE REPLACEMENT"/>
    <s v="NHPP  "/>
    <s v="NHPP"/>
    <m/>
    <m/>
    <n v="3200000"/>
    <n v="0"/>
    <n v="0"/>
    <n v="2560000"/>
    <n v="0"/>
    <n v="2560000"/>
    <n v="0"/>
    <n v="0"/>
    <n v="0"/>
    <n v="0"/>
    <n v="0"/>
    <n v="0"/>
    <n v="0"/>
    <n v="0"/>
    <n v="0"/>
    <n v="0"/>
    <n v="640000"/>
    <n v="0"/>
    <n v="640000"/>
    <n v="0"/>
    <n v="0"/>
    <n v="3200000"/>
    <n v="14459434"/>
    <n v="5168356"/>
    <n v="2015"/>
    <m/>
    <m/>
    <m/>
    <m/>
    <m/>
    <m/>
    <s v="NO"/>
    <s v="NO"/>
    <m/>
    <s v="NO"/>
    <s v="NO"/>
    <s v="Yes"/>
    <s v="NO"/>
    <n v="0.66539999999999999"/>
    <n v="2972800"/>
    <m/>
    <m/>
    <m/>
    <m/>
    <m/>
    <n v="0"/>
    <m/>
    <m/>
    <n v="0"/>
    <m/>
    <m/>
    <m/>
    <m/>
    <m/>
    <n v="0"/>
    <m/>
    <m/>
    <m/>
    <m/>
    <m/>
    <n v="0"/>
    <m/>
    <m/>
    <m/>
    <m/>
    <m/>
    <n v="0"/>
    <m/>
    <m/>
    <m/>
    <m/>
    <n v="2.5100000000000001E-2"/>
    <n v="112000.00000000001"/>
    <m/>
    <m/>
    <m/>
    <m/>
    <n v="2.58E-2"/>
    <n v="115199.99999999999"/>
    <m/>
    <m/>
    <m/>
    <m/>
    <n v="0.28249999999999997"/>
    <n v="1260000"/>
    <m/>
    <m/>
    <m/>
    <m/>
    <m/>
    <n v="0"/>
    <m/>
    <m/>
    <m/>
    <m/>
    <n v="1"/>
    <n v="4460000"/>
  </r>
  <r>
    <m/>
    <n v="7"/>
    <n v="7"/>
    <s v="MN"/>
    <n v="86"/>
    <s v="MN 86"/>
    <s v="3207-09"/>
    <x v="0"/>
    <s v="2013-TH-6"/>
    <s v="S"/>
    <s v="MNDOT"/>
    <m/>
    <s v="FROM THE IOWA BORDER TO I90, MILL &amp; OVERLAY"/>
    <s v="000+00.000"/>
    <s v="009+00.717"/>
    <n v="9.6999999999999993"/>
    <m/>
    <s v="JACKSON"/>
    <s v="RS"/>
    <s v="1-P "/>
    <s v="1-P"/>
    <m/>
    <s v="PVTR - PAVEMENT RESURFACE AND REHABILITATION"/>
    <s v="MILL AND OVERLAY"/>
    <s v="STP 5K &gt;  "/>
    <s v="STP 5K &gt;"/>
    <m/>
    <m/>
    <n v="2883000"/>
    <n v="0"/>
    <n v="0"/>
    <n v="2306000"/>
    <n v="0"/>
    <n v="2306000"/>
    <n v="0"/>
    <n v="0"/>
    <n v="0"/>
    <n v="0"/>
    <n v="0"/>
    <n v="0"/>
    <n v="0"/>
    <n v="0"/>
    <n v="0"/>
    <n v="0"/>
    <n v="577000"/>
    <n v="0"/>
    <n v="577000"/>
    <n v="0"/>
    <n v="0"/>
    <n v="2883000"/>
    <n v="20066935"/>
    <n v="3167000"/>
    <n v="2014"/>
    <m/>
    <m/>
    <m/>
    <m/>
    <m/>
    <m/>
    <s v="NO"/>
    <s v="NO"/>
    <m/>
    <s v="NO"/>
    <s v="NO"/>
    <s v="Yes"/>
    <s v="NO"/>
    <n v="0.82099999999999995"/>
    <n v="2366943"/>
    <m/>
    <m/>
    <m/>
    <m/>
    <m/>
    <n v="0"/>
    <m/>
    <n v="0.115"/>
    <n v="331545"/>
    <m/>
    <m/>
    <m/>
    <m/>
    <n v="3.2000000000000001E-2"/>
    <n v="92256"/>
    <m/>
    <m/>
    <m/>
    <m/>
    <m/>
    <n v="0"/>
    <m/>
    <m/>
    <m/>
    <m/>
    <m/>
    <n v="0"/>
    <m/>
    <m/>
    <m/>
    <m/>
    <n v="2.3E-2"/>
    <n v="66309"/>
    <m/>
    <m/>
    <m/>
    <m/>
    <n v="8.9999999999999993E-3"/>
    <n v="25946.999999999996"/>
    <m/>
    <m/>
    <m/>
    <m/>
    <m/>
    <n v="0"/>
    <m/>
    <m/>
    <m/>
    <m/>
    <m/>
    <n v="0"/>
    <m/>
    <m/>
    <m/>
    <m/>
    <n v="1"/>
    <n v="2883000"/>
  </r>
  <r>
    <m/>
    <n v="7"/>
    <n v="7"/>
    <s v="I"/>
    <n v="90"/>
    <s v="I 90"/>
    <s v="3280-116"/>
    <x v="0"/>
    <s v="2014-TH-10"/>
    <s v="S"/>
    <s v="MNDOT"/>
    <m/>
    <s v="REPAIR BR 32807, 32808, 32811 &amp; 32812 ON I 90 IN JACKSON COUNTY"/>
    <m/>
    <m/>
    <n v="0"/>
    <m/>
    <s v="JACKSON"/>
    <s v="BI"/>
    <s v="1-BPM "/>
    <s v="1-BPM"/>
    <m/>
    <s v="BRRH - BRIDGE REHABILITATION"/>
    <s v="BRIDGE REPAIR"/>
    <s v="NHPP  "/>
    <s v="NHPP"/>
    <m/>
    <m/>
    <n v="2400000"/>
    <n v="0"/>
    <n v="0"/>
    <n v="2160000"/>
    <n v="0"/>
    <n v="2160000"/>
    <n v="0"/>
    <n v="0"/>
    <n v="0"/>
    <n v="0"/>
    <n v="0"/>
    <n v="0"/>
    <n v="0"/>
    <n v="0"/>
    <n v="0"/>
    <n v="0"/>
    <n v="240000"/>
    <n v="0"/>
    <n v="240000"/>
    <n v="0"/>
    <n v="0"/>
    <n v="2400000"/>
    <n v="22226935"/>
    <n v="3407000"/>
    <n v="2014"/>
    <m/>
    <m/>
    <m/>
    <m/>
    <m/>
    <m/>
    <s v="NO"/>
    <s v="NO"/>
    <m/>
    <s v="NO"/>
    <s v="NO"/>
    <s v="Yes"/>
    <s v="NO"/>
    <n v="0.92900000000000005"/>
    <n v="2229600"/>
    <m/>
    <m/>
    <m/>
    <m/>
    <m/>
    <n v="0"/>
    <m/>
    <m/>
    <n v="0"/>
    <m/>
    <m/>
    <m/>
    <m/>
    <m/>
    <n v="0"/>
    <m/>
    <m/>
    <m/>
    <m/>
    <m/>
    <n v="0"/>
    <m/>
    <m/>
    <m/>
    <m/>
    <m/>
    <n v="0"/>
    <m/>
    <m/>
    <m/>
    <m/>
    <n v="3.5000000000000003E-2"/>
    <n v="84000.000000000015"/>
    <m/>
    <m/>
    <m/>
    <m/>
    <n v="3.5999999999999997E-2"/>
    <n v="86400"/>
    <m/>
    <m/>
    <m/>
    <m/>
    <m/>
    <n v="0"/>
    <m/>
    <m/>
    <m/>
    <m/>
    <m/>
    <n v="0"/>
    <m/>
    <m/>
    <m/>
    <m/>
    <n v="1"/>
    <n v="2400000"/>
  </r>
  <r>
    <n v="186"/>
    <n v="7"/>
    <n v="7"/>
    <s v="I"/>
    <n v="90"/>
    <s v="I 90"/>
    <s v="3280-118"/>
    <x v="2"/>
    <m/>
    <s v="S"/>
    <s v="MNDOT"/>
    <m/>
    <s v="JCT OF I90 AND CO RD 34 IN CITY OF JACKSON, CONSTRUCT RAMPS, (TED FUNDING) COUNTY LET PROJECT &amp; DESIGNED"/>
    <s v="065+00.500"/>
    <s v="072+00.75"/>
    <n v="7.2"/>
    <m/>
    <s v="JACKSON"/>
    <s v="AM"/>
    <m/>
    <m/>
    <m/>
    <s v="GRSU - GRADE AND SURFACE"/>
    <s v="GRADE AND SURFACE"/>
    <s v="SF  "/>
    <s v="SF"/>
    <m/>
    <m/>
    <n v="0"/>
    <n v="0"/>
    <n v="0"/>
    <n v="0"/>
    <n v="0"/>
    <n v="0"/>
    <n v="0"/>
    <n v="0"/>
    <n v="0"/>
    <n v="0"/>
    <n v="0"/>
    <n v="0"/>
    <n v="0"/>
    <n v="0"/>
    <n v="0"/>
    <n v="0"/>
    <n v="0"/>
    <n v="0"/>
    <n v="0"/>
    <n v="0"/>
    <n v="0"/>
    <n v="0"/>
    <n v="15425449"/>
    <n v="0"/>
    <n v="2016"/>
    <m/>
    <m/>
    <s v="NexTED"/>
    <m/>
    <m/>
    <m/>
    <s v="NO"/>
    <s v="NO"/>
    <m/>
    <s v="NO"/>
    <s v="NO"/>
    <s v="Yes"/>
    <s v="NO"/>
    <n v="0.82099999999999995"/>
    <n v="0"/>
    <m/>
    <m/>
    <m/>
    <m/>
    <m/>
    <n v="0"/>
    <m/>
    <n v="0.115"/>
    <n v="0"/>
    <m/>
    <m/>
    <m/>
    <m/>
    <n v="3.2000000000000001E-2"/>
    <n v="0"/>
    <m/>
    <m/>
    <m/>
    <m/>
    <m/>
    <n v="0"/>
    <m/>
    <m/>
    <m/>
    <m/>
    <m/>
    <n v="0"/>
    <m/>
    <m/>
    <m/>
    <m/>
    <n v="2.3E-2"/>
    <n v="0"/>
    <m/>
    <m/>
    <m/>
    <m/>
    <n v="8.9999999999999993E-3"/>
    <n v="0"/>
    <m/>
    <m/>
    <m/>
    <m/>
    <m/>
    <n v="0"/>
    <m/>
    <m/>
    <m/>
    <m/>
    <m/>
    <n v="0"/>
    <m/>
    <m/>
    <m/>
    <m/>
    <n v="1"/>
    <n v="0"/>
  </r>
  <r>
    <m/>
    <n v="7"/>
    <n v="7"/>
    <s v="I"/>
    <n v="90"/>
    <s v="I 90"/>
    <s v="3280-120"/>
    <x v="1"/>
    <m/>
    <s v="S"/>
    <s v="MNDOT"/>
    <m/>
    <s v="FROM LAKEFIELD TO SHERBURN, WB LANES ONLY, MILL &amp; OVERLAY"/>
    <s v="065+00.540"/>
    <s v="087+00.830"/>
    <n v="22.29"/>
    <m/>
    <s v="JACKSON"/>
    <s v="RS"/>
    <m/>
    <m/>
    <m/>
    <s v="PVTR - PAVEMENT RESURFACE AND REHABILITATION"/>
    <s v="MILL AND OVERLAY"/>
    <s v="NHPP  "/>
    <s v="NHPP"/>
    <m/>
    <m/>
    <n v="6697000"/>
    <n v="0"/>
    <n v="0"/>
    <n v="6027300"/>
    <n v="0"/>
    <n v="6027300"/>
    <n v="0"/>
    <n v="0"/>
    <n v="0"/>
    <n v="0"/>
    <n v="0"/>
    <n v="0"/>
    <n v="0"/>
    <n v="0"/>
    <n v="0"/>
    <n v="0"/>
    <n v="669700"/>
    <n v="0"/>
    <n v="669700"/>
    <n v="0"/>
    <n v="0"/>
    <n v="6697000"/>
    <n v="20486734"/>
    <n v="5838056"/>
    <n v="2015"/>
    <m/>
    <m/>
    <m/>
    <m/>
    <m/>
    <m/>
    <s v="NO"/>
    <s v="NO"/>
    <m/>
    <s v="NO"/>
    <s v="NO"/>
    <s v="Yes"/>
    <s v="NO"/>
    <n v="0.82099999999999995"/>
    <n v="5498237"/>
    <m/>
    <m/>
    <m/>
    <m/>
    <m/>
    <n v="0"/>
    <m/>
    <n v="0.115"/>
    <n v="770155"/>
    <m/>
    <m/>
    <m/>
    <m/>
    <n v="3.2000000000000001E-2"/>
    <n v="214304"/>
    <m/>
    <m/>
    <m/>
    <m/>
    <m/>
    <n v="0"/>
    <m/>
    <m/>
    <m/>
    <m/>
    <m/>
    <n v="0"/>
    <m/>
    <m/>
    <m/>
    <m/>
    <n v="2.3E-2"/>
    <n v="154031"/>
    <m/>
    <m/>
    <m/>
    <m/>
    <n v="8.9999999999999993E-3"/>
    <n v="60272.999999999993"/>
    <m/>
    <m/>
    <m/>
    <m/>
    <m/>
    <n v="0"/>
    <m/>
    <m/>
    <m/>
    <m/>
    <m/>
    <n v="0"/>
    <m/>
    <m/>
    <m/>
    <m/>
    <n v="1"/>
    <n v="6697000"/>
  </r>
  <r>
    <m/>
    <n v="7"/>
    <n v="7"/>
    <s v="I"/>
    <n v="90"/>
    <s v="I 90"/>
    <s v="3280-121"/>
    <x v="9"/>
    <m/>
    <s v="S"/>
    <s v="MNDOT"/>
    <m/>
    <s v="FROM 0.8 MI E OF TH 86 TO JACKSON/MARTIN COUNTY LINE, EB LANES, MILL &amp; OVERLAY"/>
    <s v="065+00.541"/>
    <s v="087+00.814"/>
    <n v="22.3"/>
    <m/>
    <s v="JACKSON"/>
    <s v="RS"/>
    <m/>
    <m/>
    <m/>
    <s v="PVTR - PAVEMENT RESURFACE AND REHABILITATION"/>
    <s v="MILL AND OVERLAY"/>
    <s v="NHPP  "/>
    <s v="NHPP"/>
    <m/>
    <m/>
    <n v="12585000"/>
    <n v="0"/>
    <n v="0"/>
    <n v="11326500"/>
    <n v="0"/>
    <n v="11326500"/>
    <n v="0"/>
    <n v="0"/>
    <n v="0"/>
    <n v="0"/>
    <n v="0"/>
    <n v="0"/>
    <n v="0"/>
    <n v="0"/>
    <n v="0"/>
    <n v="0"/>
    <n v="1258500"/>
    <n v="0"/>
    <n v="1258500"/>
    <n v="0"/>
    <n v="0"/>
    <n v="12585000"/>
    <n v="21590600"/>
    <n v="1876200"/>
    <n v="2017"/>
    <m/>
    <m/>
    <m/>
    <m/>
    <m/>
    <m/>
    <m/>
    <s v="NO"/>
    <m/>
    <s v="NO"/>
    <s v="NO"/>
    <s v="Yes"/>
    <s v="NO"/>
    <n v="0.82099999999999995"/>
    <n v="10332285"/>
    <m/>
    <m/>
    <m/>
    <m/>
    <m/>
    <n v="0"/>
    <m/>
    <n v="0.115"/>
    <n v="1447275"/>
    <m/>
    <m/>
    <m/>
    <m/>
    <n v="3.2000000000000001E-2"/>
    <n v="402720"/>
    <m/>
    <m/>
    <m/>
    <m/>
    <m/>
    <n v="0"/>
    <m/>
    <m/>
    <m/>
    <m/>
    <m/>
    <n v="0"/>
    <m/>
    <m/>
    <m/>
    <m/>
    <n v="2.3E-2"/>
    <n v="289455"/>
    <m/>
    <m/>
    <m/>
    <m/>
    <n v="8.9999999999999993E-3"/>
    <n v="113264.99999999999"/>
    <m/>
    <m/>
    <m/>
    <m/>
    <m/>
    <n v="0"/>
    <m/>
    <m/>
    <m/>
    <m/>
    <m/>
    <n v="0"/>
    <m/>
    <m/>
    <m/>
    <m/>
    <n v="1"/>
    <n v="12585000"/>
  </r>
  <r>
    <m/>
    <n v="7"/>
    <n v="7"/>
    <s v="I"/>
    <n v="90"/>
    <s v="I 90"/>
    <s v="3280-122"/>
    <x v="9"/>
    <m/>
    <s v="S"/>
    <s v="MNDOT"/>
    <m/>
    <s v="FROM 0.1 MI W OF CR 5 TO 0.74 MI E OF TH 86, MILL &amp; OVERLAY, WB LANES ONLY"/>
    <s v="054+00.617"/>
    <s v="065+00.536"/>
    <n v="10.9"/>
    <m/>
    <s v="JACKSON"/>
    <s v="RS"/>
    <m/>
    <m/>
    <m/>
    <s v="PVTR - PAVEMENT RESURFACE AND REHABILITATION"/>
    <s v="MILL AND OVERLAY"/>
    <s v="NHPP  "/>
    <s v="NHPP"/>
    <m/>
    <m/>
    <n v="6177000"/>
    <n v="0"/>
    <n v="0"/>
    <n v="5559300"/>
    <n v="0"/>
    <n v="5559300"/>
    <n v="0"/>
    <n v="0"/>
    <n v="0"/>
    <n v="0"/>
    <n v="0"/>
    <n v="0"/>
    <n v="0"/>
    <n v="0"/>
    <n v="0"/>
    <n v="0"/>
    <n v="617700"/>
    <n v="0"/>
    <n v="617700"/>
    <n v="0"/>
    <n v="0"/>
    <n v="6177000"/>
    <n v="10264100"/>
    <n v="617700"/>
    <n v="2017"/>
    <m/>
    <m/>
    <m/>
    <m/>
    <m/>
    <m/>
    <m/>
    <s v="NO"/>
    <m/>
    <s v="NO"/>
    <s v="NO"/>
    <s v="Yes"/>
    <s v="NO"/>
    <n v="0.82099999999999995"/>
    <n v="5071317"/>
    <m/>
    <m/>
    <m/>
    <m/>
    <m/>
    <n v="0"/>
    <m/>
    <n v="0.115"/>
    <n v="710355"/>
    <m/>
    <m/>
    <m/>
    <m/>
    <n v="3.2000000000000001E-2"/>
    <n v="197664"/>
    <m/>
    <m/>
    <m/>
    <m/>
    <m/>
    <n v="0"/>
    <m/>
    <m/>
    <m/>
    <m/>
    <m/>
    <n v="0"/>
    <m/>
    <m/>
    <m/>
    <m/>
    <n v="2.3E-2"/>
    <n v="142071"/>
    <m/>
    <m/>
    <m/>
    <m/>
    <n v="8.9999999999999993E-3"/>
    <n v="55592.999999999993"/>
    <m/>
    <m/>
    <m/>
    <m/>
    <m/>
    <n v="0"/>
    <m/>
    <m/>
    <m/>
    <m/>
    <m/>
    <n v="0"/>
    <m/>
    <m/>
    <m/>
    <m/>
    <n v="1"/>
    <n v="6177000"/>
  </r>
  <r>
    <m/>
    <n v="3"/>
    <n v="3"/>
    <s v="MN"/>
    <n v="23"/>
    <s v="MN 23"/>
    <s v="3301-32"/>
    <x v="0"/>
    <s v="2015-00"/>
    <s v="S"/>
    <s v="MNDOT"/>
    <m/>
    <s v="END OF BR #33007 OVER GROUNDHOUSE RIVER E OF OGILVIE TO S JCT TH 65 S OF MORA; BITUMINOUS OVERLAY"/>
    <s v="248+00.565"/>
    <s v="254+00.096"/>
    <n v="5.9"/>
    <m/>
    <s v="KANABEC"/>
    <s v="RS"/>
    <s v="1-P "/>
    <s v="1-P"/>
    <m/>
    <s v="PVTR - PAVEMENT RESURFACE AND REHABILITATION"/>
    <s v="MILL AND OVERLAY"/>
    <s v="SF  "/>
    <s v="SF"/>
    <m/>
    <m/>
    <n v="2431562"/>
    <n v="0"/>
    <n v="0"/>
    <n v="0"/>
    <n v="0"/>
    <n v="0"/>
    <n v="0"/>
    <n v="0"/>
    <n v="0"/>
    <n v="0"/>
    <n v="0"/>
    <n v="0"/>
    <n v="0"/>
    <n v="0"/>
    <n v="0"/>
    <n v="0"/>
    <n v="0"/>
    <n v="0"/>
    <n v="0"/>
    <n v="0"/>
    <n v="0"/>
    <n v="0"/>
    <n v="0"/>
    <n v="0"/>
    <n v="0"/>
    <n v="0"/>
    <n v="2431562"/>
    <n v="0"/>
    <n v="2431562"/>
    <n v="0"/>
    <n v="0"/>
    <n v="2431562"/>
    <n v="16498328"/>
    <n v="8671562"/>
    <n v="2014"/>
    <m/>
    <m/>
    <m/>
    <n v="0.82099999999999995"/>
    <n v="1996312.4019999998"/>
    <m/>
    <m/>
    <m/>
    <m/>
    <m/>
    <n v="0"/>
    <m/>
    <n v="0.115"/>
    <n v="279629.63"/>
    <s v="Pavement markings"/>
    <m/>
    <m/>
    <m/>
    <n v="3.2000000000000001E-2"/>
    <n v="77809.983999999997"/>
    <s v="Low cost high benefit"/>
    <m/>
    <m/>
    <m/>
    <m/>
    <n v="0"/>
    <m/>
    <m/>
    <m/>
    <m/>
    <m/>
    <n v="0"/>
    <m/>
    <m/>
    <m/>
    <m/>
    <n v="2.3E-2"/>
    <n v="55925.925999999999"/>
    <m/>
    <m/>
    <m/>
    <m/>
    <n v="8.9999999999999993E-3"/>
    <n v="21884.057999999997"/>
    <m/>
    <m/>
    <m/>
    <m/>
    <m/>
    <n v="0"/>
    <m/>
    <m/>
    <m/>
    <m/>
    <m/>
    <n v="0"/>
    <m/>
    <m/>
    <m/>
    <m/>
    <n v="1"/>
    <n v="2431562"/>
  </r>
  <r>
    <m/>
    <n v="3"/>
    <n v="3"/>
    <s v="MN"/>
    <n v="65"/>
    <s v="MN 65"/>
    <s v="3313-16"/>
    <x v="0"/>
    <s v="2015-"/>
    <s v="S"/>
    <s v="MNDOT"/>
    <m/>
    <s v="4.7 MI. N OF TH 107 TO TH 70 IN BRUNSWICK, MILL AND OVERLAY"/>
    <s v="55+00.782"/>
    <s v="58+00.851"/>
    <n v="3.1"/>
    <s v="BRUNSWICK"/>
    <s v="KANABEC"/>
    <s v="RS"/>
    <s v="1-P "/>
    <s v="1-P"/>
    <m/>
    <s v="PVTR - PAVEMENT RESURFACE AND REHABILITATION"/>
    <s v="CULVERT REPAIR"/>
    <s v="SF  "/>
    <s v="SF"/>
    <m/>
    <m/>
    <n v="2200000"/>
    <n v="0"/>
    <n v="0"/>
    <n v="0"/>
    <n v="0"/>
    <n v="0"/>
    <n v="0"/>
    <n v="0"/>
    <n v="0"/>
    <n v="0"/>
    <n v="0"/>
    <n v="0"/>
    <n v="0"/>
    <n v="0"/>
    <n v="0"/>
    <n v="0"/>
    <n v="0"/>
    <n v="0"/>
    <n v="0"/>
    <n v="0"/>
    <n v="0"/>
    <n v="0"/>
    <n v="0"/>
    <n v="0"/>
    <n v="0"/>
    <n v="0"/>
    <n v="2200000"/>
    <n v="0"/>
    <n v="2200000"/>
    <n v="0"/>
    <n v="0"/>
    <n v="2200000"/>
    <n v="42288403"/>
    <n v="12962668"/>
    <n v="2014"/>
    <m/>
    <m/>
    <m/>
    <n v="0.88500000000000001"/>
    <n v="1947000"/>
    <m/>
    <m/>
    <m/>
    <m/>
    <m/>
    <n v="0"/>
    <m/>
    <n v="0.115"/>
    <n v="253000"/>
    <m/>
    <m/>
    <m/>
    <m/>
    <m/>
    <n v="0"/>
    <m/>
    <m/>
    <m/>
    <m/>
    <m/>
    <n v="0"/>
    <m/>
    <m/>
    <m/>
    <m/>
    <m/>
    <n v="0"/>
    <m/>
    <m/>
    <m/>
    <m/>
    <m/>
    <n v="0"/>
    <m/>
    <m/>
    <m/>
    <m/>
    <m/>
    <n v="0"/>
    <m/>
    <m/>
    <m/>
    <m/>
    <m/>
    <n v="0"/>
    <m/>
    <m/>
    <m/>
    <m/>
    <m/>
    <n v="0"/>
    <m/>
    <m/>
    <m/>
    <m/>
    <n v="1"/>
    <n v="2200000"/>
  </r>
  <r>
    <n v="128"/>
    <n v="8"/>
    <n v="8"/>
    <s v="US"/>
    <n v="12"/>
    <s v="US 12"/>
    <s v="3403-5526"/>
    <x v="1"/>
    <m/>
    <s v="S"/>
    <s v="MNDOT"/>
    <m/>
    <s v="E. OF CSAH 5 (WILLMAR), SCARIFY &amp; OVERLAY BRIDGE #5526"/>
    <n v="72.870999999999995"/>
    <n v="72.915000000000006"/>
    <n v="0"/>
    <s v="WILLMAR"/>
    <s v="KANDIYOHI"/>
    <s v="BI"/>
    <s v=" "/>
    <m/>
    <m/>
    <s v="BRRH - BRIDGE REHABILITATION"/>
    <s v="BRIDGE OVERLAY"/>
    <s v="SF  "/>
    <s v="SF"/>
    <m/>
    <m/>
    <n v="340000"/>
    <n v="0"/>
    <n v="0"/>
    <n v="0"/>
    <n v="0"/>
    <n v="0"/>
    <n v="0"/>
    <n v="0"/>
    <n v="0"/>
    <n v="0"/>
    <n v="0"/>
    <n v="0"/>
    <n v="0"/>
    <n v="0"/>
    <n v="0"/>
    <n v="0"/>
    <n v="340000"/>
    <n v="0"/>
    <n v="340000"/>
    <n v="0"/>
    <n v="0"/>
    <n v="340000"/>
    <n v="11600163"/>
    <n v="1720000"/>
    <n v="2015"/>
    <m/>
    <m/>
    <m/>
    <m/>
    <m/>
    <s v="YES"/>
    <s v="NO"/>
    <s v="NO"/>
    <s v="7th District"/>
    <s v="NO"/>
    <s v="NO"/>
    <s v="Yes"/>
    <s v="NO"/>
    <m/>
    <n v="0"/>
    <m/>
    <m/>
    <m/>
    <m/>
    <n v="0.88"/>
    <n v="299200"/>
    <s v="Preservation - Overlay"/>
    <n v="0.12"/>
    <n v="40800"/>
    <s v="Guardrails and fencing"/>
    <n v="1"/>
    <m/>
    <m/>
    <m/>
    <n v="0"/>
    <m/>
    <m/>
    <m/>
    <m/>
    <m/>
    <n v="0"/>
    <m/>
    <m/>
    <m/>
    <m/>
    <m/>
    <n v="0"/>
    <m/>
    <m/>
    <m/>
    <m/>
    <m/>
    <n v="0"/>
    <m/>
    <m/>
    <m/>
    <m/>
    <m/>
    <n v="0"/>
    <m/>
    <m/>
    <m/>
    <m/>
    <m/>
    <n v="0"/>
    <m/>
    <m/>
    <m/>
    <m/>
    <m/>
    <n v="0"/>
    <m/>
    <m/>
    <m/>
    <m/>
    <n v="1"/>
    <n v="340000"/>
  </r>
  <r>
    <m/>
    <n v="8"/>
    <n v="8"/>
    <s v="US"/>
    <n v="12"/>
    <s v="US 12"/>
    <s v="3403-66"/>
    <x v="1"/>
    <m/>
    <s v="S"/>
    <s v="MNDOT"/>
    <m/>
    <s v="**AB** - KERKHOVEN TO PENNOCK, OVERLAY (ALTERNATE BID) (PRICE SHOWN IS FOR BITUMINOUS OPTION)"/>
    <n v="59.808999999999997"/>
    <n v="67.364000000000004"/>
    <n v="7.6"/>
    <m/>
    <s v="KANDIYOHI"/>
    <s v="RS"/>
    <s v=" "/>
    <m/>
    <m/>
    <s v="PVTR - PAVEMENT RESURFACE AND REHABILITATION"/>
    <s v="BITUMINOUS OVERLAY"/>
    <s v="NHPP  "/>
    <s v="NHPP"/>
    <m/>
    <m/>
    <n v="1900000"/>
    <n v="0"/>
    <n v="0"/>
    <n v="1520000"/>
    <n v="0"/>
    <n v="1520000"/>
    <n v="0"/>
    <n v="0"/>
    <n v="0"/>
    <n v="0"/>
    <n v="0"/>
    <n v="0"/>
    <n v="0"/>
    <n v="0"/>
    <n v="0"/>
    <n v="0"/>
    <n v="380000"/>
    <n v="0"/>
    <n v="380000"/>
    <n v="0"/>
    <n v="0"/>
    <n v="1900000"/>
    <n v="7600163"/>
    <n v="380000"/>
    <n v="2015"/>
    <m/>
    <m/>
    <m/>
    <m/>
    <m/>
    <s v="YES"/>
    <s v="NO"/>
    <s v="YES"/>
    <s v="7th District"/>
    <s v="NO"/>
    <s v="NO"/>
    <s v="Yes"/>
    <s v="NO"/>
    <n v="0.98"/>
    <n v="1862000"/>
    <s v="Mill and/or overlay"/>
    <n v="1"/>
    <m/>
    <m/>
    <m/>
    <n v="0"/>
    <m/>
    <n v="0.02"/>
    <n v="38000"/>
    <s v="Pavement markings"/>
    <n v="1"/>
    <m/>
    <m/>
    <m/>
    <n v="0"/>
    <m/>
    <m/>
    <m/>
    <m/>
    <m/>
    <n v="0"/>
    <m/>
    <m/>
    <m/>
    <m/>
    <m/>
    <n v="0"/>
    <m/>
    <m/>
    <m/>
    <m/>
    <m/>
    <n v="0"/>
    <m/>
    <m/>
    <m/>
    <m/>
    <m/>
    <n v="0"/>
    <m/>
    <m/>
    <m/>
    <m/>
    <m/>
    <n v="0"/>
    <m/>
    <m/>
    <m/>
    <m/>
    <m/>
    <n v="0"/>
    <m/>
    <m/>
    <m/>
    <m/>
    <n v="1"/>
    <n v="1900000"/>
  </r>
  <r>
    <m/>
    <n v="8"/>
    <n v="8"/>
    <s v="US"/>
    <n v="12"/>
    <s v="US 12"/>
    <s v="3403-68"/>
    <x v="0"/>
    <m/>
    <s v="S"/>
    <s v="MNDOT"/>
    <m/>
    <s v="W. OF US 71 TO E. OF US 71 (WILLMAR), REMOVE AND REPLACE CONCRETE PAVEMENT (TIED TO S.P. 3403-72)"/>
    <n v="75.355999999999995"/>
    <n v="76.289000000000001"/>
    <n v="0.9"/>
    <s v="WILLMAR"/>
    <s v="KANDIYOHI"/>
    <s v="RD"/>
    <s v=" "/>
    <m/>
    <m/>
    <s v="PVTR - PAVEMENT RESURFACE AND REHABILITATION"/>
    <s v="CONCRETE PAVEMENT REHAB"/>
    <s v="SF  "/>
    <s v="SF"/>
    <m/>
    <m/>
    <n v="2700000"/>
    <n v="0"/>
    <n v="0"/>
    <n v="0"/>
    <n v="0"/>
    <n v="0"/>
    <n v="0"/>
    <n v="0"/>
    <n v="0"/>
    <n v="0"/>
    <n v="0"/>
    <n v="0"/>
    <n v="0"/>
    <n v="0"/>
    <n v="0"/>
    <n v="0"/>
    <n v="2700000"/>
    <n v="0"/>
    <n v="2700000"/>
    <n v="0"/>
    <n v="0"/>
    <n v="2700000"/>
    <n v="10224908"/>
    <n v="3580000"/>
    <n v="2014"/>
    <m/>
    <m/>
    <m/>
    <m/>
    <m/>
    <s v="YES"/>
    <s v="NO"/>
    <s v="NO"/>
    <s v="7th District"/>
    <s v="NO"/>
    <s v="NO"/>
    <s v="Yes"/>
    <s v="NO"/>
    <n v="0.91"/>
    <n v="2457000"/>
    <s v="Reconstruction"/>
    <n v="1"/>
    <m/>
    <m/>
    <n v="0.03"/>
    <n v="81000"/>
    <s v="Preservation - Preventive and reactive maintenance"/>
    <n v="0.06"/>
    <n v="162000"/>
    <s v="Drainage and culverts"/>
    <n v="0.6"/>
    <s v="Pavement markings"/>
    <n v="0.4"/>
    <m/>
    <n v="0"/>
    <m/>
    <m/>
    <m/>
    <m/>
    <m/>
    <n v="0"/>
    <m/>
    <m/>
    <m/>
    <m/>
    <m/>
    <n v="0"/>
    <m/>
    <m/>
    <m/>
    <m/>
    <m/>
    <n v="0"/>
    <m/>
    <m/>
    <m/>
    <m/>
    <m/>
    <n v="0"/>
    <m/>
    <m/>
    <m/>
    <m/>
    <m/>
    <n v="0"/>
    <m/>
    <m/>
    <m/>
    <m/>
    <m/>
    <n v="0"/>
    <m/>
    <m/>
    <m/>
    <m/>
    <n v="1"/>
    <n v="2700000"/>
  </r>
  <r>
    <m/>
    <n v="8"/>
    <n v="8"/>
    <s v="US"/>
    <n v="12"/>
    <s v="US 12"/>
    <s v="3403-72"/>
    <x v="0"/>
    <m/>
    <s v="S"/>
    <s v="MNDOT"/>
    <m/>
    <s v="6TH STREET TO LAKELAND AVENUE AND JCT'S OF US 12 &amp; 7TH STREET (WILLMAR), RIGHT TURN LANE &amp; ADA (TIED TO S.P. 3403-68)"/>
    <n v="74.055999999999997"/>
    <n v="74.906999999999996"/>
    <n v="0.9"/>
    <s v="WILLMAR"/>
    <s v="KANDIYOHI"/>
    <s v="SC"/>
    <m/>
    <m/>
    <m/>
    <s v="APPU - APPURTENANCES"/>
    <s v="TURN LANES"/>
    <s v="NHPP  "/>
    <s v="NHPP"/>
    <m/>
    <m/>
    <n v="310000"/>
    <n v="0"/>
    <n v="0"/>
    <n v="248000"/>
    <n v="0"/>
    <n v="248000"/>
    <n v="0"/>
    <n v="0"/>
    <n v="0"/>
    <n v="0"/>
    <n v="0"/>
    <n v="0"/>
    <n v="0"/>
    <n v="0"/>
    <n v="0"/>
    <n v="0"/>
    <n v="62000"/>
    <n v="0"/>
    <n v="62000"/>
    <n v="0"/>
    <n v="0"/>
    <n v="310000"/>
    <n v="10472908"/>
    <n v="3642000"/>
    <n v="2014"/>
    <m/>
    <m/>
    <m/>
    <m/>
    <m/>
    <s v="YES"/>
    <s v="YES"/>
    <s v="NO"/>
    <s v="7th District"/>
    <s v="NO"/>
    <s v="NO"/>
    <s v="Yes"/>
    <s v="NO"/>
    <m/>
    <n v="0"/>
    <m/>
    <m/>
    <m/>
    <m/>
    <m/>
    <n v="0"/>
    <m/>
    <n v="0.14000000000000001"/>
    <n v="43400.000000000007"/>
    <s v="Signals"/>
    <n v="1"/>
    <m/>
    <m/>
    <m/>
    <n v="0"/>
    <m/>
    <m/>
    <m/>
    <m/>
    <m/>
    <n v="0"/>
    <m/>
    <m/>
    <m/>
    <m/>
    <m/>
    <n v="0"/>
    <m/>
    <m/>
    <m/>
    <m/>
    <m/>
    <n v="0"/>
    <m/>
    <m/>
    <m/>
    <m/>
    <n v="0.56999999999999995"/>
    <n v="176699.99999999997"/>
    <s v="Sidewalk"/>
    <n v="0.7"/>
    <s v="ADA improvements - APS"/>
    <m/>
    <n v="0.28999999999999998"/>
    <n v="89900"/>
    <s v="District program"/>
    <n v="1"/>
    <m/>
    <m/>
    <m/>
    <n v="0"/>
    <m/>
    <m/>
    <m/>
    <m/>
    <n v="1"/>
    <n v="310000"/>
  </r>
  <r>
    <m/>
    <n v="8"/>
    <n v="8"/>
    <s v="US"/>
    <n v="12"/>
    <s v="US 12"/>
    <s v="3404-56"/>
    <x v="2"/>
    <m/>
    <s v="S"/>
    <s v="MNDOT"/>
    <m/>
    <s v="E, OF US 71 (WILLMAR) TO KANDIYOHI/MEEKER COUNTY LINE, OVERLAY"/>
    <n v="76.188999999999993"/>
    <n v="88.094999999999999"/>
    <n v="11.9"/>
    <m/>
    <s v="KANDIYOHI"/>
    <s v="RS"/>
    <s v=" "/>
    <m/>
    <m/>
    <s v="PVTR - PAVEMENT RESURFACE AND REHABILITATION"/>
    <s v="BITUMINOUS OVERLAY"/>
    <s v="NHPP  "/>
    <s v="NHPP"/>
    <m/>
    <m/>
    <n v="1800000"/>
    <n v="0"/>
    <n v="0"/>
    <n v="1440000"/>
    <n v="0"/>
    <n v="1440000"/>
    <n v="0"/>
    <n v="0"/>
    <n v="0"/>
    <n v="0"/>
    <n v="0"/>
    <n v="0"/>
    <n v="0"/>
    <n v="0"/>
    <n v="0"/>
    <n v="0"/>
    <n v="360000"/>
    <n v="0"/>
    <n v="360000"/>
    <n v="0"/>
    <n v="0"/>
    <n v="1800000"/>
    <n v="9211134"/>
    <n v="900000"/>
    <n v="2016"/>
    <m/>
    <m/>
    <m/>
    <m/>
    <m/>
    <s v="NO"/>
    <s v="YES"/>
    <s v="NO"/>
    <s v="7th District"/>
    <s v="NO"/>
    <s v="NO"/>
    <s v="Yes"/>
    <s v="NO"/>
    <n v="0.84"/>
    <n v="1512000"/>
    <s v="Mill and/or overlay"/>
    <n v="1"/>
    <m/>
    <m/>
    <m/>
    <n v="0"/>
    <m/>
    <n v="0.06"/>
    <n v="108000"/>
    <s v="Pavement markings"/>
    <n v="1"/>
    <m/>
    <m/>
    <m/>
    <n v="0"/>
    <m/>
    <m/>
    <m/>
    <m/>
    <m/>
    <n v="0"/>
    <m/>
    <m/>
    <m/>
    <m/>
    <m/>
    <n v="0"/>
    <m/>
    <m/>
    <m/>
    <m/>
    <m/>
    <n v="0"/>
    <m/>
    <m/>
    <m/>
    <m/>
    <n v="0.1"/>
    <n v="180000"/>
    <s v="ADA improvements - curb"/>
    <n v="1"/>
    <m/>
    <m/>
    <m/>
    <n v="0"/>
    <m/>
    <m/>
    <m/>
    <m/>
    <m/>
    <n v="0"/>
    <m/>
    <m/>
    <m/>
    <m/>
    <n v="0.99999999999999989"/>
    <n v="1800000"/>
  </r>
  <r>
    <m/>
    <n v="8"/>
    <n v="8"/>
    <s v="MN"/>
    <n v="23"/>
    <s v="MN 23"/>
    <s v="3405-89"/>
    <x v="9"/>
    <m/>
    <s v="S"/>
    <s v="MNDOT"/>
    <m/>
    <s v="CLARA CITY TO KANDIYOHI CSAH 5 (WILLMAR), OVERLAY"/>
    <n v="125.86199999999999"/>
    <n v="141.232"/>
    <n v="15.4"/>
    <m/>
    <s v="KANDIYOHI"/>
    <s v="RS"/>
    <m/>
    <m/>
    <m/>
    <s v="PVTR - PAVEMENT RESURFACE AND REHABILITATION"/>
    <s v="BITUMINOUS OVERLAY"/>
    <s v="NHPP  "/>
    <s v="NHPP"/>
    <m/>
    <m/>
    <n v="2100000"/>
    <n v="0"/>
    <n v="0"/>
    <n v="1680000"/>
    <n v="0"/>
    <n v="1680000"/>
    <n v="0"/>
    <n v="0"/>
    <n v="0"/>
    <n v="0"/>
    <n v="0"/>
    <n v="0"/>
    <n v="0"/>
    <n v="0"/>
    <n v="0"/>
    <n v="0"/>
    <n v="420000"/>
    <n v="0"/>
    <n v="420000"/>
    <n v="0"/>
    <n v="0"/>
    <n v="2100000"/>
    <n v="13236000"/>
    <n v="3912000"/>
    <n v="2017"/>
    <m/>
    <m/>
    <m/>
    <m/>
    <m/>
    <s v="NO"/>
    <s v="YES"/>
    <s v="NO"/>
    <s v="7th District"/>
    <s v="NO"/>
    <s v="NO"/>
    <s v="Yes"/>
    <s v="NO"/>
    <n v="0.91"/>
    <n v="1911000"/>
    <s v="Mill and/or overlay"/>
    <n v="1"/>
    <m/>
    <m/>
    <m/>
    <n v="0"/>
    <m/>
    <n v="7.0000000000000007E-2"/>
    <n v="147000"/>
    <s v="Pavement markings"/>
    <n v="1"/>
    <m/>
    <m/>
    <m/>
    <n v="0"/>
    <m/>
    <m/>
    <m/>
    <m/>
    <m/>
    <n v="0"/>
    <m/>
    <m/>
    <m/>
    <m/>
    <m/>
    <n v="0"/>
    <m/>
    <m/>
    <m/>
    <m/>
    <m/>
    <n v="0"/>
    <m/>
    <m/>
    <m/>
    <m/>
    <n v="0.02"/>
    <n v="42000"/>
    <s v="ADA improvements - curb"/>
    <n v="1"/>
    <m/>
    <m/>
    <m/>
    <n v="0"/>
    <m/>
    <m/>
    <m/>
    <m/>
    <m/>
    <n v="0"/>
    <m/>
    <m/>
    <m/>
    <m/>
    <n v="1"/>
    <n v="2100000"/>
  </r>
  <r>
    <m/>
    <n v="8"/>
    <n v="8"/>
    <s v="MN"/>
    <n v="9"/>
    <s v="MN 9"/>
    <s v="3406-17"/>
    <x v="2"/>
    <m/>
    <s v="S"/>
    <s v="MNDOT"/>
    <m/>
    <s v="NEW LONDON TO SUNBURG, MILL &amp; OVERLAY FROM NEW LONDON TO US 71 AND OVERLAY FROM US 71 TO SUNBURG "/>
    <n v="0.92300000000000004"/>
    <n v="17.648"/>
    <n v="16.8"/>
    <m/>
    <s v="KANDIYOHI"/>
    <s v="RS"/>
    <s v=" "/>
    <m/>
    <m/>
    <s v="PVTR - PAVEMENT RESURFACE AND REHABILITATION"/>
    <s v="SURFACING"/>
    <s v="STP 5K &gt;  "/>
    <s v="STP 5K &gt;"/>
    <m/>
    <m/>
    <n v="2700000"/>
    <n v="0"/>
    <n v="0"/>
    <n v="2160000"/>
    <n v="0"/>
    <n v="2160000"/>
    <n v="0"/>
    <n v="0"/>
    <n v="0"/>
    <n v="0"/>
    <n v="0"/>
    <n v="0"/>
    <n v="0"/>
    <n v="0"/>
    <n v="0"/>
    <n v="0"/>
    <n v="540000"/>
    <n v="0"/>
    <n v="540000"/>
    <n v="0"/>
    <n v="0"/>
    <n v="2700000"/>
    <n v="7771134"/>
    <n v="540000"/>
    <n v="2016"/>
    <m/>
    <m/>
    <m/>
    <m/>
    <m/>
    <s v="NO"/>
    <s v="YES"/>
    <s v="NO"/>
    <s v="7th District"/>
    <s v="NO"/>
    <s v="NO"/>
    <s v="Yes"/>
    <s v="NO"/>
    <n v="0.81"/>
    <n v="2187000"/>
    <s v="Mill and/or overlay"/>
    <n v="1"/>
    <m/>
    <m/>
    <m/>
    <n v="0"/>
    <m/>
    <n v="0.17"/>
    <n v="459000.00000000006"/>
    <s v="Guardrails and fencing"/>
    <n v="0.6"/>
    <s v="Pavement markings"/>
    <n v="0.4"/>
    <m/>
    <n v="0"/>
    <m/>
    <m/>
    <m/>
    <m/>
    <m/>
    <n v="0"/>
    <m/>
    <m/>
    <m/>
    <m/>
    <m/>
    <n v="0"/>
    <m/>
    <m/>
    <m/>
    <m/>
    <m/>
    <n v="0"/>
    <m/>
    <m/>
    <m/>
    <m/>
    <n v="0.02"/>
    <n v="54000"/>
    <s v="ADA improvements - curb"/>
    <n v="1"/>
    <m/>
    <m/>
    <m/>
    <n v="0"/>
    <m/>
    <m/>
    <m/>
    <m/>
    <m/>
    <n v="0"/>
    <m/>
    <m/>
    <m/>
    <m/>
    <n v="1"/>
    <n v="2700000"/>
  </r>
  <r>
    <m/>
    <n v="8"/>
    <n v="8"/>
    <s v="US"/>
    <n v="71"/>
    <s v="US 71"/>
    <s v="3411-89"/>
    <x v="9"/>
    <m/>
    <s v="S"/>
    <s v="MNDOT"/>
    <m/>
    <s v="S JCT MN 23 (WILLMAR BY-PASS) TO MN 971A (BEG 4-LANE) - ALSO INCLUDES WORK ON MN 23 FROM 0.25 MI W CSAH 5 TO 2.6 MI E CSAH 5 R.P 141+00.232 TO 144+00.107, OVERLAY"/>
    <n v="120.941"/>
    <n v="126.13200000000001"/>
    <n v="8.3000000000000007"/>
    <m/>
    <s v="KANDIYOHI"/>
    <s v="RS"/>
    <m/>
    <m/>
    <m/>
    <s v="PVTR - PAVEMENT RESURFACE AND REHABILITATION"/>
    <s v="BITUMINOUS OVERLAY"/>
    <s v="NHPP  "/>
    <s v="NHPP"/>
    <m/>
    <m/>
    <n v="1600000"/>
    <n v="0"/>
    <n v="0"/>
    <n v="1280000"/>
    <n v="0"/>
    <n v="1280000"/>
    <n v="0"/>
    <n v="0"/>
    <n v="0"/>
    <n v="0"/>
    <n v="0"/>
    <n v="0"/>
    <n v="0"/>
    <n v="0"/>
    <n v="0"/>
    <n v="0"/>
    <n v="320000"/>
    <n v="0"/>
    <n v="320000"/>
    <n v="0"/>
    <n v="0"/>
    <n v="1600000"/>
    <n v="18264000"/>
    <n v="7072000"/>
    <n v="2017"/>
    <m/>
    <m/>
    <m/>
    <m/>
    <m/>
    <s v="NO"/>
    <s v="NO"/>
    <s v="NO"/>
    <s v="7th District"/>
    <s v="NO"/>
    <s v="NO"/>
    <s v="Yes"/>
    <s v="NO"/>
    <n v="0.94"/>
    <n v="1504000"/>
    <s v="Mill and/or overlay"/>
    <n v="1"/>
    <m/>
    <m/>
    <m/>
    <n v="0"/>
    <m/>
    <n v="0.06"/>
    <n v="96000"/>
    <s v="Pavement markings"/>
    <n v="1"/>
    <m/>
    <m/>
    <m/>
    <n v="0"/>
    <m/>
    <m/>
    <m/>
    <m/>
    <m/>
    <n v="0"/>
    <m/>
    <m/>
    <m/>
    <m/>
    <m/>
    <n v="0"/>
    <m/>
    <m/>
    <m/>
    <m/>
    <m/>
    <n v="0"/>
    <m/>
    <m/>
    <m/>
    <m/>
    <m/>
    <n v="0"/>
    <m/>
    <m/>
    <m/>
    <m/>
    <m/>
    <n v="0"/>
    <m/>
    <m/>
    <m/>
    <m/>
    <m/>
    <n v="0"/>
    <m/>
    <m/>
    <m/>
    <m/>
    <n v="1"/>
    <n v="1600000"/>
  </r>
  <r>
    <m/>
    <n v="2"/>
    <n v="2"/>
    <s v="MN"/>
    <n v="11"/>
    <s v="MN 11"/>
    <s v="3501-14"/>
    <x v="1"/>
    <s v="2014-26"/>
    <s v="S"/>
    <s v="MNDOT"/>
    <m/>
    <s v="**ELLA** FROM THE E END BR #35011 (OVER THE RED RIVER) TO KARLSTAD, RESURFACING &amp; EAST OF DONALDSON, REPL BR #8513 &amp; BR #8514 &amp; APPROACHES"/>
    <s v="000+00.100"/>
    <s v="028+00.604"/>
    <n v="28.5"/>
    <s v="KARLSTAD"/>
    <s v="KITTSON"/>
    <s v="RS"/>
    <s v="1-P "/>
    <s v="1-P"/>
    <m/>
    <s v="PVTR - PAVEMENT RESURFACE AND REHABILITATION"/>
    <s v="MILL AND INLAY"/>
    <s v="NHPP  "/>
    <s v="NHPP"/>
    <m/>
    <m/>
    <n v="6000000"/>
    <n v="0"/>
    <n v="0"/>
    <n v="4800000"/>
    <n v="0"/>
    <n v="4800000"/>
    <n v="0"/>
    <n v="0"/>
    <n v="0"/>
    <n v="0"/>
    <n v="0"/>
    <n v="0"/>
    <n v="0"/>
    <n v="0"/>
    <n v="0"/>
    <n v="0"/>
    <n v="1200000"/>
    <n v="0"/>
    <n v="1200000"/>
    <n v="0"/>
    <n v="0"/>
    <n v="6000000"/>
    <n v="48083198"/>
    <n v="19786494"/>
    <n v="2015"/>
    <m/>
    <m/>
    <m/>
    <m/>
    <m/>
    <m/>
    <s v="NO"/>
    <s v="NO"/>
    <s v="7th District"/>
    <s v="YES"/>
    <s v="NO"/>
    <s v="Yes"/>
    <s v="NO"/>
    <n v="0.73799999999999999"/>
    <n v="4428000"/>
    <m/>
    <m/>
    <m/>
    <m/>
    <n v="8.3000000000000004E-2"/>
    <n v="498000"/>
    <m/>
    <n v="0.115"/>
    <n v="690000"/>
    <m/>
    <m/>
    <m/>
    <m/>
    <n v="3.2000000000000001E-2"/>
    <n v="192000"/>
    <m/>
    <m/>
    <m/>
    <m/>
    <n v="0"/>
    <n v="0"/>
    <m/>
    <m/>
    <m/>
    <m/>
    <n v="0"/>
    <n v="0"/>
    <m/>
    <m/>
    <m/>
    <m/>
    <n v="2.3E-2"/>
    <n v="138000"/>
    <m/>
    <m/>
    <m/>
    <m/>
    <n v="9.0000000000000011E-3"/>
    <n v="54000.000000000007"/>
    <m/>
    <m/>
    <m/>
    <m/>
    <n v="0"/>
    <n v="0"/>
    <m/>
    <m/>
    <m/>
    <m/>
    <n v="0"/>
    <n v="0"/>
    <m/>
    <m/>
    <m/>
    <m/>
    <n v="1"/>
    <n v="6000000"/>
  </r>
  <r>
    <m/>
    <n v="2"/>
    <n v="2"/>
    <s v="US"/>
    <n v="59"/>
    <s v="US 59"/>
    <s v="3505-17"/>
    <x v="0"/>
    <s v="2014-25"/>
    <s v="S"/>
    <s v="MNDOT"/>
    <m/>
    <s v="NORTH OF LANCASTER, REPL BR #6877 WITH BR #35017 &amp; APPROACHES"/>
    <s v="419+00.158"/>
    <s v="419+00.158"/>
    <n v="0"/>
    <s v="LANCASTER"/>
    <s v="KITTSON"/>
    <s v="BR"/>
    <s v="1-B "/>
    <s v="1-B"/>
    <m/>
    <s v="BRPC - BRIDGE REPLACEMENT OR CONSTRUCTION"/>
    <s v="BRIDGE REPLACEMENT"/>
    <s v="STP&lt;5K  "/>
    <s v="STP&lt;5K"/>
    <m/>
    <m/>
    <n v="1250000"/>
    <n v="0"/>
    <n v="0"/>
    <n v="1000000"/>
    <n v="0"/>
    <n v="1000000"/>
    <n v="0"/>
    <n v="0"/>
    <n v="0"/>
    <n v="0"/>
    <n v="0"/>
    <n v="0"/>
    <n v="0"/>
    <n v="0"/>
    <n v="0"/>
    <n v="0"/>
    <n v="250000"/>
    <n v="0"/>
    <n v="250000"/>
    <n v="0"/>
    <n v="0"/>
    <n v="1250000"/>
    <n v="7284882"/>
    <n v="2440000"/>
    <n v="2014"/>
    <m/>
    <m/>
    <m/>
    <m/>
    <m/>
    <m/>
    <s v="NO"/>
    <s v="NO"/>
    <s v="7th District"/>
    <s v="NO"/>
    <s v="NO"/>
    <s v="Yes"/>
    <s v="NO"/>
    <n v="0"/>
    <n v="0"/>
    <m/>
    <m/>
    <m/>
    <m/>
    <n v="0.92900000000000005"/>
    <n v="1161250"/>
    <m/>
    <n v="0"/>
    <n v="0"/>
    <m/>
    <m/>
    <m/>
    <m/>
    <n v="0"/>
    <n v="0"/>
    <m/>
    <m/>
    <m/>
    <m/>
    <n v="0"/>
    <n v="0"/>
    <m/>
    <m/>
    <m/>
    <m/>
    <n v="0"/>
    <n v="0"/>
    <m/>
    <m/>
    <m/>
    <m/>
    <n v="3.5000000000000003E-2"/>
    <n v="43750.000000000007"/>
    <m/>
    <m/>
    <m/>
    <m/>
    <n v="3.6000000000000004E-2"/>
    <n v="45000.000000000007"/>
    <m/>
    <m/>
    <m/>
    <m/>
    <n v="0"/>
    <n v="0"/>
    <m/>
    <m/>
    <m/>
    <m/>
    <n v="0"/>
    <n v="0"/>
    <m/>
    <m/>
    <m/>
    <m/>
    <n v="1"/>
    <n v="1250000"/>
  </r>
  <r>
    <m/>
    <n v="2"/>
    <n v="2"/>
    <s v="US"/>
    <n v="59"/>
    <s v="US 59"/>
    <s v="3505-19"/>
    <x v="9"/>
    <s v="2016-27"/>
    <s v="S"/>
    <s v="MNDOT"/>
    <m/>
    <s v="FROM MN175 TO CANADIAN BORDER, RESURFACING"/>
    <s v="411+00.037"/>
    <s v="428+00.457"/>
    <n v="17.399999999999999"/>
    <m/>
    <s v="KITTSON"/>
    <s v="RS"/>
    <s v="1-P "/>
    <s v="1-P"/>
    <m/>
    <s v="PVTR - PAVEMENT RESURFACE AND REHABILITATION"/>
    <s v="MILL AND OVERLAY"/>
    <s v="STP&lt;5K  "/>
    <s v="STP&lt;5K"/>
    <m/>
    <m/>
    <n v="4340000"/>
    <n v="0"/>
    <n v="0"/>
    <n v="3472000"/>
    <n v="0"/>
    <n v="3472000"/>
    <n v="0"/>
    <n v="0"/>
    <n v="0"/>
    <n v="0"/>
    <n v="0"/>
    <n v="0"/>
    <n v="0"/>
    <n v="0"/>
    <n v="0"/>
    <n v="0"/>
    <n v="868000"/>
    <n v="0"/>
    <n v="868000"/>
    <n v="0"/>
    <n v="0"/>
    <n v="4340000"/>
    <n v="11891400"/>
    <n v="2025778"/>
    <n v="2017"/>
    <m/>
    <m/>
    <m/>
    <m/>
    <m/>
    <m/>
    <s v="NO"/>
    <s v="NO"/>
    <s v="7th District"/>
    <s v="NO"/>
    <s v="NO"/>
    <s v="Yes"/>
    <s v="NO"/>
    <n v="0.82099999999999995"/>
    <n v="3563140"/>
    <m/>
    <m/>
    <m/>
    <m/>
    <n v="0"/>
    <n v="0"/>
    <m/>
    <n v="0.115"/>
    <n v="499100"/>
    <m/>
    <m/>
    <m/>
    <m/>
    <n v="3.2000000000000001E-2"/>
    <n v="138880"/>
    <m/>
    <m/>
    <m/>
    <m/>
    <n v="0"/>
    <n v="0"/>
    <m/>
    <m/>
    <m/>
    <m/>
    <n v="0"/>
    <n v="0"/>
    <m/>
    <m/>
    <m/>
    <m/>
    <n v="2.3E-2"/>
    <n v="99820"/>
    <m/>
    <m/>
    <m/>
    <m/>
    <n v="9.0000000000000011E-3"/>
    <n v="39060.000000000007"/>
    <m/>
    <m/>
    <m/>
    <m/>
    <n v="0"/>
    <n v="0"/>
    <m/>
    <m/>
    <m/>
    <m/>
    <n v="0"/>
    <n v="0"/>
    <m/>
    <m/>
    <m/>
    <m/>
    <n v="1"/>
    <n v="4340000"/>
  </r>
  <r>
    <m/>
    <n v="2"/>
    <n v="2"/>
    <s v="US"/>
    <n v="75"/>
    <s v="US 75"/>
    <s v="3509-24"/>
    <x v="2"/>
    <s v="2016-S12"/>
    <s v="S"/>
    <s v="MNDOT"/>
    <m/>
    <s v="**FMP** NORTH OF HUMBOLT - RAISE HIGHWAY GRADE &amp; REPL BR #1727 &amp; APPROACHES"/>
    <s v="404+00.600"/>
    <s v="404+00.600"/>
    <n v="0"/>
    <m/>
    <s v="KITTSON"/>
    <s v="RD"/>
    <s v="1-P "/>
    <s v="1-P"/>
    <m/>
    <s v="GSBR - GRADE, SURFACE AND BRIDGE"/>
    <s v="GRADE AND BRIDGE"/>
    <s v="BF  "/>
    <s v="BF"/>
    <m/>
    <m/>
    <n v="750000"/>
    <n v="0"/>
    <n v="0"/>
    <n v="0"/>
    <n v="0"/>
    <n v="0"/>
    <n v="0"/>
    <n v="0"/>
    <n v="0"/>
    <n v="0"/>
    <n v="0"/>
    <n v="0"/>
    <n v="0"/>
    <n v="0"/>
    <n v="0"/>
    <n v="0"/>
    <n v="0"/>
    <n v="0"/>
    <n v="0"/>
    <n v="750000"/>
    <n v="0"/>
    <n v="750000"/>
    <n v="33891451"/>
    <n v="15424294"/>
    <n v="2016"/>
    <m/>
    <m/>
    <s v="FMP"/>
    <m/>
    <m/>
    <m/>
    <s v="NO"/>
    <s v="NO"/>
    <s v="7th District"/>
    <s v="NO"/>
    <s v="NO"/>
    <s v="NO"/>
    <s v="NO"/>
    <n v="0"/>
    <n v="0"/>
    <m/>
    <m/>
    <m/>
    <m/>
    <n v="0.92900000000000005"/>
    <n v="696750"/>
    <m/>
    <n v="0"/>
    <n v="0"/>
    <m/>
    <m/>
    <m/>
    <m/>
    <n v="0"/>
    <n v="0"/>
    <m/>
    <m/>
    <m/>
    <m/>
    <n v="0"/>
    <n v="0"/>
    <m/>
    <m/>
    <m/>
    <m/>
    <n v="0"/>
    <n v="0"/>
    <m/>
    <m/>
    <m/>
    <m/>
    <n v="3.5000000000000003E-2"/>
    <n v="26250.000000000004"/>
    <m/>
    <m/>
    <m/>
    <m/>
    <n v="3.6000000000000004E-2"/>
    <n v="27000.000000000004"/>
    <m/>
    <m/>
    <m/>
    <m/>
    <n v="0"/>
    <n v="0"/>
    <m/>
    <m/>
    <m/>
    <m/>
    <n v="0"/>
    <n v="0"/>
    <m/>
    <m/>
    <m/>
    <m/>
    <n v="1"/>
    <n v="750000"/>
  </r>
  <r>
    <m/>
    <n v="2"/>
    <n v="2"/>
    <s v="MN"/>
    <n v="175"/>
    <s v="MN 175"/>
    <s v="3516-17"/>
    <x v="2"/>
    <s v="2016-25"/>
    <s v="S"/>
    <s v="MNDOT"/>
    <m/>
    <s v="FROM HALLOCK TO LAKE BRONSON, REPL BR #35506 WITH BR #35014, BR #35507 WITH BR #35015 AND BR #35508 WITH BR #35016 &amp; APPROCAHES"/>
    <n v="0"/>
    <n v="0"/>
    <n v="0"/>
    <m/>
    <s v="KITTSON"/>
    <s v="BR"/>
    <s v="1-B "/>
    <s v="1-B"/>
    <m/>
    <s v="BRPC - BRIDGE REPLACEMENT OR CONSTRUCTION"/>
    <s v="BRIDGE REPLACEMENT"/>
    <s v="STP&lt;5K  "/>
    <s v="STP&lt;5K"/>
    <m/>
    <m/>
    <n v="3000000"/>
    <n v="0"/>
    <n v="0"/>
    <n v="2400000"/>
    <n v="0"/>
    <n v="2400000"/>
    <n v="0"/>
    <n v="0"/>
    <n v="0"/>
    <n v="0"/>
    <n v="0"/>
    <n v="0"/>
    <n v="0"/>
    <n v="0"/>
    <n v="0"/>
    <n v="0"/>
    <n v="600000"/>
    <n v="0"/>
    <n v="600000"/>
    <n v="0"/>
    <n v="0"/>
    <n v="3000000"/>
    <n v="12757804"/>
    <n v="1395000"/>
    <n v="2016"/>
    <m/>
    <m/>
    <m/>
    <m/>
    <m/>
    <m/>
    <s v="NO"/>
    <s v="NO"/>
    <s v="7th District"/>
    <s v="NO"/>
    <s v="NO"/>
    <s v="Yes"/>
    <s v="NO"/>
    <n v="0"/>
    <n v="0"/>
    <m/>
    <m/>
    <m/>
    <m/>
    <n v="0.92900000000000005"/>
    <n v="2787000"/>
    <m/>
    <n v="0"/>
    <n v="0"/>
    <m/>
    <m/>
    <m/>
    <m/>
    <n v="0"/>
    <n v="0"/>
    <m/>
    <m/>
    <m/>
    <m/>
    <n v="0"/>
    <n v="0"/>
    <m/>
    <m/>
    <m/>
    <m/>
    <n v="0"/>
    <n v="0"/>
    <m/>
    <m/>
    <m/>
    <m/>
    <n v="3.5000000000000003E-2"/>
    <n v="105000.00000000001"/>
    <m/>
    <m/>
    <m/>
    <m/>
    <n v="3.6000000000000004E-2"/>
    <n v="108000.00000000001"/>
    <m/>
    <m/>
    <m/>
    <m/>
    <n v="0"/>
    <n v="0"/>
    <m/>
    <m/>
    <m/>
    <m/>
    <n v="0"/>
    <n v="0"/>
    <m/>
    <m/>
    <m/>
    <m/>
    <n v="1"/>
    <n v="3000000"/>
  </r>
  <r>
    <m/>
    <n v="2"/>
    <n v="2"/>
    <s v="MN"/>
    <n v="175"/>
    <s v="MN 175"/>
    <s v="3516-19"/>
    <x v="0"/>
    <s v="2014-23"/>
    <s v="S"/>
    <s v="MNDOT"/>
    <m/>
    <s v="3.4 MI. E. OF JCT US75 &amp; 3.7 MI. E. OF JCT US75, REPL BR #35509 WITH BR #35003 &amp; BR #35510 WITH BR #35004 &amp; APPROACHES"/>
    <n v="0"/>
    <n v="0"/>
    <n v="0"/>
    <m/>
    <s v="KITTSON"/>
    <s v="BR"/>
    <s v="1-B "/>
    <s v="1-B"/>
    <m/>
    <s v="BRPC - BRIDGE REPLACEMENT OR CONSTRUCTION"/>
    <s v="BRIDGE REPLACEMENT"/>
    <s v="SF  "/>
    <s v="SF"/>
    <m/>
    <m/>
    <n v="2190000"/>
    <n v="0"/>
    <n v="0"/>
    <n v="0"/>
    <n v="0"/>
    <n v="0"/>
    <n v="0"/>
    <n v="0"/>
    <n v="0"/>
    <n v="0"/>
    <n v="0"/>
    <n v="0"/>
    <n v="0"/>
    <n v="0"/>
    <n v="0"/>
    <n v="0"/>
    <n v="2190000"/>
    <n v="0"/>
    <n v="2190000"/>
    <n v="0"/>
    <n v="0"/>
    <n v="2190000"/>
    <n v="6284882"/>
    <n v="2190000"/>
    <n v="2014"/>
    <m/>
    <m/>
    <m/>
    <m/>
    <m/>
    <m/>
    <s v="NO"/>
    <s v="NO"/>
    <s v="7th District"/>
    <s v="NO"/>
    <s v="NO"/>
    <s v="Yes"/>
    <s v="NO"/>
    <n v="0"/>
    <n v="0"/>
    <m/>
    <m/>
    <m/>
    <m/>
    <n v="0.92900000000000005"/>
    <n v="2034510"/>
    <m/>
    <n v="0"/>
    <n v="0"/>
    <m/>
    <m/>
    <m/>
    <m/>
    <n v="0"/>
    <n v="0"/>
    <m/>
    <m/>
    <m/>
    <m/>
    <n v="0"/>
    <n v="0"/>
    <m/>
    <m/>
    <m/>
    <m/>
    <n v="0"/>
    <n v="0"/>
    <m/>
    <m/>
    <m/>
    <m/>
    <n v="3.5000000000000003E-2"/>
    <n v="76650.000000000015"/>
    <m/>
    <m/>
    <m/>
    <m/>
    <n v="3.6000000000000004E-2"/>
    <n v="78840.000000000015"/>
    <m/>
    <m/>
    <m/>
    <m/>
    <n v="0"/>
    <n v="0"/>
    <m/>
    <m/>
    <m/>
    <m/>
    <n v="0"/>
    <n v="0"/>
    <m/>
    <m/>
    <m/>
    <m/>
    <n v="1"/>
    <n v="2190000"/>
  </r>
  <r>
    <m/>
    <n v="1"/>
    <n v="2"/>
    <s v="MN"/>
    <n v="11"/>
    <s v="MN 11"/>
    <s v="3604-73"/>
    <x v="1"/>
    <s v="2015-32"/>
    <s v="S"/>
    <s v="MNDOT"/>
    <m/>
    <s v="**ELLA**  FROM LOMAN TO PELLAND, RECONDITIONING (DESIGNED BY DIST 2, FUNDED BY ATP 1 UNDER SP 3604-73M, $6,636,000)"/>
    <s v="175+00.422"/>
    <s v="186+00.822"/>
    <n v="11.4"/>
    <m/>
    <s v="KOOCHICHING"/>
    <s v="RD"/>
    <s v="1-P "/>
    <s v="1-P"/>
    <m/>
    <s v="GRSU - GRADE AND SURFACE"/>
    <s v="MILL AND OVERLAY"/>
    <s v="  "/>
    <m/>
    <m/>
    <m/>
    <n v="0"/>
    <n v="0"/>
    <n v="0"/>
    <n v="0"/>
    <n v="0"/>
    <n v="0"/>
    <n v="0"/>
    <n v="0"/>
    <n v="0"/>
    <n v="0"/>
    <n v="0"/>
    <n v="0"/>
    <n v="0"/>
    <n v="0"/>
    <n v="0"/>
    <n v="0"/>
    <n v="0"/>
    <n v="0"/>
    <n v="0"/>
    <n v="0"/>
    <n v="0"/>
    <n v="0"/>
    <n v="24233835"/>
    <n v="4672600"/>
    <n v="2015"/>
    <m/>
    <s v="Added on 7/9/12. Funding from ATP 1, SP 3604-73M"/>
    <m/>
    <m/>
    <m/>
    <m/>
    <s v="NO"/>
    <s v="NO"/>
    <s v="8th District"/>
    <s v="YES"/>
    <s v="NO"/>
    <s v="NO"/>
    <s v="NO"/>
    <n v="0.82099999999999995"/>
    <n v="0"/>
    <m/>
    <m/>
    <m/>
    <m/>
    <n v="0"/>
    <n v="0"/>
    <m/>
    <n v="0.115"/>
    <n v="0"/>
    <m/>
    <m/>
    <m/>
    <m/>
    <n v="3.2000000000000001E-2"/>
    <n v="0"/>
    <m/>
    <m/>
    <m/>
    <m/>
    <n v="0"/>
    <n v="0"/>
    <m/>
    <m/>
    <m/>
    <m/>
    <n v="0"/>
    <n v="0"/>
    <m/>
    <m/>
    <m/>
    <m/>
    <n v="2.3E-2"/>
    <n v="0"/>
    <m/>
    <m/>
    <m/>
    <m/>
    <n v="9.0000000000000011E-3"/>
    <n v="0"/>
    <m/>
    <m/>
    <m/>
    <m/>
    <n v="0"/>
    <n v="0"/>
    <m/>
    <m/>
    <m/>
    <m/>
    <n v="0"/>
    <n v="0"/>
    <m/>
    <m/>
    <m/>
    <m/>
    <n v="1"/>
    <n v="0"/>
  </r>
  <r>
    <m/>
    <n v="1"/>
    <n v="2"/>
    <s v="MN"/>
    <n v="11"/>
    <s v="MN 11"/>
    <s v="3604-73M"/>
    <x v="1"/>
    <m/>
    <s v="S"/>
    <s v="MNDOT"/>
    <m/>
    <s v="**ELLA**DISTRICT 2 PROJECT -  0.7 MI W OF LOMAN TO W JCT TH 71 (PELLAND) (DESIGNED BY DIST. 2 SP 3604-73 AND FUNDED BY ATP 1 UNDER 3604-73M FOR $2,143,000 STPM, $4,493,000 STATE MATCH &amp; $246,000 RW) (TIED 3604-73)"/>
    <s v="175+00.422"/>
    <s v="186+00.822"/>
    <n v="11.4"/>
    <m/>
    <s v="KOOCHICHING"/>
    <s v="RD"/>
    <s v="1-P "/>
    <s v="1-P"/>
    <m/>
    <s v="GRSU - GRADE AND SURFACE"/>
    <s v="MILL AND OVERLAY"/>
    <s v="STP5K CBI "/>
    <s v="STP5K"/>
    <s v="CBI"/>
    <m/>
    <n v="6636000"/>
    <n v="0"/>
    <n v="2143000"/>
    <n v="3165800"/>
    <n v="0"/>
    <n v="5308800"/>
    <n v="0"/>
    <m/>
    <n v="0"/>
    <n v="0"/>
    <n v="0"/>
    <n v="0"/>
    <n v="0"/>
    <n v="0"/>
    <n v="0"/>
    <n v="0"/>
    <n v="1327200"/>
    <n v="0"/>
    <n v="1327200"/>
    <n v="0"/>
    <n v="0"/>
    <n v="6636000"/>
    <n v="29296412"/>
    <n v="9426200"/>
    <n v="2015"/>
    <m/>
    <m/>
    <m/>
    <m/>
    <m/>
    <s v="NO"/>
    <s v="NO"/>
    <s v="NO"/>
    <s v="8th District"/>
    <s v="YES"/>
    <s v="NO"/>
    <s v="Yes"/>
    <s v="NO"/>
    <n v="0.7"/>
    <n v="4645200"/>
    <m/>
    <m/>
    <m/>
    <m/>
    <m/>
    <n v="0"/>
    <m/>
    <n v="0.22"/>
    <n v="1459920"/>
    <s v="Drainage and culverts"/>
    <m/>
    <m/>
    <m/>
    <m/>
    <n v="0"/>
    <m/>
    <m/>
    <m/>
    <m/>
    <m/>
    <n v="0"/>
    <m/>
    <m/>
    <m/>
    <m/>
    <m/>
    <n v="0"/>
    <m/>
    <m/>
    <m/>
    <m/>
    <m/>
    <n v="0"/>
    <m/>
    <m/>
    <m/>
    <m/>
    <m/>
    <n v="0"/>
    <m/>
    <m/>
    <m/>
    <m/>
    <n v="0.08"/>
    <n v="530880"/>
    <m/>
    <m/>
    <m/>
    <m/>
    <m/>
    <n v="0"/>
    <m/>
    <m/>
    <m/>
    <m/>
    <n v="0.99999999999999989"/>
    <n v="6636000"/>
  </r>
  <r>
    <m/>
    <n v="1"/>
    <n v="1"/>
    <s v="MN"/>
    <n v="11"/>
    <s v="MN 11"/>
    <s v="3606-57"/>
    <x v="9"/>
    <m/>
    <s v="S"/>
    <s v="MNDOT"/>
    <m/>
    <s v="IN INTERNATIONAL FALLS, 0.25 MI E CSAH 332 TO E. SHORE DOVE ISLAND. MILL &amp; OVERLAY (ASSOC. SP 3606-36004)"/>
    <s v="198+00.754"/>
    <s v="210+00.015"/>
    <n v="11.3"/>
    <s v="INTERNATIONAL FALLS"/>
    <s v="KOOCHICHING"/>
    <s v="RS"/>
    <m/>
    <m/>
    <m/>
    <s v="PVTR - PAVEMENT RESURFACE AND REHABILITATION"/>
    <s v="STORM SEWER REPAIR"/>
    <s v="SF  "/>
    <s v="SF"/>
    <m/>
    <m/>
    <n v="5500000"/>
    <m/>
    <m/>
    <m/>
    <m/>
    <n v="0"/>
    <m/>
    <m/>
    <m/>
    <n v="0"/>
    <m/>
    <m/>
    <m/>
    <n v="0"/>
    <m/>
    <m/>
    <n v="5500000"/>
    <m/>
    <n v="5500000"/>
    <m/>
    <n v="0"/>
    <n v="5500000"/>
    <n v="25728499.699999999"/>
    <n v="9893233.3000000007"/>
    <n v="2017"/>
    <m/>
    <m/>
    <m/>
    <m/>
    <m/>
    <m/>
    <s v="NO"/>
    <s v="NO"/>
    <s v="8th District"/>
    <s v="NO"/>
    <s v="NO"/>
    <s v="Yes"/>
    <s v="NO"/>
    <n v="0.7"/>
    <n v="3849999.9999999995"/>
    <s v="Mill and/or overlay"/>
    <m/>
    <m/>
    <m/>
    <n v="0.28999999999999998"/>
    <n v="1595000"/>
    <s v="Improvement - Major rehabilitation or replacement"/>
    <n v="0.01"/>
    <n v="55000"/>
    <m/>
    <m/>
    <m/>
    <m/>
    <m/>
    <n v="0"/>
    <m/>
    <m/>
    <m/>
    <m/>
    <m/>
    <n v="0"/>
    <m/>
    <m/>
    <m/>
    <m/>
    <m/>
    <n v="0"/>
    <m/>
    <m/>
    <m/>
    <m/>
    <m/>
    <n v="0"/>
    <m/>
    <m/>
    <m/>
    <m/>
    <m/>
    <n v="0"/>
    <m/>
    <m/>
    <m/>
    <m/>
    <m/>
    <n v="0"/>
    <m/>
    <m/>
    <m/>
    <m/>
    <m/>
    <n v="0"/>
    <m/>
    <m/>
    <m/>
    <m/>
    <n v="1"/>
    <n v="5500000"/>
  </r>
  <r>
    <m/>
    <n v="1"/>
    <n v="1"/>
    <s v="US"/>
    <n v="53"/>
    <s v="US 53"/>
    <s v="3608-48"/>
    <x v="2"/>
    <m/>
    <s v="S"/>
    <s v="MNDOT"/>
    <m/>
    <s v="**ELLA** IN INTERNATIONAL FALLS , ON TH 53 FR JCT TH 53/CRESCENT DR TO JCT TH53/4TH ST AND  TH 11 FR. 6TH AV. W TO 3RD AVE. W AND TH 11 FR. 3RD AVE W. TO 0.25 MI. E CSAH 332, MILL/INLAY, ADA, SIGNALS. (ASSOC. SP 3605-40, 3606-56)"/>
    <s v="162+00.465"/>
    <s v="163+00.968"/>
    <n v="1.8"/>
    <m/>
    <s v="KOOCHICHING"/>
    <s v="RS"/>
    <s v="1-P "/>
    <s v="1-P"/>
    <m/>
    <s v="PVTR - PAVEMENT RESURFACE AND REHABILITATION"/>
    <s v="MILL AND OVERLAY"/>
    <s v="NHPP  "/>
    <s v="NHPP"/>
    <m/>
    <m/>
    <n v="3100000"/>
    <n v="0"/>
    <n v="0"/>
    <n v="2480000"/>
    <n v="0"/>
    <n v="2480000"/>
    <n v="0"/>
    <n v="0"/>
    <n v="0"/>
    <n v="0"/>
    <n v="0"/>
    <n v="0"/>
    <n v="0"/>
    <n v="0"/>
    <n v="0"/>
    <n v="0"/>
    <n v="620000"/>
    <n v="0"/>
    <n v="620000"/>
    <n v="0"/>
    <n v="0"/>
    <n v="3100000"/>
    <n v="23718696"/>
    <n v="1330000"/>
    <n v="2016"/>
    <m/>
    <s v="$410,000 MAP 21"/>
    <m/>
    <m/>
    <m/>
    <s v="NO"/>
    <s v="NO"/>
    <s v="NO"/>
    <s v="8th District"/>
    <s v="NO"/>
    <s v="NO"/>
    <s v="Yes"/>
    <s v="NO"/>
    <n v="0.55483870967741933"/>
    <n v="1720000"/>
    <s v="Mill and/or overlay"/>
    <m/>
    <m/>
    <m/>
    <m/>
    <n v="0"/>
    <m/>
    <n v="0.20967741935483872"/>
    <n v="650000"/>
    <s v="Drainage and culverts"/>
    <m/>
    <m/>
    <m/>
    <m/>
    <n v="0"/>
    <m/>
    <m/>
    <m/>
    <m/>
    <m/>
    <n v="0"/>
    <m/>
    <m/>
    <m/>
    <m/>
    <m/>
    <n v="0"/>
    <m/>
    <m/>
    <m/>
    <m/>
    <m/>
    <n v="0"/>
    <m/>
    <m/>
    <m/>
    <m/>
    <n v="0.23548387096774193"/>
    <n v="730000"/>
    <s v="ADA improvements - curb"/>
    <n v="7.4193548387096769E-2"/>
    <s v="ADA improvements - APS"/>
    <n v="0.16129032258064516"/>
    <m/>
    <n v="0"/>
    <m/>
    <m/>
    <m/>
    <m/>
    <m/>
    <n v="0"/>
    <m/>
    <m/>
    <m/>
    <m/>
    <n v="1"/>
    <n v="3100000"/>
  </r>
  <r>
    <m/>
    <n v="1"/>
    <n v="1"/>
    <s v="US"/>
    <n v="53"/>
    <s v="US 53"/>
    <s v="3608-49"/>
    <x v="2"/>
    <m/>
    <s v="S"/>
    <s v="MNDOT"/>
    <m/>
    <s v="**ELLA** TH 53, 1.3MI. SO. KEYES RD TO CRESCENT DR IN INTERNATIONAL FALLS.  M&amp;O, CULVERTS (ASSOC. 6922-53), MILL AND OVERLAY"/>
    <s v="128+00.168"/>
    <s v="162+00.465"/>
    <n v="34.299999999999997"/>
    <m/>
    <s v="KOOCHICHING, ST. LOUIS"/>
    <s v="RS"/>
    <m/>
    <m/>
    <m/>
    <s v="PVTR - PAVEMENT RESURFACE AND REHABILITATION"/>
    <m/>
    <s v="NHPP  "/>
    <s v="NHPP"/>
    <m/>
    <m/>
    <n v="14200000"/>
    <m/>
    <m/>
    <n v="11360000"/>
    <m/>
    <n v="11360000"/>
    <n v="0"/>
    <n v="0"/>
    <n v="0"/>
    <n v="0"/>
    <n v="0"/>
    <n v="0"/>
    <n v="0"/>
    <n v="0"/>
    <n v="0"/>
    <n v="0"/>
    <n v="2840000"/>
    <n v="0"/>
    <n v="2840000"/>
    <n v="0"/>
    <n v="0"/>
    <n v="14200000"/>
    <n v="35078696"/>
    <n v="4170000"/>
    <n v="2016"/>
    <m/>
    <s v="$14,200,000 MAP 21"/>
    <m/>
    <m/>
    <m/>
    <s v="NO"/>
    <s v="NO"/>
    <s v="NO"/>
    <s v="8th District"/>
    <s v="YES"/>
    <s v="NO"/>
    <s v="Yes"/>
    <s v="NO"/>
    <n v="0.90140845070422537"/>
    <n v="12800000"/>
    <s v="Mill and/or overlay"/>
    <m/>
    <m/>
    <m/>
    <m/>
    <n v="0"/>
    <m/>
    <n v="9.8591549295774641E-2"/>
    <n v="1400000"/>
    <s v="Drainage and culverts"/>
    <m/>
    <m/>
    <m/>
    <m/>
    <n v="0"/>
    <m/>
    <m/>
    <m/>
    <m/>
    <m/>
    <n v="0"/>
    <m/>
    <m/>
    <m/>
    <m/>
    <m/>
    <n v="0"/>
    <m/>
    <m/>
    <m/>
    <m/>
    <m/>
    <n v="0"/>
    <m/>
    <m/>
    <m/>
    <m/>
    <m/>
    <n v="0"/>
    <m/>
    <m/>
    <m/>
    <m/>
    <m/>
    <n v="0"/>
    <m/>
    <m/>
    <m/>
    <m/>
    <m/>
    <n v="0"/>
    <m/>
    <m/>
    <m/>
    <m/>
    <n v="1"/>
    <n v="14200000"/>
  </r>
  <r>
    <m/>
    <n v="1"/>
    <n v="1"/>
    <s v="MN"/>
    <n v="217"/>
    <s v="MN 217"/>
    <s v="3614-20"/>
    <x v="2"/>
    <m/>
    <s v="S"/>
    <s v="MNDOT"/>
    <m/>
    <s v="E LIMIT LITTLE FORK TO JCT TH 53 (ASSOC. 3614-9028A)"/>
    <s v="000+00.591"/>
    <s v="17+00.327"/>
    <n v="17.34"/>
    <m/>
    <s v="KOOCHICHING"/>
    <s v="RS"/>
    <s v="1-P "/>
    <s v="1-P"/>
    <m/>
    <s v="PVTR - PAVEMENT RESURFACE AND REHABILITATION"/>
    <s v="BRIDGE REPAIR"/>
    <s v="STP5K  "/>
    <s v="STP5K"/>
    <m/>
    <m/>
    <n v="6800000"/>
    <n v="0"/>
    <n v="0"/>
    <n v="5440000"/>
    <n v="0"/>
    <n v="5440000"/>
    <n v="0"/>
    <n v="0"/>
    <n v="0"/>
    <n v="0"/>
    <n v="0"/>
    <n v="0"/>
    <n v="0"/>
    <n v="0"/>
    <n v="0"/>
    <n v="0"/>
    <n v="1360000"/>
    <n v="0"/>
    <n v="1360000"/>
    <n v="0"/>
    <n v="0"/>
    <n v="6800000"/>
    <n v="54361896"/>
    <n v="13502452"/>
    <n v="2016"/>
    <m/>
    <m/>
    <m/>
    <m/>
    <m/>
    <s v="YES,NO"/>
    <s v="NO"/>
    <s v="NO"/>
    <s v="8th District"/>
    <s v="NO"/>
    <s v="NO"/>
    <s v="Yes"/>
    <s v="NO"/>
    <n v="0.83"/>
    <n v="5644000"/>
    <s v="Reclamation"/>
    <n v="0.42"/>
    <s v="Mill and/or overlay"/>
    <n v="0.41"/>
    <n v="0.06"/>
    <n v="408000"/>
    <m/>
    <n v="0.08"/>
    <n v="544000"/>
    <s v="Drainage and culverts"/>
    <m/>
    <s v="Pavement markings"/>
    <m/>
    <m/>
    <n v="0"/>
    <m/>
    <m/>
    <m/>
    <m/>
    <m/>
    <n v="0"/>
    <m/>
    <m/>
    <m/>
    <m/>
    <m/>
    <n v="0"/>
    <m/>
    <m/>
    <m/>
    <m/>
    <m/>
    <n v="0"/>
    <m/>
    <m/>
    <m/>
    <m/>
    <n v="0.03"/>
    <n v="204000"/>
    <m/>
    <m/>
    <m/>
    <m/>
    <m/>
    <n v="0"/>
    <m/>
    <m/>
    <m/>
    <m/>
    <m/>
    <n v="0"/>
    <m/>
    <m/>
    <m/>
    <m/>
    <n v="0.99999999999999989"/>
    <n v="6800000"/>
  </r>
  <r>
    <m/>
    <n v="8"/>
    <n v="8"/>
    <s v="US"/>
    <n v="75"/>
    <s v="US 75"/>
    <s v="3702-34"/>
    <x v="2"/>
    <m/>
    <s v="S"/>
    <s v="MNDOT"/>
    <m/>
    <s v="S. LIMITS OF CANBY TO YELLOW MEDICINE CSAH 3, MILL &amp; OVERLAY; MN 67 TO S. OF JCT US 212, OVERLAY"/>
    <s v="85.973                              93.795            "/>
    <s v="87.311           103.462"/>
    <n v="11"/>
    <m/>
    <s v="LAC QUI PARLE"/>
    <s v="RS"/>
    <s v=" "/>
    <m/>
    <m/>
    <s v="PVTR - PAVEMENT RESURFACE AND REHABILITATION"/>
    <s v="SURFACING"/>
    <s v="SF  "/>
    <s v="SF"/>
    <m/>
    <m/>
    <n v="2400000"/>
    <n v="0"/>
    <n v="0"/>
    <n v="0"/>
    <n v="0"/>
    <n v="0"/>
    <n v="0"/>
    <n v="0"/>
    <n v="0"/>
    <n v="0"/>
    <n v="0"/>
    <n v="0"/>
    <n v="0"/>
    <n v="0"/>
    <n v="0"/>
    <n v="0"/>
    <n v="2400000"/>
    <n v="0"/>
    <n v="2400000"/>
    <n v="0"/>
    <n v="0"/>
    <n v="2400000"/>
    <n v="22396734"/>
    <n v="6607500"/>
    <n v="2016"/>
    <m/>
    <m/>
    <m/>
    <m/>
    <m/>
    <s v="NO"/>
    <s v="YES"/>
    <s v="NO"/>
    <s v="7th District"/>
    <s v="NO"/>
    <s v="NO"/>
    <s v="Yes"/>
    <s v="NO"/>
    <n v="0.73"/>
    <n v="1752000"/>
    <s v="Mill and/or overlay"/>
    <n v="1"/>
    <m/>
    <m/>
    <m/>
    <n v="0"/>
    <m/>
    <n v="0.17"/>
    <n v="408000.00000000006"/>
    <s v="Drainage and culverts"/>
    <n v="0.7"/>
    <s v="Pavement markings"/>
    <n v="0.3"/>
    <m/>
    <n v="0"/>
    <m/>
    <m/>
    <m/>
    <m/>
    <m/>
    <n v="0"/>
    <m/>
    <m/>
    <m/>
    <m/>
    <m/>
    <n v="0"/>
    <m/>
    <m/>
    <m/>
    <m/>
    <m/>
    <n v="0"/>
    <m/>
    <m/>
    <m/>
    <m/>
    <n v="0.1"/>
    <n v="240000"/>
    <s v="ADA improvements - curb"/>
    <n v="1"/>
    <m/>
    <m/>
    <m/>
    <n v="0"/>
    <m/>
    <m/>
    <m/>
    <m/>
    <m/>
    <n v="0"/>
    <m/>
    <m/>
    <m/>
    <m/>
    <n v="1"/>
    <n v="2400000"/>
  </r>
  <r>
    <m/>
    <n v="8"/>
    <n v="8"/>
    <s v="US"/>
    <n v="212"/>
    <s v="US 212"/>
    <s v="3706-41"/>
    <x v="0"/>
    <m/>
    <s v="S"/>
    <s v="MNDOT"/>
    <m/>
    <s v="**AB** - DAWSON TO W. OF US 59, WHITETOPPING"/>
    <n v="19.837"/>
    <n v="28.902999999999999"/>
    <n v="9.1"/>
    <m/>
    <s v="LAC QUI PARLE"/>
    <s v="RS"/>
    <s v=" "/>
    <m/>
    <m/>
    <s v="PVTR - PAVEMENT RESURFACE AND REHABILITATION"/>
    <s v="MILL AND OVERLAY"/>
    <s v="NHPP  "/>
    <s v="NHPP"/>
    <m/>
    <m/>
    <n v="7000000"/>
    <n v="0"/>
    <n v="0"/>
    <n v="5600000"/>
    <n v="0"/>
    <n v="5600000"/>
    <n v="0"/>
    <n v="0"/>
    <n v="0"/>
    <n v="0"/>
    <n v="0"/>
    <n v="0"/>
    <n v="0"/>
    <n v="0"/>
    <n v="0"/>
    <n v="0"/>
    <n v="1400000"/>
    <n v="0"/>
    <n v="1400000"/>
    <n v="0"/>
    <n v="0"/>
    <n v="7000000"/>
    <n v="30584908"/>
    <n v="8862000"/>
    <n v="2014"/>
    <m/>
    <m/>
    <s v="Do Not Know"/>
    <m/>
    <m/>
    <s v="YES"/>
    <s v="NO"/>
    <s v="YES"/>
    <s v="7th District"/>
    <s v="NO"/>
    <s v="NO"/>
    <s v="Yes"/>
    <s v="NO"/>
    <n v="0.88"/>
    <n v="6160000"/>
    <s v="Mill and/or overlay"/>
    <n v="1"/>
    <m/>
    <m/>
    <m/>
    <n v="0"/>
    <m/>
    <n v="0.12"/>
    <n v="840000"/>
    <s v="Pavement markings"/>
    <n v="1"/>
    <m/>
    <m/>
    <m/>
    <n v="0"/>
    <m/>
    <m/>
    <m/>
    <m/>
    <m/>
    <n v="0"/>
    <m/>
    <m/>
    <m/>
    <m/>
    <m/>
    <n v="0"/>
    <m/>
    <m/>
    <m/>
    <m/>
    <m/>
    <n v="0"/>
    <m/>
    <m/>
    <m/>
    <m/>
    <m/>
    <n v="0"/>
    <m/>
    <m/>
    <m/>
    <m/>
    <m/>
    <n v="0"/>
    <m/>
    <m/>
    <m/>
    <m/>
    <m/>
    <n v="0"/>
    <m/>
    <m/>
    <m/>
    <m/>
    <n v="1"/>
    <n v="7000000"/>
  </r>
  <r>
    <m/>
    <n v="8"/>
    <n v="8"/>
    <s v="US"/>
    <n v="59"/>
    <s v="US 59"/>
    <s v="3707-08"/>
    <x v="0"/>
    <m/>
    <s v="S"/>
    <s v="MNDOT"/>
    <m/>
    <s v="N. LIMITS OF CLARKFIELD TO W JCT US 212, OVERLAY (TIED TO S.P. 8703-24)"/>
    <n v="98.253"/>
    <n v="107.883"/>
    <n v="9.6"/>
    <m/>
    <s v="LAC QUI PARLE"/>
    <s v="RS"/>
    <s v=" "/>
    <m/>
    <m/>
    <s v="PVTR - PAVEMENT RESURFACE AND REHABILITATION"/>
    <s v="SURFACING"/>
    <s v="STP 5K &gt;  "/>
    <s v="STP 5K &gt;"/>
    <m/>
    <m/>
    <n v="1300000"/>
    <n v="0"/>
    <n v="0"/>
    <n v="1040000"/>
    <n v="0"/>
    <n v="1040000"/>
    <n v="0"/>
    <n v="0"/>
    <n v="0"/>
    <n v="0"/>
    <n v="0"/>
    <n v="0"/>
    <n v="0"/>
    <n v="0"/>
    <n v="0"/>
    <n v="0"/>
    <n v="260000"/>
    <n v="0"/>
    <n v="260000"/>
    <n v="0"/>
    <n v="0"/>
    <n v="1300000"/>
    <n v="22872908"/>
    <n v="6742000"/>
    <n v="2014"/>
    <m/>
    <m/>
    <m/>
    <m/>
    <m/>
    <s v="NO"/>
    <s v="NO"/>
    <s v="NO"/>
    <s v="7th District"/>
    <s v="NO"/>
    <s v="NO"/>
    <s v="Yes"/>
    <s v="NO"/>
    <n v="0.82"/>
    <n v="1066000"/>
    <s v="Mill and/or overlay"/>
    <n v="1"/>
    <m/>
    <m/>
    <m/>
    <n v="0"/>
    <m/>
    <n v="0.18"/>
    <n v="234000"/>
    <s v="Drainage and culverts"/>
    <n v="0.6"/>
    <s v="Pavement markings"/>
    <n v="0.4"/>
    <m/>
    <n v="0"/>
    <m/>
    <m/>
    <m/>
    <m/>
    <m/>
    <n v="0"/>
    <m/>
    <m/>
    <m/>
    <m/>
    <m/>
    <n v="0"/>
    <m/>
    <m/>
    <m/>
    <m/>
    <m/>
    <n v="0"/>
    <m/>
    <m/>
    <m/>
    <m/>
    <m/>
    <n v="0"/>
    <m/>
    <m/>
    <m/>
    <m/>
    <m/>
    <n v="0"/>
    <m/>
    <m/>
    <m/>
    <m/>
    <m/>
    <n v="0"/>
    <m/>
    <m/>
    <m/>
    <m/>
    <n v="1"/>
    <n v="1300000"/>
  </r>
  <r>
    <m/>
    <n v="1"/>
    <n v="1"/>
    <s v="MN"/>
    <n v="1"/>
    <s v="MN 1"/>
    <s v="3801-18"/>
    <x v="0"/>
    <m/>
    <s v="S"/>
    <s v="MNDOT"/>
    <m/>
    <s v="**TRLF** US FOREST ROUTE 553 TO US FOREST ROUTE 424, RECONSTRUCTION (TRLF PAYBACK 2 OF 10)"/>
    <s v="301+00.633"/>
    <s v="306+00.800"/>
    <n v="5.2"/>
    <m/>
    <s v="LAKE"/>
    <s v="RC"/>
    <s v="CIP "/>
    <s v="CIP"/>
    <m/>
    <s v="GRSU - GRADE AND SURFACE"/>
    <s v="GRADE AND SURFACE"/>
    <s v="SF  "/>
    <s v="SF"/>
    <m/>
    <m/>
    <n v="169000"/>
    <n v="0"/>
    <n v="0"/>
    <n v="0"/>
    <n v="0"/>
    <n v="0"/>
    <n v="0"/>
    <n v="0"/>
    <n v="0"/>
    <n v="0"/>
    <n v="0"/>
    <n v="0"/>
    <n v="0"/>
    <n v="0"/>
    <n v="0"/>
    <n v="0"/>
    <n v="169000"/>
    <n v="0"/>
    <n v="169000"/>
    <n v="0"/>
    <n v="0"/>
    <n v="169000"/>
    <n v="29845530"/>
    <n v="4171996"/>
    <n v="2014"/>
    <m/>
    <m/>
    <m/>
    <m/>
    <m/>
    <m/>
    <s v="NO"/>
    <s v="NO"/>
    <s v="8th District"/>
    <s v="NO"/>
    <s v="NO"/>
    <s v="Yes"/>
    <s v="YES"/>
    <n v="0.82099999999999995"/>
    <n v="138749"/>
    <m/>
    <m/>
    <m/>
    <m/>
    <m/>
    <n v="0"/>
    <m/>
    <n v="0.115"/>
    <n v="19435"/>
    <m/>
    <m/>
    <m/>
    <m/>
    <n v="3.2000000000000001E-2"/>
    <n v="5408"/>
    <m/>
    <m/>
    <m/>
    <m/>
    <m/>
    <n v="0"/>
    <m/>
    <m/>
    <m/>
    <m/>
    <m/>
    <n v="0"/>
    <m/>
    <m/>
    <m/>
    <m/>
    <n v="2.3E-2"/>
    <n v="3887"/>
    <m/>
    <m/>
    <m/>
    <m/>
    <n v="8.9999999999999993E-3"/>
    <n v="1520.9999999999998"/>
    <m/>
    <m/>
    <m/>
    <m/>
    <m/>
    <n v="0"/>
    <m/>
    <m/>
    <m/>
    <m/>
    <m/>
    <n v="0"/>
    <m/>
    <m/>
    <m/>
    <m/>
    <n v="1"/>
    <n v="169000"/>
  </r>
  <r>
    <m/>
    <n v="1"/>
    <n v="1"/>
    <s v="MN"/>
    <n v="1"/>
    <s v="MN 1"/>
    <s v="3801-18"/>
    <x v="1"/>
    <m/>
    <s v="S"/>
    <s v="MNDOT"/>
    <m/>
    <s v="**TRLF** US FOREST ROUTE 553 TO US FOREST ROUTE 424, RECONSTRUCTION (TRLF PAYBACK 3 OF 10)"/>
    <s v="301+00.633"/>
    <s v="306+00.800"/>
    <n v="5.2"/>
    <m/>
    <s v="LAKE"/>
    <s v="RC"/>
    <s v="CIP "/>
    <s v="CIP"/>
    <m/>
    <s v="GRSU - GRADE AND SURFACE"/>
    <s v="GRADE AND SURFACE"/>
    <s v="SF  "/>
    <s v="SF"/>
    <m/>
    <m/>
    <n v="169000"/>
    <n v="0"/>
    <n v="0"/>
    <n v="0"/>
    <n v="0"/>
    <n v="0"/>
    <n v="0"/>
    <n v="0"/>
    <n v="0"/>
    <n v="0"/>
    <n v="0"/>
    <n v="0"/>
    <n v="0"/>
    <n v="0"/>
    <n v="0"/>
    <n v="0"/>
    <n v="169000"/>
    <n v="0"/>
    <n v="169000"/>
    <n v="0"/>
    <n v="0"/>
    <n v="169000"/>
    <n v="26130612"/>
    <n v="8099000"/>
    <n v="2015"/>
    <m/>
    <m/>
    <m/>
    <m/>
    <m/>
    <m/>
    <s v="NO"/>
    <s v="NO"/>
    <s v="8th District"/>
    <s v="NO"/>
    <s v="NO"/>
    <s v="Yes"/>
    <s v="YES"/>
    <n v="0.82099999999999995"/>
    <n v="138749"/>
    <m/>
    <m/>
    <m/>
    <m/>
    <m/>
    <n v="0"/>
    <m/>
    <n v="0.115"/>
    <n v="19435"/>
    <m/>
    <m/>
    <m/>
    <m/>
    <n v="3.2000000000000001E-2"/>
    <n v="5408"/>
    <m/>
    <m/>
    <m/>
    <m/>
    <m/>
    <n v="0"/>
    <m/>
    <m/>
    <m/>
    <m/>
    <m/>
    <n v="0"/>
    <m/>
    <m/>
    <m/>
    <m/>
    <n v="2.3E-2"/>
    <n v="3887"/>
    <m/>
    <m/>
    <m/>
    <m/>
    <n v="8.9999999999999993E-3"/>
    <n v="1520.9999999999998"/>
    <m/>
    <m/>
    <m/>
    <m/>
    <m/>
    <n v="0"/>
    <m/>
    <m/>
    <m/>
    <m/>
    <m/>
    <n v="0"/>
    <m/>
    <m/>
    <m/>
    <m/>
    <n v="1"/>
    <n v="169000"/>
  </r>
  <r>
    <m/>
    <n v="3"/>
    <n v="3"/>
    <s v="MN"/>
    <n v="999"/>
    <s v="MN999"/>
    <m/>
    <x v="6"/>
    <m/>
    <m/>
    <m/>
    <m/>
    <s v="NON-NHS BRIDGE SETASIDE"/>
    <m/>
    <m/>
    <m/>
    <m/>
    <m/>
    <m/>
    <s v=""/>
    <m/>
    <m/>
    <m/>
    <m/>
    <s v=""/>
    <m/>
    <m/>
    <m/>
    <n v="1200000"/>
    <m/>
    <m/>
    <m/>
    <m/>
    <n v="0"/>
    <m/>
    <m/>
    <m/>
    <n v="0"/>
    <m/>
    <m/>
    <m/>
    <n v="0"/>
    <m/>
    <m/>
    <m/>
    <m/>
    <n v="0"/>
    <m/>
    <n v="1200000"/>
    <n v="1200000"/>
    <n v="280196670.85000002"/>
    <n v="130989577.63"/>
    <n v="2021"/>
    <m/>
    <m/>
    <m/>
    <m/>
    <m/>
    <m/>
    <m/>
    <m/>
    <m/>
    <m/>
    <m/>
    <m/>
    <m/>
    <m/>
    <n v="0"/>
    <m/>
    <m/>
    <m/>
    <m/>
    <n v="0.91700000000000004"/>
    <n v="1100400"/>
    <m/>
    <m/>
    <n v="0"/>
    <m/>
    <m/>
    <m/>
    <m/>
    <m/>
    <n v="0"/>
    <m/>
    <m/>
    <m/>
    <m/>
    <m/>
    <n v="0"/>
    <m/>
    <m/>
    <m/>
    <m/>
    <m/>
    <n v="0"/>
    <m/>
    <m/>
    <m/>
    <m/>
    <n v="4.2000000000000003E-2"/>
    <n v="50400"/>
    <m/>
    <m/>
    <m/>
    <m/>
    <n v="4.2000000000000003E-2"/>
    <n v="50400"/>
    <m/>
    <m/>
    <m/>
    <m/>
    <m/>
    <n v="0"/>
    <m/>
    <m/>
    <m/>
    <m/>
    <m/>
    <n v="0"/>
    <m/>
    <m/>
    <m/>
    <m/>
    <n v="1.0010000000000001"/>
    <n v="1201200"/>
  </r>
  <r>
    <m/>
    <n v="3"/>
    <n v="3"/>
    <s v="MN"/>
    <n v="999"/>
    <s v="MN999"/>
    <m/>
    <x v="7"/>
    <m/>
    <m/>
    <m/>
    <m/>
    <s v="NON-NHS BRIDGE SETASIDE"/>
    <m/>
    <m/>
    <m/>
    <m/>
    <m/>
    <m/>
    <s v=""/>
    <m/>
    <m/>
    <m/>
    <m/>
    <s v=""/>
    <m/>
    <m/>
    <m/>
    <n v="1200000"/>
    <m/>
    <m/>
    <m/>
    <m/>
    <n v="0"/>
    <m/>
    <m/>
    <m/>
    <n v="0"/>
    <m/>
    <m/>
    <m/>
    <n v="0"/>
    <m/>
    <m/>
    <m/>
    <m/>
    <n v="0"/>
    <m/>
    <n v="1200000"/>
    <n v="1200000"/>
    <n v="280196670.85000002"/>
    <n v="130989577.63"/>
    <n v="2022"/>
    <m/>
    <m/>
    <m/>
    <m/>
    <m/>
    <m/>
    <m/>
    <m/>
    <m/>
    <m/>
    <m/>
    <m/>
    <m/>
    <m/>
    <n v="0"/>
    <m/>
    <m/>
    <m/>
    <m/>
    <n v="0.91700000000000004"/>
    <n v="1100400"/>
    <m/>
    <m/>
    <n v="0"/>
    <m/>
    <m/>
    <m/>
    <m/>
    <m/>
    <n v="0"/>
    <m/>
    <m/>
    <m/>
    <m/>
    <m/>
    <n v="0"/>
    <m/>
    <m/>
    <m/>
    <m/>
    <m/>
    <n v="0"/>
    <m/>
    <m/>
    <m/>
    <m/>
    <n v="4.2000000000000003E-2"/>
    <n v="50400"/>
    <m/>
    <m/>
    <m/>
    <m/>
    <n v="4.2000000000000003E-2"/>
    <n v="50400"/>
    <m/>
    <m/>
    <m/>
    <m/>
    <m/>
    <n v="0"/>
    <m/>
    <m/>
    <m/>
    <m/>
    <m/>
    <n v="0"/>
    <m/>
    <m/>
    <m/>
    <m/>
    <n v="1.0010000000000001"/>
    <n v="1201200"/>
  </r>
  <r>
    <m/>
    <n v="3"/>
    <n v="3"/>
    <s v="MN"/>
    <n v="999"/>
    <s v="MN999"/>
    <m/>
    <x v="8"/>
    <m/>
    <m/>
    <m/>
    <m/>
    <s v="NON-NHS BRIDGE SETASIDE"/>
    <m/>
    <m/>
    <m/>
    <m/>
    <m/>
    <m/>
    <s v=""/>
    <m/>
    <m/>
    <m/>
    <m/>
    <s v=""/>
    <m/>
    <m/>
    <m/>
    <n v="1200000"/>
    <m/>
    <m/>
    <m/>
    <m/>
    <n v="0"/>
    <m/>
    <m/>
    <m/>
    <n v="0"/>
    <m/>
    <m/>
    <m/>
    <n v="0"/>
    <m/>
    <m/>
    <m/>
    <m/>
    <n v="0"/>
    <m/>
    <n v="1200000"/>
    <n v="1200000"/>
    <n v="280196670.85000002"/>
    <n v="130989577.63"/>
    <n v="2023"/>
    <m/>
    <m/>
    <m/>
    <m/>
    <m/>
    <m/>
    <m/>
    <m/>
    <m/>
    <m/>
    <m/>
    <m/>
    <m/>
    <m/>
    <n v="0"/>
    <m/>
    <m/>
    <m/>
    <m/>
    <n v="0.91700000000000004"/>
    <n v="1100400"/>
    <m/>
    <m/>
    <n v="0"/>
    <m/>
    <m/>
    <m/>
    <m/>
    <m/>
    <n v="0"/>
    <m/>
    <m/>
    <m/>
    <m/>
    <m/>
    <n v="0"/>
    <m/>
    <m/>
    <m/>
    <m/>
    <m/>
    <n v="0"/>
    <m/>
    <m/>
    <m/>
    <m/>
    <n v="4.2000000000000003E-2"/>
    <n v="50400"/>
    <m/>
    <m/>
    <m/>
    <m/>
    <n v="4.2000000000000003E-2"/>
    <n v="50400"/>
    <m/>
    <m/>
    <m/>
    <m/>
    <m/>
    <n v="0"/>
    <m/>
    <m/>
    <m/>
    <m/>
    <m/>
    <n v="0"/>
    <m/>
    <m/>
    <m/>
    <m/>
    <n v="1.0010000000000001"/>
    <n v="1201200"/>
  </r>
  <r>
    <m/>
    <n v="1"/>
    <n v="1"/>
    <s v="MN"/>
    <n v="1"/>
    <s v="MN 1"/>
    <s v="3801-18"/>
    <x v="2"/>
    <m/>
    <s v="S"/>
    <s v="MNDOT"/>
    <m/>
    <s v="**TRLF** US FOREST ROUTE 553 TO US FOREST ROUTE 424, RECONSTRUCTION (TRLF PAYBACK 4 OF 10)"/>
    <s v="301+00.633"/>
    <s v="306+00.800"/>
    <n v="5.2"/>
    <m/>
    <s v="LAKE"/>
    <s v="RC"/>
    <s v="CIP "/>
    <s v="CIP"/>
    <m/>
    <s v="GRSU - GRADE AND SURFACE"/>
    <s v="GRADE AND SURFACE"/>
    <s v="SF  "/>
    <s v="SF"/>
    <m/>
    <m/>
    <n v="169000"/>
    <n v="0"/>
    <n v="0"/>
    <n v="0"/>
    <n v="0"/>
    <n v="0"/>
    <n v="0"/>
    <n v="0"/>
    <n v="0"/>
    <n v="0"/>
    <n v="0"/>
    <n v="0"/>
    <n v="0"/>
    <n v="0"/>
    <n v="0"/>
    <n v="0"/>
    <n v="169000"/>
    <n v="0"/>
    <n v="169000"/>
    <n v="0"/>
    <n v="0"/>
    <n v="169000"/>
    <n v="38310696"/>
    <n v="5147000"/>
    <n v="2016"/>
    <m/>
    <m/>
    <m/>
    <m/>
    <m/>
    <m/>
    <s v="NO"/>
    <s v="NO"/>
    <s v="8th District"/>
    <s v="NO"/>
    <s v="NO"/>
    <s v="Yes"/>
    <s v="YES"/>
    <n v="0.82099999999999995"/>
    <n v="138749"/>
    <m/>
    <m/>
    <m/>
    <m/>
    <m/>
    <n v="0"/>
    <m/>
    <n v="0.115"/>
    <n v="19435"/>
    <m/>
    <m/>
    <m/>
    <m/>
    <n v="3.2000000000000001E-2"/>
    <n v="5408"/>
    <m/>
    <m/>
    <m/>
    <m/>
    <m/>
    <n v="0"/>
    <m/>
    <m/>
    <m/>
    <m/>
    <m/>
    <n v="0"/>
    <m/>
    <m/>
    <m/>
    <m/>
    <n v="2.3E-2"/>
    <n v="3887"/>
    <m/>
    <m/>
    <m/>
    <m/>
    <n v="8.9999999999999993E-3"/>
    <n v="1520.9999999999998"/>
    <m/>
    <m/>
    <m/>
    <m/>
    <m/>
    <n v="0"/>
    <m/>
    <m/>
    <m/>
    <m/>
    <m/>
    <n v="0"/>
    <m/>
    <m/>
    <m/>
    <m/>
    <n v="1"/>
    <n v="169000"/>
  </r>
  <r>
    <m/>
    <n v="1"/>
    <n v="1"/>
    <s v="MN"/>
    <n v="1"/>
    <s v="MN 1"/>
    <s v="3801-18"/>
    <x v="9"/>
    <m/>
    <s v="S"/>
    <s v="MNDOT"/>
    <m/>
    <s v="**TRLF** US FOREST ROUTE 553 TO US FOREST ROUTE 424, RECONSTRUCTION (TRLF PAYBACK 5 OF 10)"/>
    <s v="301+00.633"/>
    <s v="306+00.800"/>
    <n v="5.2"/>
    <m/>
    <s v="LAKE"/>
    <s v="RC"/>
    <s v="CIP "/>
    <s v="CIP"/>
    <m/>
    <s v="GRSU - GRADE AND SURFACE"/>
    <s v="GRADE AND SURFACE"/>
    <s v="SF  "/>
    <s v="SF"/>
    <m/>
    <m/>
    <n v="169000"/>
    <n v="0"/>
    <n v="0"/>
    <n v="0"/>
    <n v="0"/>
    <n v="0"/>
    <n v="0"/>
    <n v="0"/>
    <n v="0"/>
    <n v="0"/>
    <n v="0"/>
    <n v="0"/>
    <n v="0"/>
    <n v="0"/>
    <n v="0"/>
    <n v="0"/>
    <n v="169000"/>
    <n v="0"/>
    <n v="169000"/>
    <n v="0"/>
    <n v="0"/>
    <n v="169000"/>
    <n v="25728499.699999999"/>
    <n v="4393233.3"/>
    <n v="2017"/>
    <m/>
    <m/>
    <m/>
    <m/>
    <m/>
    <m/>
    <s v="NO"/>
    <s v="NO"/>
    <s v="8th District"/>
    <s v="NO"/>
    <s v="NO"/>
    <s v="Yes"/>
    <s v="YES"/>
    <n v="0.82099999999999995"/>
    <n v="138749"/>
    <m/>
    <m/>
    <m/>
    <m/>
    <m/>
    <n v="0"/>
    <m/>
    <n v="0.115"/>
    <n v="19435"/>
    <m/>
    <m/>
    <m/>
    <m/>
    <n v="3.2000000000000001E-2"/>
    <n v="5408"/>
    <m/>
    <m/>
    <m/>
    <m/>
    <m/>
    <n v="0"/>
    <m/>
    <m/>
    <m/>
    <m/>
    <m/>
    <n v="0"/>
    <m/>
    <m/>
    <m/>
    <m/>
    <n v="2.3E-2"/>
    <n v="3887"/>
    <m/>
    <m/>
    <m/>
    <m/>
    <n v="8.9999999999999993E-3"/>
    <n v="1520.9999999999998"/>
    <m/>
    <m/>
    <m/>
    <m/>
    <m/>
    <n v="0"/>
    <m/>
    <m/>
    <m/>
    <m/>
    <m/>
    <n v="0"/>
    <m/>
    <m/>
    <m/>
    <m/>
    <n v="1"/>
    <n v="169000"/>
  </r>
  <r>
    <m/>
    <n v="1"/>
    <n v="1"/>
    <s v="MN"/>
    <n v="1"/>
    <s v="MN 1"/>
    <s v="3801-92"/>
    <x v="1"/>
    <m/>
    <s v="S"/>
    <s v="MNDOT"/>
    <m/>
    <s v=".2 MI S. KAWISHIWI RIVER TO 0.17 MI. W. T-273 &amp; 0.63 MI. SE JCT. CSAH 2 TO JCT NFD-172 (ASSOC. SP 3802-21), MILL AND OVERLAY"/>
    <s v="296+00.953"/>
    <s v="325+00.252"/>
    <n v="17.670000000000002"/>
    <m/>
    <s v="LAKE"/>
    <s v="RS"/>
    <s v="1-P "/>
    <s v="1-P"/>
    <m/>
    <s v="PVTR - PAVEMENT RESURFACE AND REHABILITATION"/>
    <s v="MILL AND OVERLAY"/>
    <s v="STP5K  "/>
    <s v="STP5K"/>
    <m/>
    <m/>
    <n v="6600000"/>
    <n v="0"/>
    <n v="0"/>
    <n v="5280000"/>
    <n v="0"/>
    <n v="5280000"/>
    <n v="0"/>
    <n v="0"/>
    <n v="0"/>
    <n v="0"/>
    <n v="0"/>
    <n v="0"/>
    <n v="0"/>
    <n v="0"/>
    <n v="0"/>
    <n v="0"/>
    <n v="1320000"/>
    <n v="0"/>
    <n v="1320000"/>
    <n v="0"/>
    <n v="0"/>
    <n v="6600000"/>
    <n v="26130612"/>
    <n v="7930000"/>
    <n v="2015"/>
    <m/>
    <m/>
    <m/>
    <m/>
    <m/>
    <s v="NO"/>
    <s v="NO"/>
    <s v="NO"/>
    <s v="8th District"/>
    <s v="NO"/>
    <s v="NO"/>
    <s v="Yes"/>
    <s v="NO"/>
    <n v="0.65"/>
    <n v="4290000"/>
    <s v="Mill and/or overlay"/>
    <m/>
    <m/>
    <m/>
    <m/>
    <n v="0"/>
    <m/>
    <n v="0.35"/>
    <n v="2310000"/>
    <s v="Drainage and culverts"/>
    <m/>
    <m/>
    <m/>
    <m/>
    <n v="0"/>
    <m/>
    <m/>
    <m/>
    <m/>
    <m/>
    <n v="0"/>
    <m/>
    <m/>
    <m/>
    <m/>
    <m/>
    <n v="0"/>
    <m/>
    <m/>
    <m/>
    <m/>
    <m/>
    <n v="0"/>
    <m/>
    <m/>
    <m/>
    <m/>
    <m/>
    <n v="0"/>
    <m/>
    <m/>
    <m/>
    <m/>
    <m/>
    <n v="0"/>
    <m/>
    <m/>
    <m/>
    <m/>
    <m/>
    <n v="0"/>
    <m/>
    <m/>
    <m/>
    <m/>
    <n v="1"/>
    <n v="6600000"/>
  </r>
  <r>
    <m/>
    <n v="1"/>
    <n v="1"/>
    <s v="MN"/>
    <n v="61"/>
    <s v="MN 61"/>
    <s v="3804-59"/>
    <x v="0"/>
    <m/>
    <s v="S"/>
    <s v="MNDOT"/>
    <m/>
    <s v="**TED12**TH 61/TWO HARBORS TED GRANT AT CR 26"/>
    <s v="25+00.595"/>
    <s v="25+00.596"/>
    <n v="0"/>
    <s v="TWO HARBORS"/>
    <s v="LAKE"/>
    <s v="RC"/>
    <s v="CIP "/>
    <s v="CIP"/>
    <m/>
    <s v="GRSU - GRADE AND SURFACE"/>
    <s v="TRAFFIC SIGNAL REVISION"/>
    <s v="BF LF "/>
    <s v="BF"/>
    <s v="LF"/>
    <m/>
    <n v="1742400"/>
    <n v="0"/>
    <n v="0"/>
    <n v="0"/>
    <n v="0"/>
    <n v="0"/>
    <n v="0"/>
    <n v="0"/>
    <n v="0"/>
    <n v="0"/>
    <n v="0"/>
    <n v="0"/>
    <n v="0"/>
    <n v="0"/>
    <n v="0"/>
    <n v="0"/>
    <n v="0"/>
    <n v="0"/>
    <n v="0"/>
    <n v="750000"/>
    <n v="992400"/>
    <n v="1742400"/>
    <n v="35445530"/>
    <n v="5571996"/>
    <n v="2014"/>
    <m/>
    <s v="Other includes DEED Bonds"/>
    <s v="TED"/>
    <n v="992400"/>
    <m/>
    <s v="YES"/>
    <s v="NO"/>
    <s v="NO"/>
    <s v="8th District"/>
    <s v="NO"/>
    <s v="NO"/>
    <s v="NO"/>
    <s v="NO"/>
    <m/>
    <n v="0"/>
    <m/>
    <m/>
    <m/>
    <m/>
    <m/>
    <n v="0"/>
    <m/>
    <m/>
    <n v="0"/>
    <m/>
    <m/>
    <m/>
    <m/>
    <m/>
    <n v="0"/>
    <m/>
    <m/>
    <m/>
    <m/>
    <m/>
    <n v="0"/>
    <m/>
    <m/>
    <m/>
    <m/>
    <m/>
    <n v="0"/>
    <m/>
    <m/>
    <m/>
    <m/>
    <m/>
    <n v="0"/>
    <m/>
    <m/>
    <m/>
    <m/>
    <m/>
    <n v="0"/>
    <m/>
    <m/>
    <m/>
    <m/>
    <n v="1"/>
    <n v="750000"/>
    <m/>
    <m/>
    <m/>
    <m/>
    <m/>
    <n v="0"/>
    <m/>
    <m/>
    <m/>
    <m/>
    <n v="1"/>
    <n v="750000"/>
  </r>
  <r>
    <m/>
    <n v="1"/>
    <n v="1"/>
    <s v="MN"/>
    <n v="61"/>
    <s v="MN 61"/>
    <s v="3806-70"/>
    <x v="9"/>
    <m/>
    <s v="S"/>
    <s v="MNDOT"/>
    <m/>
    <s v="**ELLA**APPROACH GRADING FOR BR#9395, BEAVER RIVER TH 61. BR # 9395 SUPERSTRUCTURE REPLACEMENT"/>
    <s v="051+00.229"/>
    <s v="051+00.287"/>
    <m/>
    <s v="BEAVER BAY"/>
    <s v="LAKE"/>
    <s v="BI"/>
    <m/>
    <m/>
    <m/>
    <s v="BRRH - BRIDGE REHABILITATION"/>
    <m/>
    <s v="NHPP  "/>
    <s v="NHPP"/>
    <m/>
    <m/>
    <n v="3000000"/>
    <m/>
    <m/>
    <n v="2400000"/>
    <m/>
    <n v="2400000"/>
    <m/>
    <m/>
    <m/>
    <n v="0"/>
    <m/>
    <m/>
    <m/>
    <n v="0"/>
    <m/>
    <m/>
    <n v="600000"/>
    <m/>
    <n v="600000"/>
    <m/>
    <n v="0"/>
    <n v="3000000"/>
    <n v="41568499.700000003"/>
    <n v="18903233.300000001"/>
    <n v="2017"/>
    <m/>
    <m/>
    <m/>
    <m/>
    <m/>
    <s v="YES"/>
    <s v="NO"/>
    <s v="NO"/>
    <s v="8th District"/>
    <s v="NO"/>
    <s v="NO"/>
    <s v="Yes"/>
    <s v="NO"/>
    <m/>
    <n v="0"/>
    <m/>
    <m/>
    <m/>
    <m/>
    <n v="0.96"/>
    <n v="2880000"/>
    <s v="Improvement - Major rehabilitation or replacement"/>
    <m/>
    <n v="0"/>
    <m/>
    <m/>
    <m/>
    <m/>
    <m/>
    <n v="0"/>
    <m/>
    <m/>
    <m/>
    <m/>
    <m/>
    <n v="0"/>
    <m/>
    <m/>
    <m/>
    <m/>
    <m/>
    <n v="0"/>
    <m/>
    <m/>
    <m/>
    <m/>
    <m/>
    <n v="0"/>
    <m/>
    <m/>
    <m/>
    <m/>
    <n v="0.04"/>
    <n v="120000"/>
    <m/>
    <m/>
    <m/>
    <m/>
    <m/>
    <n v="0"/>
    <m/>
    <m/>
    <m/>
    <m/>
    <m/>
    <n v="0"/>
    <m/>
    <m/>
    <m/>
    <m/>
    <n v="1"/>
    <n v="3000000"/>
  </r>
  <r>
    <m/>
    <n v="2"/>
    <n v="2"/>
    <s v="MN"/>
    <n v="11"/>
    <s v="MN 11"/>
    <s v="3901-41"/>
    <x v="2"/>
    <s v="2016-23"/>
    <s v="S"/>
    <s v="MNDOT"/>
    <m/>
    <s v="FROM W OF MN172 (W OF BAUDETTE) TO E MN72, BAUDETTE, RESURFACING"/>
    <s v="120+00.597"/>
    <s v="130+00.769"/>
    <n v="10.199999999999999"/>
    <s v="BAUDETTE"/>
    <s v="LAKE OF THE WOODS"/>
    <s v="RS"/>
    <s v="1-P "/>
    <s v="1-P"/>
    <m/>
    <s v="PVTR - PAVEMENT RESURFACE AND REHABILITATION"/>
    <s v="MILL AND OVERLAY"/>
    <s v="NHPP  "/>
    <s v="NHPP"/>
    <m/>
    <m/>
    <n v="3200000"/>
    <n v="0"/>
    <n v="0"/>
    <n v="2560000"/>
    <n v="0"/>
    <n v="2560000"/>
    <n v="0"/>
    <n v="0"/>
    <n v="0"/>
    <n v="0"/>
    <n v="0"/>
    <n v="0"/>
    <n v="0"/>
    <n v="0"/>
    <n v="0"/>
    <n v="0"/>
    <n v="640000"/>
    <n v="0"/>
    <n v="640000"/>
    <n v="0"/>
    <n v="0"/>
    <n v="3200000"/>
    <n v="10237804"/>
    <n v="765000"/>
    <n v="2016"/>
    <m/>
    <m/>
    <m/>
    <m/>
    <m/>
    <m/>
    <s v="NO"/>
    <s v="NO"/>
    <s v="7th District"/>
    <s v="NO"/>
    <s v="NO"/>
    <s v="Yes"/>
    <s v="NO"/>
    <n v="0.82099999999999995"/>
    <n v="2627200"/>
    <m/>
    <m/>
    <m/>
    <m/>
    <n v="0"/>
    <n v="0"/>
    <m/>
    <n v="0.115"/>
    <n v="368000"/>
    <m/>
    <m/>
    <m/>
    <m/>
    <n v="3.2000000000000001E-2"/>
    <n v="102400"/>
    <m/>
    <m/>
    <m/>
    <m/>
    <n v="0"/>
    <n v="0"/>
    <m/>
    <m/>
    <m/>
    <m/>
    <n v="0"/>
    <n v="0"/>
    <m/>
    <m/>
    <m/>
    <m/>
    <n v="2.3E-2"/>
    <n v="73600"/>
    <m/>
    <m/>
    <m/>
    <m/>
    <n v="9.0000000000000011E-3"/>
    <n v="28800.000000000004"/>
    <m/>
    <m/>
    <m/>
    <m/>
    <n v="0"/>
    <n v="0"/>
    <m/>
    <m/>
    <m/>
    <m/>
    <n v="0"/>
    <n v="0"/>
    <m/>
    <m/>
    <m/>
    <m/>
    <n v="1"/>
    <n v="3200000"/>
  </r>
  <r>
    <m/>
    <n v="2"/>
    <n v="2"/>
    <s v="MN"/>
    <n v="172"/>
    <s v="MN 172"/>
    <s v="3904-22"/>
    <x v="1"/>
    <s v="2015-30"/>
    <s v="S"/>
    <s v="MNDOT"/>
    <m/>
    <s v="5.7 MI N OF MN11, INSLOPE REPAIR AT WABANICA CREEK"/>
    <s v="005+00.743"/>
    <s v="005+00.813"/>
    <n v="0.1"/>
    <m/>
    <s v="LAKE OF THE WOODS"/>
    <s v="RS"/>
    <s v="1-P "/>
    <s v="1-P"/>
    <m/>
    <s v="PRMN - PRESERVATION/MAINTENANCE"/>
    <s v="INSLOPE REPAIR"/>
    <s v="STP&lt;5K  "/>
    <s v="STP&lt;5K"/>
    <m/>
    <m/>
    <n v="600000"/>
    <n v="0"/>
    <n v="0"/>
    <n v="480000"/>
    <n v="0"/>
    <n v="480000"/>
    <n v="0"/>
    <n v="0"/>
    <n v="0"/>
    <n v="0"/>
    <n v="0"/>
    <n v="0"/>
    <n v="0"/>
    <n v="0"/>
    <n v="0"/>
    <n v="0"/>
    <n v="120000"/>
    <n v="0"/>
    <n v="120000"/>
    <n v="0"/>
    <n v="0"/>
    <n v="600000"/>
    <n v="23993835"/>
    <n v="4412600"/>
    <n v="2015"/>
    <m/>
    <m/>
    <m/>
    <m/>
    <m/>
    <m/>
    <s v="NO"/>
    <s v="NO"/>
    <s v="7th District"/>
    <s v="NO"/>
    <s v="NO"/>
    <s v="Yes"/>
    <s v="NO"/>
    <n v="0"/>
    <n v="0"/>
    <m/>
    <m/>
    <m/>
    <m/>
    <n v="0"/>
    <n v="0"/>
    <m/>
    <n v="1"/>
    <n v="600000"/>
    <m/>
    <m/>
    <m/>
    <m/>
    <n v="0"/>
    <n v="0"/>
    <m/>
    <m/>
    <m/>
    <m/>
    <n v="0"/>
    <n v="0"/>
    <m/>
    <m/>
    <m/>
    <m/>
    <n v="0"/>
    <n v="0"/>
    <m/>
    <m/>
    <m/>
    <m/>
    <n v="0"/>
    <n v="0"/>
    <m/>
    <m/>
    <m/>
    <m/>
    <n v="0"/>
    <n v="0"/>
    <m/>
    <m/>
    <m/>
    <m/>
    <n v="0"/>
    <n v="0"/>
    <m/>
    <m/>
    <m/>
    <m/>
    <n v="0"/>
    <n v="0"/>
    <m/>
    <m/>
    <m/>
    <m/>
    <n v="1"/>
    <n v="600000"/>
  </r>
  <r>
    <m/>
    <n v="7"/>
    <n v="7"/>
    <s v="MN"/>
    <n v="19"/>
    <s v="MN 19"/>
    <s v="4004-112"/>
    <x v="2"/>
    <s v="2015-TH-3"/>
    <s v="S"/>
    <s v="MNDOT"/>
    <m/>
    <s v="OVER UNION PACIFIC RAILROAD, O.787 MI EAST OF SIBLEY/LESUEUR COUNTY LINE,SUPERSTRUCTURE REPLACMENT AND SUBSTRUCTURE REHABILITATION OF BR 5369"/>
    <s v="135+00.135"/>
    <s v="135+00.135"/>
    <n v="0"/>
    <m/>
    <s v="LE SUEUR"/>
    <s v="BI"/>
    <s v="1-B "/>
    <s v="1-B"/>
    <m/>
    <s v="BRRH - BRIDGE REHABILITATION"/>
    <s v="BRIDGE REPAIR"/>
    <s v="STP 5K &gt;  "/>
    <s v="STP 5K &gt;"/>
    <m/>
    <m/>
    <n v="5971000"/>
    <n v="0"/>
    <n v="0"/>
    <n v="4777000"/>
    <n v="0"/>
    <n v="4777000"/>
    <n v="0"/>
    <n v="0"/>
    <n v="0"/>
    <n v="0"/>
    <n v="0"/>
    <n v="0"/>
    <n v="0"/>
    <n v="0"/>
    <n v="0"/>
    <n v="0"/>
    <n v="1194000"/>
    <n v="0"/>
    <n v="1194000"/>
    <n v="0"/>
    <n v="0"/>
    <n v="5971000"/>
    <n v="20202449"/>
    <n v="1194000"/>
    <n v="2016"/>
    <m/>
    <m/>
    <m/>
    <m/>
    <m/>
    <m/>
    <s v="NO"/>
    <s v="NO"/>
    <m/>
    <s v="NO"/>
    <s v="NO"/>
    <s v="Yes"/>
    <s v="NO"/>
    <m/>
    <n v="0"/>
    <m/>
    <m/>
    <m/>
    <m/>
    <n v="0.92900000000000005"/>
    <n v="5547059"/>
    <m/>
    <m/>
    <n v="0"/>
    <m/>
    <m/>
    <m/>
    <m/>
    <m/>
    <n v="0"/>
    <m/>
    <m/>
    <m/>
    <m/>
    <m/>
    <n v="0"/>
    <m/>
    <m/>
    <m/>
    <m/>
    <m/>
    <n v="0"/>
    <m/>
    <m/>
    <m/>
    <m/>
    <n v="3.5000000000000003E-2"/>
    <n v="208985.00000000003"/>
    <m/>
    <m/>
    <m/>
    <m/>
    <n v="3.5999999999999997E-2"/>
    <n v="214955.99999999997"/>
    <m/>
    <m/>
    <m/>
    <m/>
    <m/>
    <n v="0"/>
    <m/>
    <m/>
    <m/>
    <m/>
    <m/>
    <n v="0"/>
    <m/>
    <m/>
    <m/>
    <m/>
    <n v="1"/>
    <n v="5971000"/>
  </r>
  <r>
    <m/>
    <n v="7"/>
    <n v="7"/>
    <s v="MN"/>
    <n v="99"/>
    <s v="MN 99"/>
    <s v="4008-25"/>
    <x v="0"/>
    <s v="2014-TH-3"/>
    <s v="S"/>
    <s v="MNDOT"/>
    <m/>
    <s v="**ELLA** RECONDITION INPLACE BRIDGE #4930 OVER THE MN RIVER IN ST. PETER"/>
    <s v="013+00.376"/>
    <s v="013+00.846"/>
    <n v="0.5"/>
    <s v="SAINT PETER"/>
    <s v="LE SUEUR"/>
    <s v="BI"/>
    <s v="1-B "/>
    <s v="1-B"/>
    <m/>
    <s v="BRRH - BRIDGE REHABILITATION"/>
    <s v="BRIDGE REPAIR"/>
    <s v="STP 5K - 200K  "/>
    <s v="STP 5K - 200K"/>
    <m/>
    <m/>
    <n v="2500000"/>
    <n v="0"/>
    <n v="0"/>
    <n v="2000000"/>
    <n v="0"/>
    <n v="2000000"/>
    <n v="0"/>
    <n v="0"/>
    <n v="0"/>
    <n v="0"/>
    <n v="0"/>
    <n v="0"/>
    <n v="0"/>
    <n v="0"/>
    <n v="0"/>
    <n v="0"/>
    <n v="500000"/>
    <n v="0"/>
    <n v="500000"/>
    <n v="0"/>
    <n v="0"/>
    <n v="2500000"/>
    <n v="18730968"/>
    <n v="1200000"/>
    <n v="2014"/>
    <m/>
    <m/>
    <m/>
    <m/>
    <m/>
    <m/>
    <s v="NO"/>
    <s v="NO"/>
    <m/>
    <s v="YES"/>
    <s v="NO"/>
    <s v="Yes"/>
    <s v="NO"/>
    <m/>
    <n v="0"/>
    <m/>
    <m/>
    <m/>
    <m/>
    <n v="0.92900000000000005"/>
    <n v="2322500"/>
    <m/>
    <m/>
    <n v="0"/>
    <m/>
    <m/>
    <m/>
    <m/>
    <m/>
    <n v="0"/>
    <m/>
    <m/>
    <m/>
    <m/>
    <m/>
    <n v="0"/>
    <m/>
    <m/>
    <m/>
    <m/>
    <m/>
    <n v="0"/>
    <m/>
    <m/>
    <m/>
    <m/>
    <n v="3.5000000000000003E-2"/>
    <n v="87500.000000000015"/>
    <m/>
    <m/>
    <m/>
    <m/>
    <n v="3.5999999999999997E-2"/>
    <n v="90000"/>
    <m/>
    <m/>
    <m/>
    <m/>
    <m/>
    <n v="0"/>
    <m/>
    <m/>
    <m/>
    <m/>
    <m/>
    <n v="0"/>
    <m/>
    <m/>
    <m/>
    <m/>
    <n v="1"/>
    <n v="2500000"/>
  </r>
  <r>
    <m/>
    <n v="7"/>
    <n v="7"/>
    <s v="MN"/>
    <n v="22"/>
    <s v="MN 22"/>
    <s v="4012-36"/>
    <x v="1"/>
    <s v="2015-TH-10"/>
    <s v="S"/>
    <s v="MNDOT"/>
    <m/>
    <s v="**FMP** NEAR ST PETER AT BR#40002, RAISE ROAD ELEVATION AND EXTEND BRIDGE"/>
    <s v="063+00.600"/>
    <s v="063+00.950"/>
    <n v="0.4"/>
    <m/>
    <s v="LE SUEUR"/>
    <s v="RD"/>
    <s v="1-M "/>
    <s v="1-M"/>
    <m/>
    <s v="GSBR - GRADE, SURFACE AND BRIDGE"/>
    <s v="GRADE AND BRIDGE"/>
    <s v="NHPP  "/>
    <s v="NHPP"/>
    <m/>
    <m/>
    <n v="2500000"/>
    <n v="0"/>
    <n v="0"/>
    <n v="2000000"/>
    <n v="0"/>
    <n v="2000000"/>
    <n v="0"/>
    <n v="0"/>
    <n v="0"/>
    <n v="0"/>
    <n v="0"/>
    <n v="0"/>
    <n v="0"/>
    <n v="0"/>
    <n v="0"/>
    <n v="0"/>
    <n v="500000"/>
    <n v="0"/>
    <n v="500000"/>
    <m/>
    <n v="0"/>
    <n v="2500000"/>
    <n v="22486734"/>
    <n v="6338056"/>
    <n v="2015"/>
    <m/>
    <m/>
    <s v="FMP"/>
    <m/>
    <m/>
    <m/>
    <s v="NO"/>
    <s v="NO"/>
    <m/>
    <s v="NO"/>
    <s v="NO"/>
    <s v="NO"/>
    <s v="NO"/>
    <n v="0.92900000000000005"/>
    <n v="2322500"/>
    <m/>
    <m/>
    <m/>
    <m/>
    <m/>
    <n v="0"/>
    <m/>
    <m/>
    <n v="0"/>
    <m/>
    <m/>
    <m/>
    <m/>
    <m/>
    <n v="0"/>
    <m/>
    <m/>
    <m/>
    <m/>
    <m/>
    <n v="0"/>
    <m/>
    <m/>
    <m/>
    <m/>
    <m/>
    <n v="0"/>
    <m/>
    <m/>
    <m/>
    <m/>
    <n v="3.5000000000000003E-2"/>
    <n v="87500.000000000015"/>
    <m/>
    <m/>
    <m/>
    <m/>
    <n v="3.5999999999999997E-2"/>
    <n v="90000"/>
    <m/>
    <m/>
    <m/>
    <m/>
    <m/>
    <n v="0"/>
    <m/>
    <m/>
    <m/>
    <m/>
    <m/>
    <n v="0"/>
    <m/>
    <m/>
    <m/>
    <m/>
    <n v="1"/>
    <n v="2500000"/>
  </r>
  <r>
    <m/>
    <n v="7"/>
    <n v="7"/>
    <s v="US"/>
    <n v="169"/>
    <s v="US 169"/>
    <s v="4013-54"/>
    <x v="0"/>
    <m/>
    <s v="S"/>
    <s v="MNDOT"/>
    <m/>
    <s v="**TED14** LE SEUER HILL ACCESS IMPROVEMENTS, CSAH 28"/>
    <n v="0"/>
    <n v="0"/>
    <n v="0"/>
    <m/>
    <s v="LE SUEUR"/>
    <s v="AM"/>
    <s v=" "/>
    <m/>
    <m/>
    <s v="GRSU - GRADE AND SURFACE"/>
    <s v="GRADE AND SURFACE"/>
    <s v="SF  "/>
    <s v="SF"/>
    <m/>
    <m/>
    <n v="4100000"/>
    <n v="0"/>
    <n v="0"/>
    <n v="0"/>
    <n v="0"/>
    <n v="0"/>
    <n v="0"/>
    <n v="0"/>
    <n v="0"/>
    <n v="0"/>
    <n v="0"/>
    <n v="0"/>
    <n v="0"/>
    <n v="0"/>
    <n v="0"/>
    <n v="0"/>
    <n v="2800000"/>
    <n v="0"/>
    <n v="2800000"/>
    <n v="0"/>
    <n v="1300000"/>
    <n v="4100000"/>
    <m/>
    <m/>
    <m/>
    <m/>
    <m/>
    <m/>
    <m/>
    <m/>
    <m/>
    <m/>
    <m/>
    <m/>
    <m/>
    <m/>
    <m/>
    <m/>
    <m/>
    <m/>
    <m/>
    <m/>
    <m/>
    <m/>
    <m/>
    <m/>
    <m/>
    <m/>
    <m/>
    <m/>
    <m/>
    <m/>
    <m/>
    <m/>
    <m/>
    <m/>
    <m/>
    <m/>
    <m/>
    <m/>
    <m/>
    <m/>
    <m/>
    <m/>
    <m/>
    <m/>
    <m/>
    <m/>
    <m/>
    <m/>
    <m/>
    <m/>
    <m/>
    <m/>
    <m/>
    <m/>
    <m/>
    <m/>
    <m/>
    <m/>
    <m/>
    <m/>
    <m/>
    <n v="1"/>
    <n v="2800000"/>
    <m/>
    <m/>
    <m/>
    <m/>
    <m/>
    <m/>
    <m/>
    <m/>
    <m/>
    <m/>
    <n v="1"/>
    <n v="2800000"/>
  </r>
  <r>
    <m/>
    <n v="8"/>
    <n v="8"/>
    <s v="US"/>
    <n v="14"/>
    <s v="US 14"/>
    <s v="4101-89"/>
    <x v="9"/>
    <m/>
    <s v="S"/>
    <s v="MNDOT"/>
    <m/>
    <s v="STATE LINE TO LAKE BENTON, MILL &amp; OVERLAY"/>
    <n v="0"/>
    <n v="8.25"/>
    <n v="8.3000000000000007"/>
    <m/>
    <s v="LINCOLN"/>
    <s v="RS"/>
    <m/>
    <m/>
    <m/>
    <s v="PVTR - PAVEMENT RESURFACE AND REHABILITATION"/>
    <s v="BITUMINOUS OVERLAY"/>
    <s v="NHPP  "/>
    <s v="NHPP"/>
    <m/>
    <m/>
    <n v="2300000"/>
    <n v="0"/>
    <n v="0"/>
    <n v="1840000"/>
    <n v="0"/>
    <n v="1840000"/>
    <n v="0"/>
    <n v="0"/>
    <n v="0"/>
    <n v="0"/>
    <n v="0"/>
    <n v="0"/>
    <n v="0"/>
    <n v="0"/>
    <n v="0"/>
    <n v="0"/>
    <n v="460000"/>
    <n v="0"/>
    <n v="460000"/>
    <n v="0"/>
    <n v="0"/>
    <n v="2300000"/>
    <n v="5440000"/>
    <n v="1370000"/>
    <n v="2017"/>
    <m/>
    <m/>
    <m/>
    <m/>
    <m/>
    <s v="NO"/>
    <s v="NO"/>
    <s v="NO"/>
    <s v="7th District"/>
    <s v="NO"/>
    <s v="NO"/>
    <s v="Yes"/>
    <s v="NO"/>
    <n v="0.88"/>
    <n v="2024000"/>
    <s v="Mill and/or overlay"/>
    <n v="1"/>
    <m/>
    <m/>
    <n v="0"/>
    <n v="0"/>
    <m/>
    <n v="0.12"/>
    <n v="276000"/>
    <s v="Drainage and culverts"/>
    <n v="0.5"/>
    <s v="Pavement markings"/>
    <n v="0.5"/>
    <m/>
    <n v="0"/>
    <m/>
    <m/>
    <m/>
    <m/>
    <m/>
    <n v="0"/>
    <m/>
    <m/>
    <m/>
    <m/>
    <m/>
    <n v="0"/>
    <m/>
    <m/>
    <m/>
    <m/>
    <m/>
    <n v="0"/>
    <m/>
    <m/>
    <m/>
    <m/>
    <m/>
    <n v="0"/>
    <m/>
    <m/>
    <m/>
    <m/>
    <m/>
    <n v="0"/>
    <m/>
    <m/>
    <m/>
    <m/>
    <m/>
    <n v="0"/>
    <m/>
    <m/>
    <m/>
    <m/>
    <n v="1"/>
    <n v="2300000"/>
  </r>
  <r>
    <m/>
    <n v="8"/>
    <n v="8"/>
    <s v="US"/>
    <n v="14"/>
    <s v="US 14"/>
    <s v="4201-41"/>
    <x v="0"/>
    <m/>
    <s v="S"/>
    <s v="MNDOT"/>
    <m/>
    <s v="W. OF MN 23 (FLORENCE) TO TRACY, OVERLAY PLUS 1.5 MILES FULL DEPTH BIT. REPLACEMENT (TIED TO S.P. 4201-90)"/>
    <n v="20.2"/>
    <n v="43.091000000000001"/>
    <n v="22.9"/>
    <m/>
    <s v="LYON"/>
    <s v="RS"/>
    <s v=" "/>
    <m/>
    <m/>
    <s v="PVTR - PAVEMENT RESURFACE AND REHABILITATION"/>
    <s v="SURFACING"/>
    <s v="NHPP  "/>
    <s v="NHPP"/>
    <m/>
    <m/>
    <n v="5200000"/>
    <n v="0"/>
    <n v="0"/>
    <n v="4160000"/>
    <n v="0"/>
    <n v="4160000"/>
    <n v="0"/>
    <n v="0"/>
    <n v="0"/>
    <n v="0"/>
    <n v="0"/>
    <n v="0"/>
    <n v="0"/>
    <n v="0"/>
    <n v="0"/>
    <n v="0"/>
    <n v="1040000"/>
    <n v="0"/>
    <n v="1040000"/>
    <n v="0"/>
    <n v="0"/>
    <n v="5200000"/>
    <n v="14632908"/>
    <n v="4682000"/>
    <n v="2014"/>
    <m/>
    <m/>
    <m/>
    <m/>
    <m/>
    <s v="NO"/>
    <s v="YES"/>
    <s v="NO"/>
    <s v="7th District"/>
    <s v="NO"/>
    <s v="NO"/>
    <s v="Yes"/>
    <s v="NO"/>
    <n v="0.85"/>
    <n v="4420000"/>
    <s v="Mill and/or overlay"/>
    <n v="1"/>
    <m/>
    <m/>
    <m/>
    <n v="0"/>
    <m/>
    <n v="0.12"/>
    <n v="624000"/>
    <s v="Guardrails and fencing"/>
    <n v="0.5"/>
    <s v="Pavement markings"/>
    <n v="0.5"/>
    <m/>
    <n v="0"/>
    <m/>
    <m/>
    <m/>
    <m/>
    <m/>
    <n v="0"/>
    <m/>
    <m/>
    <m/>
    <m/>
    <m/>
    <n v="0"/>
    <m/>
    <m/>
    <m/>
    <m/>
    <m/>
    <n v="0"/>
    <m/>
    <m/>
    <m/>
    <m/>
    <n v="0.03"/>
    <n v="156000"/>
    <s v="ADA improvements - curb"/>
    <n v="1"/>
    <m/>
    <m/>
    <m/>
    <n v="0"/>
    <m/>
    <m/>
    <m/>
    <m/>
    <m/>
    <n v="0"/>
    <m/>
    <m/>
    <m/>
    <m/>
    <n v="1"/>
    <n v="5200000"/>
  </r>
  <r>
    <m/>
    <n v="8"/>
    <n v="8"/>
    <s v="US"/>
    <n v="14"/>
    <s v="US 14"/>
    <s v="4201-90"/>
    <x v="0"/>
    <m/>
    <s v="S"/>
    <s v="MNDOT"/>
    <m/>
    <s v="**FMP** - 1.5 MILES W. OF MN 23 TO 1.0 MILES W. OF MN 23, GRADE RAISE (TIED TO S.P. 4201-41)"/>
    <n v="19.7"/>
    <n v="20.2"/>
    <n v="0.5"/>
    <m/>
    <s v="LYON"/>
    <s v="RC"/>
    <s v=" "/>
    <m/>
    <m/>
    <s v="GRSU - GRADE AND SURFACE"/>
    <s v="GRADE AND SURFACE"/>
    <s v="BF  "/>
    <s v="BF"/>
    <m/>
    <m/>
    <n v="940000"/>
    <n v="0"/>
    <n v="0"/>
    <n v="0"/>
    <n v="0"/>
    <n v="0"/>
    <n v="0"/>
    <n v="0"/>
    <n v="0"/>
    <n v="0"/>
    <n v="0"/>
    <n v="0"/>
    <n v="0"/>
    <n v="0"/>
    <n v="0"/>
    <n v="0"/>
    <n v="0"/>
    <n v="0"/>
    <n v="0"/>
    <n v="940000"/>
    <n v="0"/>
    <n v="940000"/>
    <n v="14632908"/>
    <n v="4682000"/>
    <n v="2014"/>
    <m/>
    <m/>
    <s v="FMP"/>
    <m/>
    <m/>
    <s v="NA"/>
    <s v="NO"/>
    <s v="NO"/>
    <s v="7th District"/>
    <s v="NO"/>
    <s v="NO"/>
    <s v="NO"/>
    <s v="NO"/>
    <n v="0.6"/>
    <n v="564000"/>
    <s v="Reconstruction"/>
    <n v="1"/>
    <m/>
    <m/>
    <m/>
    <n v="0"/>
    <m/>
    <n v="0.4"/>
    <n v="376000"/>
    <s v="Drainage and culverts"/>
    <n v="1"/>
    <m/>
    <m/>
    <m/>
    <n v="0"/>
    <m/>
    <m/>
    <m/>
    <m/>
    <m/>
    <n v="0"/>
    <m/>
    <m/>
    <m/>
    <m/>
    <m/>
    <n v="0"/>
    <m/>
    <m/>
    <m/>
    <m/>
    <m/>
    <n v="0"/>
    <m/>
    <m/>
    <m/>
    <m/>
    <m/>
    <n v="0"/>
    <m/>
    <m/>
    <m/>
    <m/>
    <m/>
    <n v="0"/>
    <m/>
    <m/>
    <m/>
    <m/>
    <m/>
    <n v="0"/>
    <m/>
    <m/>
    <m/>
    <m/>
    <n v="1"/>
    <n v="940000"/>
  </r>
  <r>
    <m/>
    <n v="8"/>
    <n v="8"/>
    <s v="MN"/>
    <n v="19"/>
    <s v="MN 19"/>
    <s v="4204-38"/>
    <x v="9"/>
    <m/>
    <s v="S"/>
    <s v="MNDOT"/>
    <m/>
    <s v="LYON CSAH 5 TO LYON CSAH 7 (MARSHALL), OVERLAY"/>
    <n v="29.277999999999999"/>
    <n v="33.200000000000003"/>
    <n v="3.9"/>
    <m/>
    <s v="LYON"/>
    <s v="RS"/>
    <m/>
    <m/>
    <m/>
    <s v="PVTR - PAVEMENT RESURFACE AND REHABILITATION"/>
    <s v="BITUMINOUS OVERLAY"/>
    <s v="STP 5K-200K  "/>
    <s v="STP 5K-200K"/>
    <m/>
    <m/>
    <n v="610000"/>
    <n v="0"/>
    <n v="0"/>
    <n v="488000"/>
    <n v="0"/>
    <n v="488000"/>
    <n v="0"/>
    <n v="0"/>
    <n v="0"/>
    <n v="0"/>
    <n v="0"/>
    <n v="0"/>
    <n v="0"/>
    <n v="0"/>
    <n v="0"/>
    <n v="0"/>
    <n v="122000"/>
    <n v="0"/>
    <n v="122000"/>
    <n v="0"/>
    <n v="0"/>
    <n v="610000"/>
    <n v="5928000"/>
    <n v="1492000"/>
    <n v="2017"/>
    <m/>
    <m/>
    <m/>
    <m/>
    <m/>
    <s v="NO"/>
    <s v="NO"/>
    <s v="NO"/>
    <s v="7th District"/>
    <s v="NO"/>
    <s v="NO"/>
    <s v="Yes"/>
    <s v="NO"/>
    <n v="0.93"/>
    <n v="567300"/>
    <s v="Mill and/or overlay"/>
    <n v="1"/>
    <m/>
    <m/>
    <m/>
    <n v="0"/>
    <m/>
    <n v="7.0000000000000007E-2"/>
    <n v="42700.000000000007"/>
    <s v="Pavement markings"/>
    <n v="1"/>
    <m/>
    <m/>
    <m/>
    <n v="0"/>
    <m/>
    <m/>
    <m/>
    <m/>
    <m/>
    <n v="0"/>
    <m/>
    <m/>
    <m/>
    <m/>
    <m/>
    <n v="0"/>
    <m/>
    <m/>
    <m/>
    <m/>
    <m/>
    <n v="0"/>
    <m/>
    <m/>
    <m/>
    <m/>
    <m/>
    <n v="0"/>
    <m/>
    <m/>
    <m/>
    <m/>
    <m/>
    <n v="0"/>
    <m/>
    <m/>
    <m/>
    <m/>
    <m/>
    <n v="0"/>
    <m/>
    <m/>
    <m/>
    <m/>
    <n v="1"/>
    <n v="610000"/>
  </r>
  <r>
    <m/>
    <n v="8"/>
    <n v="8"/>
    <s v="MN"/>
    <n v="19"/>
    <s v="MN 19"/>
    <s v="4205-32"/>
    <x v="1"/>
    <m/>
    <s v="S"/>
    <s v="MNDOT"/>
    <m/>
    <s v="BRUCE STREET TO JCT. MN 23 (MARSHALL), MILL &amp; OVERLAY"/>
    <n v="35.494"/>
    <n v="36.487000000000002"/>
    <n v="1"/>
    <m/>
    <s v="LYON"/>
    <s v="RS"/>
    <s v=" "/>
    <m/>
    <m/>
    <s v="PVTR - PAVEMENT RESURFACE AND REHABILITATION"/>
    <s v="MILL AND OVERLAY"/>
    <s v="NHPP  "/>
    <s v="NHPP"/>
    <m/>
    <m/>
    <n v="500000"/>
    <n v="0"/>
    <n v="0"/>
    <n v="400000"/>
    <n v="0"/>
    <n v="400000"/>
    <n v="0"/>
    <n v="0"/>
    <n v="0"/>
    <n v="0"/>
    <n v="0"/>
    <n v="0"/>
    <n v="0"/>
    <n v="0"/>
    <n v="0"/>
    <n v="0"/>
    <n v="100000"/>
    <n v="0"/>
    <n v="100000"/>
    <n v="0"/>
    <n v="0"/>
    <n v="500000"/>
    <n v="12000163"/>
    <n v="1820000"/>
    <n v="2015"/>
    <m/>
    <m/>
    <m/>
    <m/>
    <m/>
    <s v="NO"/>
    <s v="NO"/>
    <s v="NO"/>
    <s v="7th District"/>
    <s v="NO"/>
    <s v="NO"/>
    <s v="Yes"/>
    <s v="NO"/>
    <n v="0.93"/>
    <n v="465000"/>
    <s v="Mill and/or overlay"/>
    <n v="1"/>
    <m/>
    <m/>
    <m/>
    <n v="0"/>
    <m/>
    <n v="7.0000000000000007E-2"/>
    <n v="35000"/>
    <s v="Pavement markings"/>
    <n v="0.5"/>
    <s v="Signals"/>
    <n v="0.5"/>
    <m/>
    <n v="0"/>
    <m/>
    <m/>
    <m/>
    <m/>
    <m/>
    <n v="0"/>
    <m/>
    <m/>
    <m/>
    <m/>
    <m/>
    <n v="0"/>
    <m/>
    <m/>
    <m/>
    <m/>
    <m/>
    <n v="0"/>
    <m/>
    <m/>
    <m/>
    <m/>
    <m/>
    <n v="0"/>
    <m/>
    <m/>
    <m/>
    <m/>
    <m/>
    <n v="0"/>
    <m/>
    <m/>
    <m/>
    <m/>
    <m/>
    <n v="0"/>
    <m/>
    <m/>
    <m/>
    <m/>
    <n v="1"/>
    <n v="500000"/>
  </r>
  <r>
    <m/>
    <n v="8"/>
    <n v="8"/>
    <s v="MN"/>
    <n v="23"/>
    <s v="MN 23"/>
    <s v="4207-55"/>
    <x v="1"/>
    <m/>
    <s v="S"/>
    <s v="MNDOT"/>
    <m/>
    <s v="**CIMS** JCT OF MN 23 &amp; SARATOGA IN MARSHALL, RCI (REDUCED CONFLICT INTERSECTION) &amp; IMPROVED PEDESTRIAN FACILITIES"/>
    <n v="0"/>
    <n v="0"/>
    <n v="0"/>
    <s v="MARSHALL"/>
    <s v="LYON"/>
    <s v="AM"/>
    <m/>
    <m/>
    <m/>
    <s v="GRSU - GRADE AND SURFACE"/>
    <s v="TURN LANES"/>
    <s v="SF  "/>
    <s v="SF"/>
    <m/>
    <m/>
    <n v="3500000"/>
    <n v="0"/>
    <n v="0"/>
    <n v="0"/>
    <n v="0"/>
    <n v="0"/>
    <n v="0"/>
    <n v="0"/>
    <n v="0"/>
    <n v="0"/>
    <n v="0"/>
    <n v="0"/>
    <n v="0"/>
    <n v="0"/>
    <n v="0"/>
    <n v="0"/>
    <n v="3500000"/>
    <n v="0"/>
    <n v="3500000"/>
    <n v="0"/>
    <n v="0"/>
    <n v="3500000"/>
    <m/>
    <m/>
    <m/>
    <m/>
    <m/>
    <m/>
    <m/>
    <m/>
    <m/>
    <m/>
    <m/>
    <m/>
    <m/>
    <m/>
    <m/>
    <m/>
    <m/>
    <m/>
    <m/>
    <m/>
    <m/>
    <m/>
    <m/>
    <m/>
    <m/>
    <m/>
    <m/>
    <m/>
    <m/>
    <m/>
    <m/>
    <m/>
    <m/>
    <m/>
    <m/>
    <m/>
    <m/>
    <m/>
    <m/>
    <m/>
    <m/>
    <m/>
    <m/>
    <m/>
    <m/>
    <m/>
    <m/>
    <m/>
    <m/>
    <m/>
    <m/>
    <m/>
    <m/>
    <m/>
    <m/>
    <m/>
    <m/>
    <m/>
    <m/>
    <m/>
    <m/>
    <n v="1"/>
    <n v="3500000"/>
    <m/>
    <m/>
    <m/>
    <m/>
    <m/>
    <m/>
    <m/>
    <m/>
    <m/>
    <m/>
    <n v="1"/>
    <n v="3500000"/>
  </r>
  <r>
    <m/>
    <n v="8"/>
    <n v="8"/>
    <s v="US"/>
    <n v="59"/>
    <s v="US 59"/>
    <s v="4208-58"/>
    <x v="1"/>
    <m/>
    <s v="S"/>
    <s v="MNDOT"/>
    <m/>
    <s v="**ADA** MN 19 TO MN 23 (MARSHALL), MILL &amp; OVERLAY PLUS PEDESTRIAN RAMPS "/>
    <n v="72.599999999999994"/>
    <n v="73.599999999999994"/>
    <n v="1"/>
    <s v="MARSHALL"/>
    <s v="LYON"/>
    <s v="SC"/>
    <s v=" "/>
    <m/>
    <m/>
    <s v="APPU - APPURTENANCES"/>
    <s v="PED./BIKE IMPROVEMENT"/>
    <s v="NHPP  "/>
    <s v="NHPP"/>
    <m/>
    <m/>
    <n v="937500"/>
    <n v="0"/>
    <n v="0"/>
    <n v="750000"/>
    <n v="0"/>
    <n v="750000"/>
    <n v="0"/>
    <n v="0"/>
    <n v="0"/>
    <n v="0"/>
    <n v="0"/>
    <n v="0"/>
    <n v="0"/>
    <n v="0"/>
    <n v="0"/>
    <n v="0"/>
    <n v="187500"/>
    <n v="0"/>
    <n v="187500"/>
    <n v="0"/>
    <n v="0"/>
    <n v="937500"/>
    <n v="16502563"/>
    <n v="4899500"/>
    <n v="2015"/>
    <m/>
    <m/>
    <s v="ADA"/>
    <m/>
    <m/>
    <s v="NO"/>
    <s v="YES"/>
    <s v="NO"/>
    <s v="7th District"/>
    <s v="NO"/>
    <s v="NO"/>
    <s v="Yes"/>
    <s v="NO"/>
    <n v="0.79"/>
    <n v="740625"/>
    <s v="Mill and/or overlay"/>
    <n v="1"/>
    <m/>
    <m/>
    <m/>
    <n v="0"/>
    <m/>
    <n v="0.06"/>
    <n v="56250"/>
    <s v="Drainage and culverts"/>
    <n v="0.9"/>
    <s v="Signals"/>
    <n v="0.1"/>
    <m/>
    <n v="0"/>
    <m/>
    <m/>
    <m/>
    <m/>
    <m/>
    <n v="0"/>
    <m/>
    <m/>
    <m/>
    <m/>
    <m/>
    <n v="0"/>
    <m/>
    <m/>
    <m/>
    <m/>
    <m/>
    <n v="0"/>
    <m/>
    <m/>
    <m/>
    <m/>
    <n v="0.15"/>
    <n v="140625"/>
    <s v="ADA improvements - curb"/>
    <n v="0.6"/>
    <s v="ADA improvements - APS"/>
    <n v="0.4"/>
    <m/>
    <n v="0"/>
    <m/>
    <m/>
    <m/>
    <m/>
    <m/>
    <n v="0"/>
    <m/>
    <m/>
    <m/>
    <m/>
    <n v="1"/>
    <n v="937500"/>
  </r>
  <r>
    <m/>
    <n v="8"/>
    <n v="8"/>
    <s v="US"/>
    <n v="59"/>
    <s v="US 59"/>
    <s v="4209-23"/>
    <x v="1"/>
    <m/>
    <s v="S"/>
    <s v="MNDOT"/>
    <m/>
    <s v="N. JCT. MN 68 (MARSHALL) TO N. OF LYON CSAH 33, MILL &amp; OVERLAY"/>
    <n v="74.218000000000004"/>
    <n v="75.456000000000003"/>
    <n v="1.3"/>
    <m/>
    <s v="LYON"/>
    <s v="RS"/>
    <s v=" "/>
    <m/>
    <m/>
    <s v="PVTR - PAVEMENT RESURFACE AND REHABILITATION"/>
    <s v="MILL AND OVERLAY"/>
    <s v="SF  "/>
    <s v="SF"/>
    <m/>
    <m/>
    <n v="720000"/>
    <n v="0"/>
    <n v="0"/>
    <n v="0"/>
    <n v="0"/>
    <n v="0"/>
    <n v="0"/>
    <n v="0"/>
    <n v="0"/>
    <n v="0"/>
    <n v="0"/>
    <n v="0"/>
    <n v="0"/>
    <n v="0"/>
    <n v="0"/>
    <n v="0"/>
    <n v="720000"/>
    <n v="0"/>
    <n v="720000"/>
    <n v="0"/>
    <n v="0"/>
    <n v="720000"/>
    <n v="16502563"/>
    <n v="5619500"/>
    <n v="2015"/>
    <m/>
    <m/>
    <m/>
    <m/>
    <m/>
    <s v="YES"/>
    <s v="NO"/>
    <s v="NO"/>
    <s v="7th District"/>
    <s v="NO"/>
    <s v="NO"/>
    <s v="Yes"/>
    <s v="NO"/>
    <n v="0.95"/>
    <n v="684000"/>
    <s v="Mill and/or overlay"/>
    <n v="1"/>
    <m/>
    <m/>
    <m/>
    <n v="0"/>
    <m/>
    <n v="0.05"/>
    <n v="36000"/>
    <s v="Other structures"/>
    <n v="0.6"/>
    <s v="Pavement markings"/>
    <n v="0.4"/>
    <m/>
    <n v="0"/>
    <m/>
    <m/>
    <m/>
    <m/>
    <m/>
    <n v="0"/>
    <m/>
    <m/>
    <m/>
    <m/>
    <m/>
    <n v="0"/>
    <m/>
    <m/>
    <m/>
    <m/>
    <m/>
    <n v="0"/>
    <m/>
    <m/>
    <m/>
    <m/>
    <m/>
    <n v="0"/>
    <m/>
    <m/>
    <m/>
    <m/>
    <m/>
    <n v="0"/>
    <m/>
    <m/>
    <m/>
    <m/>
    <m/>
    <n v="0"/>
    <m/>
    <m/>
    <m/>
    <m/>
    <n v="1"/>
    <n v="720000"/>
  </r>
  <r>
    <m/>
    <n v="8"/>
    <n v="8"/>
    <s v="US"/>
    <n v="59"/>
    <s v="US 59"/>
    <s v="4209-25"/>
    <x v="0"/>
    <m/>
    <s v="S"/>
    <s v="MNDOT"/>
    <m/>
    <s v="N. OF MARSHALL (BY TITAN MACHINE), TURN LANE"/>
    <n v="75"/>
    <n v="75"/>
    <n v="0"/>
    <m/>
    <s v="LYON"/>
    <s v="SC"/>
    <m/>
    <m/>
    <m/>
    <s v="GRSU - GRADE AND SURFACE"/>
    <s v="TURN LANES"/>
    <s v="SF  "/>
    <s v="SF"/>
    <m/>
    <m/>
    <n v="60000"/>
    <n v="0"/>
    <n v="0"/>
    <n v="0"/>
    <n v="0"/>
    <n v="0"/>
    <n v="0"/>
    <n v="0"/>
    <n v="0"/>
    <n v="0"/>
    <n v="0"/>
    <n v="0"/>
    <n v="0"/>
    <n v="0"/>
    <n v="0"/>
    <n v="0"/>
    <n v="60000"/>
    <n v="0"/>
    <n v="60000"/>
    <n v="0"/>
    <n v="0"/>
    <n v="60000"/>
    <n v="22872908"/>
    <n v="6802000"/>
    <n v="2014"/>
    <m/>
    <m/>
    <m/>
    <m/>
    <m/>
    <s v="NO"/>
    <s v="NO"/>
    <s v="NO"/>
    <s v="7th District"/>
    <s v="NO"/>
    <s v="NO"/>
    <s v="Yes"/>
    <s v="NO"/>
    <m/>
    <n v="0"/>
    <m/>
    <m/>
    <m/>
    <m/>
    <m/>
    <n v="0"/>
    <m/>
    <m/>
    <n v="0"/>
    <m/>
    <m/>
    <m/>
    <m/>
    <m/>
    <n v="0"/>
    <m/>
    <m/>
    <m/>
    <m/>
    <m/>
    <n v="0"/>
    <m/>
    <m/>
    <m/>
    <m/>
    <m/>
    <n v="0"/>
    <m/>
    <m/>
    <m/>
    <m/>
    <m/>
    <n v="0"/>
    <m/>
    <m/>
    <m/>
    <m/>
    <m/>
    <n v="0"/>
    <m/>
    <m/>
    <m/>
    <m/>
    <n v="1"/>
    <n v="60000"/>
    <s v="District program"/>
    <n v="1"/>
    <m/>
    <m/>
    <m/>
    <n v="0"/>
    <m/>
    <m/>
    <m/>
    <m/>
    <n v="1"/>
    <n v="60000"/>
  </r>
  <r>
    <m/>
    <n v="8"/>
    <n v="8"/>
    <s v="MN"/>
    <n v="68"/>
    <s v="MN 68"/>
    <s v="4210-42002A"/>
    <x v="1"/>
    <m/>
    <s v="S"/>
    <s v="MNDOT"/>
    <m/>
    <s v="N, OF US 59, SCARIFY &amp; LOW SLUMP OVERLAY ON BRIDGE #42002"/>
    <n v="37.993000000000002"/>
    <n v="37.933"/>
    <n v="0"/>
    <m/>
    <s v="LYON"/>
    <s v="BI"/>
    <s v=" "/>
    <m/>
    <m/>
    <s v="BRRH - BRIDGE REHABILITATION"/>
    <s v="BRIDGE OVERLAY"/>
    <s v="SF  "/>
    <s v="SF"/>
    <m/>
    <m/>
    <n v="290000"/>
    <n v="0"/>
    <n v="0"/>
    <n v="0"/>
    <n v="0"/>
    <n v="0"/>
    <n v="0"/>
    <n v="0"/>
    <n v="0"/>
    <n v="0"/>
    <n v="0"/>
    <n v="0"/>
    <n v="0"/>
    <n v="0"/>
    <n v="0"/>
    <n v="0"/>
    <n v="290000"/>
    <n v="0"/>
    <n v="290000"/>
    <n v="0"/>
    <n v="0"/>
    <n v="290000"/>
    <n v="21542563"/>
    <n v="7619500"/>
    <n v="2015"/>
    <m/>
    <m/>
    <m/>
    <m/>
    <m/>
    <s v="YES"/>
    <s v="NO"/>
    <s v="NO"/>
    <s v="7th District"/>
    <s v="NO"/>
    <s v="NO"/>
    <s v="Yes"/>
    <s v="NO"/>
    <m/>
    <n v="0"/>
    <m/>
    <m/>
    <m/>
    <m/>
    <n v="0.88"/>
    <n v="255200"/>
    <s v="Preservation - Overlay"/>
    <n v="0.12"/>
    <n v="34800"/>
    <s v="Guardrails and fencing"/>
    <n v="1"/>
    <m/>
    <m/>
    <m/>
    <n v="0"/>
    <m/>
    <m/>
    <m/>
    <m/>
    <m/>
    <n v="0"/>
    <m/>
    <m/>
    <m/>
    <m/>
    <m/>
    <n v="0"/>
    <m/>
    <m/>
    <m/>
    <m/>
    <m/>
    <n v="0"/>
    <m/>
    <m/>
    <m/>
    <m/>
    <m/>
    <n v="0"/>
    <m/>
    <m/>
    <m/>
    <m/>
    <m/>
    <n v="0"/>
    <m/>
    <m/>
    <m/>
    <m/>
    <m/>
    <n v="0"/>
    <m/>
    <m/>
    <m/>
    <m/>
    <n v="1"/>
    <n v="290000"/>
  </r>
  <r>
    <m/>
    <n v="8"/>
    <n v="8"/>
    <s v="MN"/>
    <n v="68"/>
    <s v="MN 68"/>
    <s v="4210-51"/>
    <x v="1"/>
    <m/>
    <s v="S"/>
    <s v="MNDOT"/>
    <m/>
    <s v="JCT OF MN 68 AND LYON CSAH 33 (MARSHALL), LEFT TURN LANE"/>
    <n v="36.633000000000003"/>
    <n v="36.633000000000003"/>
    <n v="0"/>
    <m/>
    <s v="LYON"/>
    <s v="SC"/>
    <s v=" "/>
    <m/>
    <m/>
    <s v="GRSU - GRADE AND SURFACE"/>
    <s v="TURN LANES"/>
    <s v="SF  "/>
    <s v="SF"/>
    <m/>
    <m/>
    <n v="450000"/>
    <n v="0"/>
    <n v="0"/>
    <n v="0"/>
    <n v="0"/>
    <n v="0"/>
    <n v="0"/>
    <n v="0"/>
    <n v="0"/>
    <n v="0"/>
    <n v="0"/>
    <n v="0"/>
    <n v="0"/>
    <n v="0"/>
    <n v="0"/>
    <n v="0"/>
    <n v="450000"/>
    <n v="0"/>
    <n v="450000"/>
    <n v="0"/>
    <n v="0"/>
    <n v="450000"/>
    <n v="21542563"/>
    <n v="7329500"/>
    <n v="2015"/>
    <m/>
    <m/>
    <m/>
    <m/>
    <m/>
    <s v="YES"/>
    <s v="NO"/>
    <s v="NO"/>
    <s v="7th District"/>
    <s v="NO"/>
    <s v="NO"/>
    <s v="Yes"/>
    <s v="NO"/>
    <m/>
    <n v="0"/>
    <m/>
    <m/>
    <m/>
    <m/>
    <m/>
    <n v="0"/>
    <m/>
    <n v="0"/>
    <n v="0"/>
    <m/>
    <m/>
    <m/>
    <m/>
    <m/>
    <n v="0"/>
    <m/>
    <m/>
    <m/>
    <m/>
    <m/>
    <n v="0"/>
    <m/>
    <m/>
    <m/>
    <m/>
    <m/>
    <n v="0"/>
    <m/>
    <m/>
    <m/>
    <m/>
    <m/>
    <n v="0"/>
    <m/>
    <m/>
    <m/>
    <m/>
    <m/>
    <n v="0"/>
    <m/>
    <m/>
    <m/>
    <m/>
    <n v="1"/>
    <n v="450000"/>
    <s v="District program"/>
    <n v="1"/>
    <m/>
    <m/>
    <m/>
    <n v="0"/>
    <m/>
    <m/>
    <m/>
    <m/>
    <n v="1"/>
    <n v="450000"/>
  </r>
  <r>
    <m/>
    <n v="8"/>
    <n v="8"/>
    <s v="MN"/>
    <n v="15"/>
    <s v="MN 15"/>
    <s v="4303-89"/>
    <x v="2"/>
    <m/>
    <s v="S"/>
    <s v="MNDOT"/>
    <m/>
    <s v="**ELLA** - WINTHROP TO BROWNTON, MILL &amp; OVERLAY"/>
    <n v="77.364999999999995"/>
    <n v="89.094999999999999"/>
    <n v="12.2"/>
    <m/>
    <s v="MCLEOD"/>
    <s v="RS"/>
    <m/>
    <m/>
    <m/>
    <s v="PVTR - PAVEMENT RESURFACE AND REHABILITATION"/>
    <s v="MILL AND OVERLAY"/>
    <s v="NHPP  "/>
    <s v="NHPP"/>
    <m/>
    <m/>
    <n v="4200000"/>
    <n v="0"/>
    <n v="0"/>
    <n v="3360000"/>
    <n v="0"/>
    <n v="3360000"/>
    <n v="0"/>
    <n v="0"/>
    <n v="0"/>
    <n v="0"/>
    <n v="0"/>
    <n v="0"/>
    <n v="0"/>
    <n v="0"/>
    <n v="0"/>
    <n v="0"/>
    <n v="840000"/>
    <n v="0"/>
    <n v="840000"/>
    <n v="0"/>
    <n v="0"/>
    <n v="4200000"/>
    <n v="12571134"/>
    <n v="1740000"/>
    <n v="2016"/>
    <m/>
    <m/>
    <s v="Do Not Know"/>
    <m/>
    <m/>
    <s v="NO"/>
    <s v="NO"/>
    <s v="NO"/>
    <s v="7th District"/>
    <s v="YES"/>
    <s v="NO"/>
    <s v="Yes"/>
    <s v="NO"/>
    <n v="0.88"/>
    <n v="3696000"/>
    <s v="Mill and/or overlay"/>
    <n v="1"/>
    <m/>
    <m/>
    <m/>
    <n v="0"/>
    <m/>
    <n v="0.12"/>
    <n v="504000"/>
    <s v="Drainage and culverts"/>
    <n v="0.5"/>
    <s v="Pavement markings"/>
    <n v="0.5"/>
    <m/>
    <n v="0"/>
    <m/>
    <m/>
    <m/>
    <m/>
    <m/>
    <n v="0"/>
    <m/>
    <m/>
    <m/>
    <m/>
    <m/>
    <n v="0"/>
    <m/>
    <m/>
    <m/>
    <m/>
    <m/>
    <n v="0"/>
    <m/>
    <m/>
    <m/>
    <m/>
    <m/>
    <n v="0"/>
    <m/>
    <m/>
    <m/>
    <m/>
    <m/>
    <n v="0"/>
    <m/>
    <m/>
    <m/>
    <m/>
    <m/>
    <n v="0"/>
    <m/>
    <m/>
    <m/>
    <m/>
    <n v="1"/>
    <n v="4200000"/>
  </r>
  <r>
    <m/>
    <n v="8"/>
    <n v="8"/>
    <s v="MN"/>
    <n v="22"/>
    <s v="MN 22"/>
    <s v="4307-41"/>
    <x v="0"/>
    <m/>
    <s v="S"/>
    <s v="MNDOT"/>
    <m/>
    <s v="W. EDGE OF GLENCOE TO S. OF CSAH 115 (HUTCH BY-PASS), OVERLAY"/>
    <n v="108.072"/>
    <n v="118.38200000000001"/>
    <n v="10.3"/>
    <m/>
    <s v="MCLEOD"/>
    <s v="RS"/>
    <s v=" "/>
    <m/>
    <m/>
    <s v="PVTR - PAVEMENT RESURFACE AND REHABILITATION"/>
    <s v="SURFACING"/>
    <s v="STP 5K &gt;  "/>
    <s v="STP 5K &gt;"/>
    <m/>
    <m/>
    <n v="1400000"/>
    <n v="0"/>
    <n v="0"/>
    <n v="1120000"/>
    <n v="0"/>
    <n v="1120000"/>
    <n v="0"/>
    <n v="0"/>
    <n v="0"/>
    <n v="0"/>
    <n v="0"/>
    <n v="0"/>
    <n v="0"/>
    <n v="0"/>
    <n v="0"/>
    <n v="0"/>
    <n v="280000"/>
    <n v="0"/>
    <n v="280000"/>
    <n v="0"/>
    <n v="0"/>
    <n v="1400000"/>
    <n v="15752908"/>
    <n v="4962000"/>
    <n v="2014"/>
    <m/>
    <m/>
    <m/>
    <m/>
    <m/>
    <s v="NO"/>
    <s v="YES"/>
    <s v="NO"/>
    <s v="7th District"/>
    <s v="NO"/>
    <s v="NO"/>
    <s v="Yes"/>
    <s v="NO"/>
    <n v="0.92"/>
    <n v="1288000"/>
    <s v="Mill and/or overlay"/>
    <n v="1"/>
    <m/>
    <m/>
    <m/>
    <n v="0"/>
    <m/>
    <n v="0.03"/>
    <n v="42000"/>
    <s v="Pavement markings"/>
    <n v="1"/>
    <m/>
    <m/>
    <m/>
    <n v="0"/>
    <m/>
    <m/>
    <m/>
    <m/>
    <m/>
    <n v="0"/>
    <m/>
    <m/>
    <m/>
    <m/>
    <m/>
    <n v="0"/>
    <m/>
    <m/>
    <m/>
    <m/>
    <m/>
    <n v="0"/>
    <m/>
    <m/>
    <m/>
    <m/>
    <n v="0.05"/>
    <n v="70000"/>
    <s v="ADA improvements - curb"/>
    <n v="0.5"/>
    <s v="Sidewalk"/>
    <n v="0.5"/>
    <m/>
    <n v="0"/>
    <m/>
    <m/>
    <m/>
    <m/>
    <m/>
    <n v="0"/>
    <m/>
    <m/>
    <m/>
    <m/>
    <n v="1"/>
    <n v="1400000"/>
  </r>
  <r>
    <m/>
    <n v="8"/>
    <n v="8"/>
    <s v="MN"/>
    <n v="22"/>
    <s v="MN 22"/>
    <s v="4308-30"/>
    <x v="0"/>
    <m/>
    <s v="S"/>
    <s v="MNDOT"/>
    <m/>
    <s v="JCT OF MN 7 &amp; MN 22, MODIFY &quot;Y&quot; INTERSECTION (THIS PROJECT HAS WORK ON BOTH MN 22 AND MN 7) (TIED TO S.P.'S 4703-26 &amp; 4308-32)"/>
    <n v="129.94499999999999"/>
    <n v="130.44499999999999"/>
    <n v="0.5"/>
    <m/>
    <s v="MCLEOD"/>
    <s v="SC"/>
    <s v=" "/>
    <m/>
    <m/>
    <s v="GRSU - GRADE AND SURFACE"/>
    <s v="GRADE AND SURFACE"/>
    <s v="STP 5K &gt;  "/>
    <s v="STP 5K &gt;"/>
    <m/>
    <m/>
    <n v="2300000"/>
    <n v="0"/>
    <n v="0"/>
    <n v="1840000"/>
    <n v="0"/>
    <n v="1840000"/>
    <n v="0"/>
    <n v="0"/>
    <n v="0"/>
    <n v="0"/>
    <n v="0"/>
    <n v="0"/>
    <n v="0"/>
    <n v="0"/>
    <n v="0"/>
    <n v="0"/>
    <n v="460000"/>
    <n v="0"/>
    <n v="460000"/>
    <n v="0"/>
    <n v="0"/>
    <n v="2300000"/>
    <n v="17592908"/>
    <n v="5422000"/>
    <n v="2014"/>
    <m/>
    <m/>
    <m/>
    <m/>
    <m/>
    <s v="YES"/>
    <s v="NO"/>
    <s v="NO"/>
    <s v="7th District"/>
    <s v="NO"/>
    <s v="NO"/>
    <s v="Yes"/>
    <s v="NO"/>
    <n v="0.25"/>
    <n v="575000"/>
    <s v="Reconstruction"/>
    <n v="1"/>
    <m/>
    <m/>
    <m/>
    <n v="0"/>
    <m/>
    <n v="0.13"/>
    <n v="299000"/>
    <s v="Drainage and culverts"/>
    <n v="1"/>
    <m/>
    <m/>
    <n v="0.62"/>
    <n v="1426000"/>
    <s v="Sustained crash locations"/>
    <m/>
    <m/>
    <m/>
    <m/>
    <n v="0"/>
    <m/>
    <m/>
    <m/>
    <m/>
    <m/>
    <n v="0"/>
    <m/>
    <m/>
    <m/>
    <m/>
    <m/>
    <n v="0"/>
    <m/>
    <m/>
    <m/>
    <m/>
    <m/>
    <n v="0"/>
    <m/>
    <m/>
    <m/>
    <m/>
    <m/>
    <n v="0"/>
    <m/>
    <m/>
    <m/>
    <m/>
    <m/>
    <n v="0"/>
    <m/>
    <m/>
    <m/>
    <m/>
    <n v="1"/>
    <n v="2300000"/>
  </r>
  <r>
    <m/>
    <n v="8"/>
    <n v="8"/>
    <s v="MN"/>
    <n v="22"/>
    <s v="MN 22"/>
    <s v="4308-32"/>
    <x v="0"/>
    <m/>
    <s v="S"/>
    <s v="MNDOT"/>
    <m/>
    <s v="W. JCT MN 7 TO SHADY RIDGE ROAD (HUTCHINSON) , OVERLAY (TIED TO S.P.'S 4703-26 &amp; 4308-30)"/>
    <n v="123.36499999999999"/>
    <n v="129.94499999999999"/>
    <n v="6.6"/>
    <s v="HUTCHINSON"/>
    <s v="MCLEOD"/>
    <s v="RS"/>
    <s v=" "/>
    <m/>
    <m/>
    <s v="PVTR - PAVEMENT RESURFACE AND REHABILITATION"/>
    <s v="BITUMINOUS OVERLAY"/>
    <s v="STP 5K - 200K  "/>
    <s v="STP 5K - 200K"/>
    <m/>
    <m/>
    <n v="2800000"/>
    <n v="0"/>
    <n v="0"/>
    <n v="2240000"/>
    <n v="0"/>
    <n v="2240000"/>
    <n v="0"/>
    <n v="0"/>
    <n v="0"/>
    <n v="0"/>
    <n v="0"/>
    <n v="0"/>
    <n v="0"/>
    <n v="0"/>
    <n v="0"/>
    <n v="0"/>
    <n v="560000"/>
    <n v="0"/>
    <n v="560000"/>
    <n v="0"/>
    <n v="0"/>
    <n v="2800000"/>
    <n v="19832908"/>
    <n v="5982000"/>
    <n v="2014"/>
    <m/>
    <m/>
    <m/>
    <m/>
    <m/>
    <s v="YES"/>
    <s v="NO"/>
    <s v="NO"/>
    <s v="7th District"/>
    <s v="NO"/>
    <s v="NO"/>
    <s v="Yes"/>
    <s v="NO"/>
    <n v="0.88"/>
    <n v="2464000"/>
    <s v="Mill and/or overlay"/>
    <n v="1"/>
    <m/>
    <m/>
    <m/>
    <n v="0"/>
    <m/>
    <n v="0.06"/>
    <n v="168000"/>
    <s v="Drainage and culverts"/>
    <n v="0.6"/>
    <s v="Pavement markings"/>
    <n v="0.4"/>
    <m/>
    <n v="0"/>
    <m/>
    <m/>
    <m/>
    <m/>
    <m/>
    <n v="0"/>
    <m/>
    <m/>
    <m/>
    <m/>
    <m/>
    <n v="0"/>
    <m/>
    <m/>
    <m/>
    <m/>
    <m/>
    <n v="0"/>
    <m/>
    <m/>
    <m/>
    <m/>
    <m/>
    <n v="0"/>
    <m/>
    <m/>
    <m/>
    <m/>
    <n v="0.06"/>
    <n v="168000"/>
    <s v="District program"/>
    <m/>
    <m/>
    <m/>
    <m/>
    <n v="0"/>
    <m/>
    <m/>
    <m/>
    <m/>
    <n v="1"/>
    <n v="2800000"/>
  </r>
  <r>
    <m/>
    <n v="8"/>
    <n v="8"/>
    <s v="MN"/>
    <n v="22"/>
    <s v="MN 22"/>
    <s v="4308-34"/>
    <x v="9"/>
    <m/>
    <s v="S"/>
    <s v="MNDOT"/>
    <m/>
    <s v="**AB** - W. JCT MN 7 TO LITCHFIELD, 4&quot; OVERLAY &amp; RECLAIM SHLDS. (AC PROJECT, PAYBACK IN 2018)"/>
    <n v="129.94499999999999"/>
    <n v="142.185"/>
    <n v="12.3"/>
    <m/>
    <s v="MCLEOD"/>
    <s v="RD"/>
    <m/>
    <m/>
    <m/>
    <s v="PVTR - PAVEMENT RESURFACE AND REHABILITATION"/>
    <s v="BITUMINOUS OVERLAY"/>
    <s v="STP 5K &gt;  "/>
    <s v="STP 5K &gt;"/>
    <m/>
    <m/>
    <n v="2628000"/>
    <n v="0"/>
    <n v="0"/>
    <n v="1628000"/>
    <n v="0"/>
    <n v="1628000"/>
    <n v="0"/>
    <n v="2372000"/>
    <n v="0"/>
    <n v="2372000"/>
    <n v="0"/>
    <n v="0"/>
    <n v="0"/>
    <n v="0"/>
    <n v="0"/>
    <n v="0"/>
    <n v="1000000"/>
    <n v="0"/>
    <n v="1000000"/>
    <n v="0"/>
    <n v="0"/>
    <n v="5000000"/>
    <n v="11556000"/>
    <n v="3492000"/>
    <n v="2017"/>
    <m/>
    <m/>
    <m/>
    <m/>
    <m/>
    <s v="NO"/>
    <s v="NO"/>
    <s v="YES"/>
    <s v="7th District"/>
    <s v="NO"/>
    <s v="NO"/>
    <s v="Yes"/>
    <s v="NO"/>
    <n v="0.91"/>
    <n v="2391480"/>
    <s v="Mill and/or overlay"/>
    <n v="1"/>
    <m/>
    <m/>
    <m/>
    <n v="0"/>
    <m/>
    <n v="0.09"/>
    <n v="236520"/>
    <s v="Drainage and culverts"/>
    <n v="0.5"/>
    <s v="Pavement markings"/>
    <n v="0.5"/>
    <m/>
    <n v="0"/>
    <m/>
    <m/>
    <m/>
    <m/>
    <m/>
    <n v="0"/>
    <m/>
    <m/>
    <m/>
    <m/>
    <m/>
    <n v="0"/>
    <m/>
    <m/>
    <m/>
    <m/>
    <m/>
    <n v="0"/>
    <m/>
    <m/>
    <m/>
    <m/>
    <m/>
    <n v="0"/>
    <m/>
    <m/>
    <m/>
    <m/>
    <m/>
    <n v="0"/>
    <m/>
    <m/>
    <m/>
    <m/>
    <m/>
    <n v="0"/>
    <m/>
    <m/>
    <m/>
    <m/>
    <n v="1"/>
    <n v="2628000"/>
  </r>
  <r>
    <m/>
    <n v="4"/>
    <n v="4"/>
    <s v="MN"/>
    <n v="200"/>
    <s v="MN 200"/>
    <s v="4402-19"/>
    <x v="2"/>
    <s v="2016-37"/>
    <s v="S"/>
    <s v="MNDOT"/>
    <m/>
    <s v="**AB** JCT. TH 59 TO MAHNOMEN-CLEARWATER COUNTY LINE - PAVEMENT REHABILITATION  (ALTERNATIVE BID)"/>
    <n v="7574000"/>
    <n v="0"/>
    <n v="0"/>
    <n v="6059200"/>
    <n v="0"/>
    <n v="6059200"/>
    <n v="0"/>
    <n v="0"/>
    <n v="0"/>
    <n v="0"/>
    <n v="0"/>
    <n v="0"/>
    <n v="0"/>
    <n v="0"/>
    <n v="0"/>
    <n v="7574000"/>
    <n v="1514800"/>
    <n v="0"/>
    <n v="1514800"/>
    <n v="0"/>
    <n v="0"/>
    <n v="7574000"/>
    <n v="92146319.5"/>
    <n v="43285530"/>
    <n v="2016"/>
    <m/>
    <m/>
    <m/>
    <m/>
    <m/>
    <m/>
    <s v="NO"/>
    <s v="YES"/>
    <s v="7th District"/>
    <s v="NO"/>
    <n v="0"/>
    <s v="YES"/>
    <s v="NO"/>
    <n v="0.76299868000000004"/>
    <n v="5778952.00232"/>
    <m/>
    <m/>
    <m/>
    <m/>
    <m/>
    <n v="0"/>
    <m/>
    <m/>
    <m/>
    <m/>
    <n v="0.23457028999999999"/>
    <n v="1776635.3764599999"/>
    <m/>
    <n v="0.76299868000000004"/>
    <n v="5778952.00232"/>
    <m/>
    <m/>
    <m/>
    <m/>
    <m/>
    <n v="0"/>
    <m/>
    <n v="0.23457028999999999"/>
    <n v="1776635.3764599999"/>
    <m/>
    <m/>
    <m/>
    <m/>
    <m/>
    <n v="0"/>
    <m/>
    <m/>
    <m/>
    <m/>
    <m/>
    <n v="0"/>
    <m/>
    <m/>
    <m/>
    <m/>
    <m/>
    <n v="0"/>
    <m/>
    <m/>
    <m/>
    <m/>
    <m/>
    <n v="0"/>
    <m/>
    <m/>
    <m/>
    <m/>
    <m/>
    <n v="0"/>
    <m/>
    <m/>
    <m/>
    <m/>
    <n v="2.4310299999999998E-3"/>
    <n v="18412.621219999997"/>
    <m/>
    <m/>
    <m/>
    <m/>
    <m/>
    <n v="0"/>
    <m/>
    <m/>
    <m/>
    <m/>
    <n v="1"/>
    <n v="7574000"/>
  </r>
  <r>
    <m/>
    <n v="2"/>
    <n v="2"/>
    <s v="MN"/>
    <n v="32"/>
    <s v="MN 32"/>
    <s v="4503-14"/>
    <x v="1"/>
    <s v="2015-28"/>
    <s v="S"/>
    <s v="MNDOT"/>
    <m/>
    <s v="**AB** N LIMITS OF THIEF RIVER FALLS TO MIDDLE RIVER, RECONDITIONING &amp; REPL BR #8581, BR #8582, BR #8583 &amp; BR #6085 &amp; APPROACHES"/>
    <s v="105+00.200"/>
    <s v="127+00.009"/>
    <n v="21.6"/>
    <s v="MIDDLE RIVER"/>
    <s v="MARSHALL"/>
    <s v="RD"/>
    <s v="1-P "/>
    <s v="1-P"/>
    <m/>
    <s v="PVTR - PAVEMENT RESURFACE AND REHABILITATION"/>
    <s v="BITUMINOUS RECLAMATION"/>
    <s v="NHPP  "/>
    <s v="NHPP"/>
    <m/>
    <m/>
    <n v="8800000"/>
    <n v="0"/>
    <n v="0"/>
    <n v="7040000"/>
    <n v="0"/>
    <n v="7040000"/>
    <n v="0"/>
    <n v="0"/>
    <n v="0"/>
    <n v="0"/>
    <n v="0"/>
    <n v="0"/>
    <n v="0"/>
    <n v="0"/>
    <n v="0"/>
    <n v="0"/>
    <n v="1760000"/>
    <n v="0"/>
    <n v="1760000"/>
    <n v="0"/>
    <n v="0"/>
    <n v="8800000"/>
    <n v="18385835"/>
    <n v="3010600"/>
    <n v="2015"/>
    <m/>
    <m/>
    <m/>
    <m/>
    <m/>
    <m/>
    <s v="NO"/>
    <s v="YES"/>
    <s v="7th District"/>
    <s v="NO"/>
    <s v="NO"/>
    <s v="Yes"/>
    <s v="NO"/>
    <n v="0.76400000000000001"/>
    <n v="6723200"/>
    <m/>
    <m/>
    <m/>
    <m/>
    <n v="5.7000000000000002E-2"/>
    <n v="501600"/>
    <m/>
    <n v="0.115"/>
    <n v="1012000"/>
    <m/>
    <m/>
    <m/>
    <m/>
    <n v="3.2000000000000001E-2"/>
    <n v="281600"/>
    <m/>
    <m/>
    <m/>
    <m/>
    <n v="0"/>
    <n v="0"/>
    <m/>
    <m/>
    <m/>
    <m/>
    <n v="0"/>
    <n v="0"/>
    <m/>
    <m/>
    <m/>
    <m/>
    <n v="2.3E-2"/>
    <n v="202400"/>
    <m/>
    <m/>
    <m/>
    <m/>
    <n v="9.0000000000000011E-3"/>
    <n v="79200.000000000015"/>
    <m/>
    <m/>
    <m/>
    <m/>
    <n v="0"/>
    <n v="0"/>
    <m/>
    <m/>
    <m/>
    <m/>
    <n v="0"/>
    <n v="0"/>
    <m/>
    <m/>
    <m/>
    <m/>
    <n v="1"/>
    <n v="8800000"/>
  </r>
  <r>
    <m/>
    <n v="2"/>
    <n v="2"/>
    <s v="MN"/>
    <n v="1"/>
    <s v="MN 1"/>
    <s v="4509-05"/>
    <x v="0"/>
    <s v="2014-30"/>
    <s v="S"/>
    <s v="MNDOT"/>
    <m/>
    <s v="**BP08** OSLO, REPAIR BR #9100, (MN LEAD AGENCY) (CH 152)"/>
    <s v="000+00.000"/>
    <s v="000+00.000"/>
    <n v="0"/>
    <m/>
    <s v="MARSHALL"/>
    <s v="BI"/>
    <s v="1-B "/>
    <s v="1-B"/>
    <m/>
    <s v="BRRH - BRIDGE REHABILITATION"/>
    <s v="BRIDGE REPAIR"/>
    <s v="BF  "/>
    <s v="BF"/>
    <m/>
    <m/>
    <n v="7000000"/>
    <n v="0"/>
    <n v="0"/>
    <n v="0"/>
    <n v="0"/>
    <n v="0"/>
    <n v="0"/>
    <n v="0"/>
    <n v="0"/>
    <n v="0"/>
    <n v="0"/>
    <n v="0"/>
    <n v="0"/>
    <n v="0"/>
    <n v="0"/>
    <n v="0"/>
    <n v="0"/>
    <n v="0"/>
    <n v="0"/>
    <n v="3500000"/>
    <n v="3500000"/>
    <n v="7000000"/>
    <n v="18022963"/>
    <n v="3875294"/>
    <n v="2014"/>
    <m/>
    <s v="Other $ = ND/DOT share."/>
    <s v="BP08"/>
    <n v="3500000"/>
    <m/>
    <s v="YES"/>
    <s v="NO"/>
    <s v="NO"/>
    <s v="7th District"/>
    <s v="NO"/>
    <s v="NO"/>
    <s v="NO"/>
    <s v="NO"/>
    <n v="0"/>
    <n v="0"/>
    <m/>
    <m/>
    <m/>
    <m/>
    <n v="1"/>
    <n v="3500000"/>
    <m/>
    <n v="0"/>
    <n v="0"/>
    <m/>
    <m/>
    <m/>
    <m/>
    <n v="0"/>
    <n v="0"/>
    <m/>
    <m/>
    <m/>
    <m/>
    <n v="0"/>
    <n v="0"/>
    <m/>
    <m/>
    <m/>
    <m/>
    <n v="0"/>
    <n v="0"/>
    <m/>
    <m/>
    <m/>
    <m/>
    <n v="0"/>
    <n v="0"/>
    <m/>
    <m/>
    <m/>
    <m/>
    <n v="0"/>
    <n v="0"/>
    <m/>
    <m/>
    <m/>
    <m/>
    <n v="0"/>
    <n v="0"/>
    <m/>
    <m/>
    <m/>
    <m/>
    <n v="0"/>
    <n v="0"/>
    <m/>
    <m/>
    <m/>
    <m/>
    <n v="1"/>
    <n v="3500000"/>
  </r>
  <r>
    <m/>
    <n v="2"/>
    <n v="2"/>
    <s v="MN"/>
    <n v="219"/>
    <s v="MN 219"/>
    <s v="4510-17"/>
    <x v="9"/>
    <s v="2016-S08"/>
    <s v="S"/>
    <s v="MNDOT"/>
    <m/>
    <s v="N OF GOODRIDGE AT VARIOUS LOCATIONS, REPL 4 BRIDGES: BR #6910, BR #6911, BR #6912, &amp; BR #6913 &amp; APPROACHES"/>
    <n v="0"/>
    <n v="0"/>
    <n v="0"/>
    <m/>
    <s v="MARSHALL"/>
    <s v="BR"/>
    <s v="1-B "/>
    <s v="1-B"/>
    <m/>
    <s v="BRPC - BRIDGE REPLACEMENT OR CONSTRUCTION"/>
    <s v="BRIDGE REPLACEMENT"/>
    <s v="SF  "/>
    <s v="SF"/>
    <m/>
    <m/>
    <n v="1900000"/>
    <n v="0"/>
    <n v="0"/>
    <n v="0"/>
    <n v="0"/>
    <n v="0"/>
    <n v="0"/>
    <n v="0"/>
    <n v="0"/>
    <n v="0"/>
    <n v="0"/>
    <n v="0"/>
    <n v="0"/>
    <n v="0"/>
    <n v="0"/>
    <n v="0"/>
    <n v="1900000"/>
    <n v="0"/>
    <n v="1900000"/>
    <n v="0"/>
    <n v="0"/>
    <n v="1900000"/>
    <n v="15771400"/>
    <n v="12395778"/>
    <n v="2017"/>
    <m/>
    <m/>
    <m/>
    <m/>
    <m/>
    <m/>
    <s v="NO"/>
    <s v="NO"/>
    <s v="7th District"/>
    <s v="NO"/>
    <s v="NO"/>
    <s v="Yes"/>
    <s v="NO"/>
    <n v="0"/>
    <n v="0"/>
    <m/>
    <m/>
    <m/>
    <m/>
    <n v="0.92900000000000005"/>
    <n v="1765100"/>
    <m/>
    <n v="0"/>
    <n v="0"/>
    <m/>
    <m/>
    <m/>
    <m/>
    <n v="0"/>
    <n v="0"/>
    <m/>
    <m/>
    <m/>
    <m/>
    <n v="0"/>
    <n v="0"/>
    <m/>
    <m/>
    <m/>
    <m/>
    <n v="0"/>
    <n v="0"/>
    <m/>
    <m/>
    <m/>
    <m/>
    <n v="3.5000000000000003E-2"/>
    <n v="66500"/>
    <m/>
    <m/>
    <m/>
    <m/>
    <n v="3.6000000000000004E-2"/>
    <n v="68400.000000000015"/>
    <m/>
    <m/>
    <m/>
    <m/>
    <n v="0"/>
    <n v="0"/>
    <m/>
    <m/>
    <m/>
    <m/>
    <n v="0"/>
    <n v="0"/>
    <m/>
    <m/>
    <m/>
    <m/>
    <n v="1"/>
    <n v="1900000"/>
  </r>
  <r>
    <m/>
    <n v="7"/>
    <n v="7"/>
    <s v="MN"/>
    <n v="4"/>
    <s v="MN 4"/>
    <s v="4601-30"/>
    <x v="1"/>
    <s v="2015-TH-7"/>
    <s v="S"/>
    <s v="MNDOT"/>
    <m/>
    <s v="6 MI NORTH OF IOWA STATE LINE, OVER STREAM AND EAST FORK DES MOINES RIVER, REPLACE OLD BR 887 (WITH NEW BR 887A) AND BR 6649"/>
    <s v="005+00.691"/>
    <s v="005+00.691"/>
    <n v="0"/>
    <m/>
    <s v="MARTIN"/>
    <s v="BR"/>
    <s v="1-B "/>
    <s v="1-B"/>
    <m/>
    <s v="BRPC - BRIDGE REPLACEMENT OR CONSTRUCTION"/>
    <s v="BRIDGE REPLACEMENT"/>
    <s v="STP 5K &gt;  "/>
    <s v="STP 5K &gt;"/>
    <m/>
    <m/>
    <n v="1245000"/>
    <n v="0"/>
    <n v="0"/>
    <n v="996000"/>
    <n v="0"/>
    <n v="996000"/>
    <n v="0"/>
    <n v="0"/>
    <n v="0"/>
    <n v="0"/>
    <n v="0"/>
    <n v="0"/>
    <n v="0"/>
    <n v="0"/>
    <n v="0"/>
    <n v="0"/>
    <n v="249000"/>
    <n v="0"/>
    <n v="249000"/>
    <n v="0"/>
    <n v="0"/>
    <n v="1245000"/>
    <n v="23482734"/>
    <n v="6587056"/>
    <n v="2015"/>
    <m/>
    <m/>
    <m/>
    <m/>
    <m/>
    <m/>
    <s v="NO"/>
    <s v="NO"/>
    <m/>
    <s v="NO"/>
    <s v="NO"/>
    <s v="Yes"/>
    <s v="NO"/>
    <n v="0.92900000000000005"/>
    <n v="1156605"/>
    <m/>
    <m/>
    <m/>
    <m/>
    <m/>
    <n v="0"/>
    <m/>
    <m/>
    <n v="0"/>
    <m/>
    <m/>
    <m/>
    <m/>
    <m/>
    <n v="0"/>
    <m/>
    <m/>
    <m/>
    <m/>
    <m/>
    <n v="0"/>
    <m/>
    <m/>
    <m/>
    <m/>
    <m/>
    <n v="0"/>
    <m/>
    <m/>
    <m/>
    <m/>
    <n v="3.5000000000000003E-2"/>
    <n v="43575.000000000007"/>
    <m/>
    <m/>
    <m/>
    <m/>
    <n v="3.5999999999999997E-2"/>
    <n v="44820"/>
    <m/>
    <m/>
    <m/>
    <m/>
    <m/>
    <n v="0"/>
    <m/>
    <m/>
    <m/>
    <m/>
    <m/>
    <n v="0"/>
    <m/>
    <m/>
    <m/>
    <m/>
    <n v="1"/>
    <n v="1245000"/>
  </r>
  <r>
    <m/>
    <n v="7"/>
    <n v="7"/>
    <s v="MN"/>
    <n v="15"/>
    <s v="MN 15"/>
    <s v="4603-45"/>
    <x v="9"/>
    <m/>
    <s v="S"/>
    <s v="MNDOT"/>
    <m/>
    <s v="FROM JOHNSON STREET TO STATE STREET IN FAIRMONT, MILL &amp; OVERLAY AND REHAB BR$46002"/>
    <s v="009+00.466"/>
    <s v="012+00.573"/>
    <n v="3.1"/>
    <s v="FAIRMONT"/>
    <s v="MARTIN"/>
    <s v="RS"/>
    <m/>
    <m/>
    <m/>
    <s v="BRRH - BRIDGE REHABILITATION"/>
    <s v="BRIDGE REPAIR"/>
    <s v="NHPP  "/>
    <s v="NHPP"/>
    <m/>
    <m/>
    <n v="5742000"/>
    <n v="0"/>
    <n v="0"/>
    <n v="4593600"/>
    <n v="0"/>
    <n v="4593600"/>
    <n v="0"/>
    <n v="0"/>
    <n v="0"/>
    <n v="0"/>
    <n v="0"/>
    <n v="0"/>
    <n v="0"/>
    <n v="0"/>
    <n v="0"/>
    <n v="0"/>
    <n v="1148400"/>
    <n v="0"/>
    <n v="1148400"/>
    <n v="0"/>
    <n v="0"/>
    <n v="5742000"/>
    <n v="35374800"/>
    <n v="4834000"/>
    <n v="2017"/>
    <m/>
    <m/>
    <m/>
    <m/>
    <m/>
    <m/>
    <m/>
    <s v="NO"/>
    <m/>
    <s v="NO"/>
    <s v="NO"/>
    <s v="Yes"/>
    <s v="NO"/>
    <m/>
    <n v="0"/>
    <m/>
    <m/>
    <m/>
    <m/>
    <n v="0.92900000000000005"/>
    <n v="5334318"/>
    <m/>
    <m/>
    <n v="0"/>
    <m/>
    <m/>
    <m/>
    <m/>
    <m/>
    <n v="0"/>
    <m/>
    <m/>
    <m/>
    <m/>
    <m/>
    <n v="0"/>
    <m/>
    <m/>
    <m/>
    <m/>
    <m/>
    <n v="0"/>
    <m/>
    <m/>
    <m/>
    <m/>
    <n v="3.5000000000000003E-2"/>
    <n v="200970.00000000003"/>
    <m/>
    <m/>
    <m/>
    <m/>
    <n v="3.5999999999999997E-2"/>
    <n v="206711.99999999997"/>
    <m/>
    <m/>
    <m/>
    <m/>
    <m/>
    <n v="0"/>
    <m/>
    <m/>
    <m/>
    <m/>
    <m/>
    <n v="0"/>
    <m/>
    <m/>
    <m/>
    <m/>
    <n v="1"/>
    <n v="5742000"/>
  </r>
  <r>
    <m/>
    <n v="7"/>
    <n v="7"/>
    <s v="MN"/>
    <n v="15"/>
    <s v="MN 15"/>
    <s v="4603-45B"/>
    <x v="9"/>
    <m/>
    <s v="S"/>
    <s v="MNDOT"/>
    <m/>
    <s v="FROM JOHNSON STREET TO STATE STREET IN FAIRMONT, MILL &amp; OVERLAY AND REHAB BR$46002"/>
    <s v="009+00.466"/>
    <s v="012+00.573"/>
    <n v="3.1"/>
    <s v="FAIRMONT"/>
    <s v="MARTIN"/>
    <s v="RS"/>
    <m/>
    <m/>
    <m/>
    <s v="BRRH - BRIDGE REHABILITATION"/>
    <s v="BRIDGE REPAIR"/>
    <s v="NHPP  "/>
    <s v="NHPP"/>
    <m/>
    <m/>
    <n v="358000"/>
    <n v="0"/>
    <n v="0"/>
    <n v="287000"/>
    <n v="0"/>
    <n v="287000"/>
    <n v="0"/>
    <n v="0"/>
    <n v="0"/>
    <n v="0"/>
    <n v="0"/>
    <n v="0"/>
    <n v="0"/>
    <n v="0"/>
    <n v="0"/>
    <n v="0"/>
    <n v="71000"/>
    <n v="0"/>
    <n v="71000"/>
    <n v="0"/>
    <n v="0"/>
    <n v="358000"/>
    <n v="21877600"/>
    <n v="1947200"/>
    <n v="2017"/>
    <m/>
    <m/>
    <m/>
    <m/>
    <m/>
    <m/>
    <m/>
    <s v="NO"/>
    <m/>
    <s v="NO"/>
    <s v="NO"/>
    <s v="Yes"/>
    <s v="NO"/>
    <m/>
    <n v="0"/>
    <m/>
    <m/>
    <m/>
    <m/>
    <n v="0.92900000000000005"/>
    <n v="332582"/>
    <m/>
    <m/>
    <n v="0"/>
    <m/>
    <m/>
    <m/>
    <m/>
    <m/>
    <n v="0"/>
    <m/>
    <m/>
    <m/>
    <m/>
    <m/>
    <n v="0"/>
    <m/>
    <m/>
    <m/>
    <m/>
    <m/>
    <n v="0"/>
    <m/>
    <m/>
    <m/>
    <m/>
    <n v="3.5000000000000003E-2"/>
    <n v="12530.000000000002"/>
    <m/>
    <m/>
    <m/>
    <m/>
    <n v="3.5999999999999997E-2"/>
    <n v="12887.999999999998"/>
    <m/>
    <m/>
    <m/>
    <m/>
    <m/>
    <n v="0"/>
    <m/>
    <m/>
    <m/>
    <m/>
    <m/>
    <n v="0"/>
    <m/>
    <m/>
    <m/>
    <m/>
    <n v="1"/>
    <n v="358000"/>
  </r>
  <r>
    <m/>
    <n v="7"/>
    <n v="7"/>
    <s v="MN"/>
    <n v="15"/>
    <s v="MN 15"/>
    <s v="4604-32"/>
    <x v="0"/>
    <m/>
    <s v="S"/>
    <s v="MNDOT"/>
    <m/>
    <s v="FROM 0.6 MI NORTH OF I90 TO CSAH 54, MILL &amp; OVERLAY"/>
    <s v="012+00.979"/>
    <s v="024+00.251"/>
    <n v="11.3"/>
    <m/>
    <s v="MARTIN"/>
    <s v="RS"/>
    <m/>
    <m/>
    <m/>
    <s v="PVTR - PAVEMENT RESURFACE AND REHABILITATION"/>
    <s v="MILL AND OVERLAY"/>
    <s v="NHPP  "/>
    <s v="NHPP"/>
    <m/>
    <m/>
    <n v="5100000"/>
    <n v="0"/>
    <n v="0"/>
    <n v="4080000"/>
    <n v="0"/>
    <n v="4080000"/>
    <n v="0"/>
    <n v="0"/>
    <n v="0"/>
    <n v="0"/>
    <n v="0"/>
    <n v="0"/>
    <n v="0"/>
    <n v="0"/>
    <n v="0"/>
    <n v="0"/>
    <n v="1020000"/>
    <n v="0"/>
    <n v="1020000"/>
    <n v="0"/>
    <n v="0"/>
    <n v="5100000"/>
    <n v="26306935"/>
    <n v="4427000"/>
    <n v="2014"/>
    <m/>
    <m/>
    <m/>
    <m/>
    <m/>
    <m/>
    <s v="NO"/>
    <s v="NO"/>
    <m/>
    <s v="NO"/>
    <s v="NO"/>
    <s v="Yes"/>
    <s v="NO"/>
    <n v="0.82099999999999995"/>
    <n v="4187099.9999999995"/>
    <m/>
    <m/>
    <m/>
    <m/>
    <m/>
    <n v="0"/>
    <m/>
    <n v="0.115"/>
    <n v="586500"/>
    <m/>
    <m/>
    <m/>
    <m/>
    <n v="3.2000000000000001E-2"/>
    <n v="163200"/>
    <m/>
    <m/>
    <m/>
    <m/>
    <m/>
    <n v="0"/>
    <m/>
    <m/>
    <m/>
    <m/>
    <m/>
    <n v="0"/>
    <m/>
    <m/>
    <m/>
    <m/>
    <n v="2.3E-2"/>
    <n v="117300"/>
    <m/>
    <m/>
    <m/>
    <m/>
    <n v="8.9999999999999993E-3"/>
    <n v="45900"/>
    <m/>
    <m/>
    <m/>
    <m/>
    <m/>
    <n v="0"/>
    <m/>
    <m/>
    <m/>
    <m/>
    <m/>
    <n v="0"/>
    <m/>
    <m/>
    <m/>
    <m/>
    <n v="1"/>
    <n v="5100000"/>
  </r>
  <r>
    <m/>
    <n v="7"/>
    <n v="7"/>
    <s v="I"/>
    <n v="90"/>
    <s v="I 90"/>
    <s v="4680-124"/>
    <x v="9"/>
    <m/>
    <s v="S"/>
    <s v="MNDOT"/>
    <m/>
    <s v="AT THE JCT OF TH 15, REHAB BR#46822, 46833 &amp; 46834"/>
    <m/>
    <m/>
    <n v="0"/>
    <m/>
    <s v="MARTIN"/>
    <s v="BI"/>
    <m/>
    <m/>
    <m/>
    <s v="BRRH - BRIDGE REHABILITATION"/>
    <s v="BRIDGE REPAIR"/>
    <s v="NHPP  "/>
    <s v="NHPP"/>
    <m/>
    <m/>
    <n v="1800000"/>
    <n v="0"/>
    <n v="0"/>
    <n v="1620000"/>
    <n v="0"/>
    <n v="1620000"/>
    <n v="0"/>
    <n v="0"/>
    <n v="0"/>
    <n v="0"/>
    <n v="0"/>
    <n v="0"/>
    <n v="0"/>
    <n v="0"/>
    <n v="0"/>
    <n v="0"/>
    <n v="180000"/>
    <n v="0"/>
    <n v="180000"/>
    <n v="0"/>
    <n v="0"/>
    <n v="1800000"/>
    <n v="25387600"/>
    <n v="2337200"/>
    <n v="2017"/>
    <m/>
    <m/>
    <m/>
    <m/>
    <m/>
    <m/>
    <m/>
    <s v="NO"/>
    <m/>
    <s v="NO"/>
    <s v="NO"/>
    <s v="Yes"/>
    <s v="NO"/>
    <m/>
    <n v="0"/>
    <m/>
    <m/>
    <m/>
    <m/>
    <n v="0.92900000000000005"/>
    <n v="1672200"/>
    <m/>
    <m/>
    <n v="0"/>
    <m/>
    <m/>
    <m/>
    <m/>
    <m/>
    <n v="0"/>
    <m/>
    <m/>
    <m/>
    <m/>
    <m/>
    <n v="0"/>
    <m/>
    <m/>
    <m/>
    <m/>
    <m/>
    <n v="0"/>
    <m/>
    <m/>
    <m/>
    <m/>
    <n v="3.5000000000000003E-2"/>
    <n v="63000.000000000007"/>
    <m/>
    <m/>
    <m/>
    <m/>
    <n v="3.5999999999999997E-2"/>
    <n v="64799.999999999993"/>
    <m/>
    <m/>
    <m/>
    <m/>
    <m/>
    <n v="0"/>
    <m/>
    <m/>
    <m/>
    <m/>
    <m/>
    <n v="0"/>
    <m/>
    <m/>
    <m/>
    <m/>
    <n v="1"/>
    <n v="1800000"/>
  </r>
  <r>
    <m/>
    <n v="8"/>
    <n v="8"/>
    <s v="MN"/>
    <n v="4"/>
    <s v="MN 4"/>
    <s v="4701-29"/>
    <x v="9"/>
    <m/>
    <s v="S"/>
    <s v="MNDOT"/>
    <m/>
    <s v="N OF COSMOS, REPLACE BRIDGES 90992 &amp; 90993"/>
    <n v="105.583"/>
    <n v="111.096"/>
    <n v="0"/>
    <m/>
    <s v="MEEKER"/>
    <s v="BR"/>
    <m/>
    <m/>
    <m/>
    <s v="BRPC - BRIDGE REPLACEMENT OR CONSTRUCTION"/>
    <s v="NEW BRIDGE"/>
    <s v="SF  "/>
    <s v="SF"/>
    <m/>
    <m/>
    <n v="910000"/>
    <n v="0"/>
    <n v="0"/>
    <n v="0"/>
    <n v="0"/>
    <n v="0"/>
    <n v="0"/>
    <n v="0"/>
    <n v="0"/>
    <n v="0"/>
    <n v="0"/>
    <n v="0"/>
    <n v="0"/>
    <n v="0"/>
    <n v="0"/>
    <n v="0"/>
    <n v="910000"/>
    <n v="0"/>
    <n v="910000"/>
    <n v="0"/>
    <n v="0"/>
    <n v="910000"/>
    <n v="3600000"/>
    <n v="910000"/>
    <n v="2017"/>
    <m/>
    <m/>
    <m/>
    <m/>
    <m/>
    <s v="YES"/>
    <s v="NO"/>
    <s v="NO"/>
    <s v="7th District"/>
    <s v="NO"/>
    <s v="NO"/>
    <s v="Yes"/>
    <s v="NO"/>
    <n v="0.3"/>
    <n v="273000"/>
    <s v="Reconstruction"/>
    <n v="1"/>
    <m/>
    <m/>
    <n v="0.7"/>
    <n v="637000"/>
    <s v="Improvement - Major rehabilitation or replacement"/>
    <m/>
    <n v="0"/>
    <m/>
    <m/>
    <m/>
    <m/>
    <m/>
    <n v="0"/>
    <m/>
    <m/>
    <m/>
    <m/>
    <m/>
    <n v="0"/>
    <m/>
    <m/>
    <m/>
    <m/>
    <m/>
    <n v="0"/>
    <m/>
    <m/>
    <m/>
    <m/>
    <m/>
    <n v="0"/>
    <m/>
    <m/>
    <m/>
    <m/>
    <m/>
    <n v="0"/>
    <m/>
    <m/>
    <m/>
    <m/>
    <m/>
    <n v="0"/>
    <m/>
    <m/>
    <m/>
    <m/>
    <m/>
    <n v="0"/>
    <m/>
    <m/>
    <m/>
    <m/>
    <n v="1"/>
    <n v="910000"/>
  </r>
  <r>
    <m/>
    <n v="8"/>
    <n v="8"/>
    <s v="MN"/>
    <n v="7"/>
    <s v="MN 7"/>
    <s v="4703-26"/>
    <x v="0"/>
    <m/>
    <s v="S"/>
    <s v="MNDOT"/>
    <m/>
    <s v="JCT MN 4 (COSMOS) TO W. JCT MN 22, MILL &amp; OVERLAY (TIED TO S.P.'S 4308-30 &amp; 4308-32)"/>
    <n v="124.398"/>
    <n v="134.00399999999999"/>
    <n v="9.6999999999999993"/>
    <s v="COSMOS"/>
    <s v="MEEKER"/>
    <s v="RS"/>
    <s v=" "/>
    <m/>
    <m/>
    <s v="PVTR - PAVEMENT RESURFACE AND REHABILITATION"/>
    <s v="MILL AND OVERLAY"/>
    <s v="STP 5K &gt;  "/>
    <s v="STP 5K &gt;"/>
    <m/>
    <m/>
    <n v="4400000"/>
    <n v="0"/>
    <n v="0"/>
    <n v="3520000"/>
    <n v="0"/>
    <n v="3520000"/>
    <n v="0"/>
    <n v="0"/>
    <n v="0"/>
    <n v="0"/>
    <n v="0"/>
    <n v="0"/>
    <n v="0"/>
    <n v="0"/>
    <n v="0"/>
    <n v="0"/>
    <n v="880000"/>
    <n v="0"/>
    <n v="880000"/>
    <n v="0"/>
    <n v="0"/>
    <n v="4400000"/>
    <n v="10224908"/>
    <n v="880000"/>
    <n v="2014"/>
    <m/>
    <m/>
    <m/>
    <m/>
    <m/>
    <s v="NO"/>
    <s v="YES"/>
    <s v="NO"/>
    <s v="7th District"/>
    <s v="NO"/>
    <s v="NO"/>
    <s v="Yes"/>
    <s v="NO"/>
    <n v="0.93799999999999994"/>
    <n v="4127199.9999999995"/>
    <s v="Mill and/or overlay"/>
    <n v="1"/>
    <m/>
    <m/>
    <m/>
    <n v="0"/>
    <m/>
    <n v="0.06"/>
    <n v="264000"/>
    <s v="Pavement markings"/>
    <n v="0.3"/>
    <s v="Drainage and culverts"/>
    <n v="0.7"/>
    <m/>
    <n v="0"/>
    <m/>
    <m/>
    <m/>
    <m/>
    <m/>
    <n v="0"/>
    <m/>
    <m/>
    <m/>
    <m/>
    <m/>
    <n v="0"/>
    <m/>
    <m/>
    <m/>
    <m/>
    <m/>
    <n v="0"/>
    <m/>
    <m/>
    <m/>
    <m/>
    <n v="2E-3"/>
    <n v="8800"/>
    <s v="ADA improvements - curb"/>
    <n v="1"/>
    <m/>
    <m/>
    <m/>
    <n v="0"/>
    <m/>
    <m/>
    <m/>
    <m/>
    <m/>
    <n v="0"/>
    <m/>
    <m/>
    <m/>
    <m/>
    <n v="1"/>
    <n v="4400000"/>
  </r>
  <r>
    <m/>
    <n v="8"/>
    <n v="8"/>
    <s v="US"/>
    <n v="12"/>
    <s v="US 12"/>
    <s v="4704-47"/>
    <x v="1"/>
    <m/>
    <s v="S"/>
    <s v="MNDOT"/>
    <m/>
    <s v="**AB**- W. MEEKER COUNTY LINE TO MN 22, RECLAIMATION OR ALT. BID"/>
    <n v="88.094999999999999"/>
    <n v="98.971999999999994"/>
    <n v="10.9"/>
    <m/>
    <s v="MEEKER"/>
    <s v="RS"/>
    <s v=" "/>
    <m/>
    <m/>
    <s v="PVTR - PAVEMENT RESURFACE AND REHABILITATION"/>
    <s v="BITUMINOUS OVERLAY"/>
    <s v="NHPP  "/>
    <s v="NHPP"/>
    <m/>
    <m/>
    <n v="5000000"/>
    <n v="0"/>
    <n v="0"/>
    <n v="4000000"/>
    <n v="0"/>
    <n v="4000000"/>
    <n v="0"/>
    <n v="0"/>
    <n v="0"/>
    <n v="0"/>
    <n v="0"/>
    <n v="0"/>
    <n v="0"/>
    <n v="0"/>
    <n v="0"/>
    <n v="0"/>
    <n v="1000000"/>
    <n v="0"/>
    <n v="1000000"/>
    <n v="0"/>
    <n v="0"/>
    <n v="5000000"/>
    <n v="11600163"/>
    <n v="1380000"/>
    <n v="2015"/>
    <m/>
    <m/>
    <s v="Do Not Know"/>
    <m/>
    <m/>
    <s v="YES"/>
    <s v="YES"/>
    <s v="YES"/>
    <s v="7th District"/>
    <s v="NO"/>
    <s v="NO"/>
    <s v="Yes"/>
    <s v="NO"/>
    <n v="0.85"/>
    <n v="4250000"/>
    <s v="Mill and/or overlay"/>
    <n v="1"/>
    <m/>
    <m/>
    <m/>
    <n v="0"/>
    <m/>
    <n v="0.1"/>
    <n v="500000"/>
    <s v="Drainage and culverts"/>
    <n v="0.5"/>
    <s v="Pavement markings"/>
    <n v="0.5"/>
    <m/>
    <n v="0"/>
    <m/>
    <m/>
    <m/>
    <m/>
    <m/>
    <n v="0"/>
    <m/>
    <m/>
    <m/>
    <m/>
    <m/>
    <n v="0"/>
    <m/>
    <m/>
    <m/>
    <m/>
    <m/>
    <n v="0"/>
    <m/>
    <m/>
    <m/>
    <m/>
    <n v="0.05"/>
    <n v="250000"/>
    <s v="ADA improvements - curb"/>
    <n v="1"/>
    <m/>
    <m/>
    <m/>
    <n v="0"/>
    <m/>
    <m/>
    <m/>
    <m/>
    <m/>
    <n v="0"/>
    <m/>
    <m/>
    <m/>
    <m/>
    <n v="1"/>
    <n v="5000000"/>
  </r>
  <r>
    <m/>
    <n v="8"/>
    <n v="8"/>
    <s v="MN"/>
    <n v="24"/>
    <s v="MN 24"/>
    <s v="4711-19"/>
    <x v="1"/>
    <m/>
    <s v="S"/>
    <s v="MNDOT"/>
    <m/>
    <s v="LITCHFIED TO MN 15, OVERLAY"/>
    <n v="0"/>
    <n v="15.609"/>
    <n v="15.6"/>
    <m/>
    <s v="MEEKER"/>
    <s v="RS"/>
    <s v=" "/>
    <m/>
    <m/>
    <s v="PVTR - PAVEMENT RESURFACE AND REHABILITATION"/>
    <s v="BITUMINOUS OVERLAY"/>
    <s v="SF  "/>
    <s v="SF"/>
    <m/>
    <m/>
    <n v="1800000"/>
    <n v="0"/>
    <n v="0"/>
    <n v="0"/>
    <n v="0"/>
    <n v="0"/>
    <n v="0"/>
    <n v="0"/>
    <n v="0"/>
    <n v="0"/>
    <n v="0"/>
    <n v="0"/>
    <n v="0"/>
    <n v="0"/>
    <n v="0"/>
    <n v="0"/>
    <n v="1800000"/>
    <n v="0"/>
    <n v="1800000"/>
    <n v="0"/>
    <n v="0"/>
    <n v="1800000"/>
    <n v="12000163"/>
    <n v="3620000"/>
    <n v="2015"/>
    <m/>
    <m/>
    <m/>
    <m/>
    <m/>
    <s v="NO"/>
    <s v="NO"/>
    <s v="NO"/>
    <s v="7th District"/>
    <s v="NO"/>
    <s v="NO"/>
    <s v="Yes"/>
    <s v="NO"/>
    <n v="0.9"/>
    <n v="1620000"/>
    <s v="Mill and/or overlay"/>
    <n v="1"/>
    <m/>
    <m/>
    <m/>
    <n v="0"/>
    <m/>
    <n v="0.1"/>
    <n v="180000"/>
    <s v="Pavement markings"/>
    <n v="1"/>
    <m/>
    <m/>
    <m/>
    <n v="0"/>
    <m/>
    <m/>
    <m/>
    <m/>
    <m/>
    <n v="0"/>
    <m/>
    <m/>
    <m/>
    <m/>
    <m/>
    <n v="0"/>
    <m/>
    <m/>
    <m/>
    <m/>
    <m/>
    <n v="0"/>
    <m/>
    <m/>
    <m/>
    <m/>
    <m/>
    <n v="0"/>
    <m/>
    <m/>
    <m/>
    <m/>
    <m/>
    <n v="0"/>
    <m/>
    <m/>
    <m/>
    <m/>
    <m/>
    <n v="0"/>
    <m/>
    <m/>
    <m/>
    <m/>
    <n v="1"/>
    <n v="1800000"/>
  </r>
  <r>
    <m/>
    <n v="8"/>
    <n v="8"/>
    <s v="MN"/>
    <n v="55"/>
    <s v="MN 55"/>
    <s v="4712-18"/>
    <x v="0"/>
    <m/>
    <s v="S"/>
    <s v="MNDOT"/>
    <m/>
    <s v="**AB** - E. OF E. JCT MN 4 TO MN 22, OVERLAY"/>
    <n v="114.19"/>
    <n v="119.491"/>
    <n v="5.3"/>
    <m/>
    <s v="MEEKER"/>
    <s v="RS"/>
    <s v=" "/>
    <m/>
    <m/>
    <s v="PVTR - PAVEMENT RESURFACE AND REHABILITATION"/>
    <s v="MILL AND OVERLAY"/>
    <s v="STP 5K &gt;  "/>
    <s v="STP 5K &gt;"/>
    <m/>
    <m/>
    <n v="2500000"/>
    <n v="0"/>
    <n v="0"/>
    <n v="2000000"/>
    <n v="0"/>
    <n v="2000000"/>
    <n v="0"/>
    <n v="0"/>
    <n v="0"/>
    <n v="0"/>
    <n v="0"/>
    <n v="0"/>
    <n v="0"/>
    <n v="0"/>
    <n v="0"/>
    <n v="0"/>
    <n v="500000"/>
    <n v="0"/>
    <n v="500000"/>
    <n v="0"/>
    <n v="0"/>
    <n v="2500000"/>
    <n v="21832908"/>
    <n v="6482000"/>
    <n v="2014"/>
    <m/>
    <m/>
    <m/>
    <m/>
    <m/>
    <s v="YES"/>
    <s v="YES"/>
    <s v="NO"/>
    <s v="7th District"/>
    <s v="NO"/>
    <s v="NO"/>
    <s v="Yes"/>
    <s v="NO"/>
    <n v="0.82099999999999995"/>
    <n v="2052499.9999999998"/>
    <s v="Mill and/or overlay"/>
    <n v="1"/>
    <m/>
    <m/>
    <m/>
    <n v="0"/>
    <m/>
    <n v="0.115"/>
    <n v="287500"/>
    <s v="Pavement markings"/>
    <n v="1"/>
    <m/>
    <m/>
    <n v="3.2000000000000001E-2"/>
    <n v="80000"/>
    <s v="Low cost high benefit"/>
    <n v="1"/>
    <m/>
    <m/>
    <m/>
    <n v="0"/>
    <m/>
    <m/>
    <m/>
    <m/>
    <m/>
    <n v="0"/>
    <m/>
    <m/>
    <m/>
    <m/>
    <n v="2.3E-2"/>
    <n v="57500"/>
    <s v="Other improvements"/>
    <n v="1"/>
    <m/>
    <m/>
    <n v="8.9999999999999993E-3"/>
    <n v="22500"/>
    <s v="ADA improvements - curb"/>
    <n v="1"/>
    <m/>
    <m/>
    <m/>
    <n v="0"/>
    <m/>
    <m/>
    <m/>
    <m/>
    <m/>
    <n v="0"/>
    <m/>
    <m/>
    <m/>
    <m/>
    <n v="1"/>
    <n v="2500000"/>
  </r>
  <r>
    <m/>
    <n v="6"/>
    <n v="6"/>
    <s v="MN"/>
    <n v="999"/>
    <s v="MN 999"/>
    <s v="8806-BI-19"/>
    <x v="4"/>
    <m/>
    <s v="S"/>
    <s v="MNDOT"/>
    <m/>
    <s v="DISTRICTWIDE SETASIDE - BRIDGE REPAIR"/>
    <m/>
    <m/>
    <m/>
    <m/>
    <m/>
    <m/>
    <m/>
    <m/>
    <m/>
    <m/>
    <m/>
    <m/>
    <m/>
    <m/>
    <m/>
    <n v="1000000"/>
    <m/>
    <m/>
    <n v="0"/>
    <m/>
    <m/>
    <m/>
    <n v="0"/>
    <m/>
    <m/>
    <m/>
    <n v="0"/>
    <m/>
    <m/>
    <m/>
    <m/>
    <n v="1000000"/>
    <m/>
    <m/>
    <n v="0"/>
    <n v="0"/>
    <n v="1000000"/>
    <m/>
    <m/>
    <n v="2019"/>
    <m/>
    <m/>
    <m/>
    <m/>
    <m/>
    <m/>
    <m/>
    <m/>
    <m/>
    <m/>
    <m/>
    <m/>
    <m/>
    <m/>
    <m/>
    <m/>
    <m/>
    <m/>
    <m/>
    <n v="0.92900000000000005"/>
    <n v="929000"/>
    <m/>
    <m/>
    <m/>
    <m/>
    <m/>
    <m/>
    <m/>
    <m/>
    <m/>
    <m/>
    <m/>
    <m/>
    <m/>
    <m/>
    <m/>
    <m/>
    <m/>
    <m/>
    <m/>
    <m/>
    <m/>
    <m/>
    <m/>
    <m/>
    <m/>
    <n v="3.5000000000000003E-2"/>
    <n v="35000"/>
    <m/>
    <m/>
    <m/>
    <m/>
    <n v="3.5999999999999997E-2"/>
    <n v="36000"/>
    <m/>
    <m/>
    <m/>
    <m/>
    <m/>
    <m/>
    <m/>
    <m/>
    <m/>
    <m/>
    <m/>
    <m/>
    <m/>
    <m/>
    <m/>
    <m/>
    <n v="1"/>
    <n v="1000000"/>
  </r>
  <r>
    <m/>
    <n v="3"/>
    <n v="3"/>
    <s v="MN"/>
    <n v="27"/>
    <s v="MN 27"/>
    <s v="4804-22"/>
    <x v="2"/>
    <s v="2016-01"/>
    <s v="S"/>
    <s v="MNDOT"/>
    <m/>
    <s v="JCT TH 169 TO HENNEPIN AVE IN ISLE, MILL AND OVERLAY, INCL. LEFT TURN LANES AT TH 47 IN ISLE"/>
    <s v="178+00.306"/>
    <s v="185+00.260"/>
    <n v="6.98"/>
    <s v="ISLE"/>
    <s v="MILLE LACS"/>
    <s v="RS"/>
    <s v="1-P "/>
    <s v="1-P"/>
    <m/>
    <s v="PVTR - PAVEMENT RESURFACE AND REHABILITATION"/>
    <s v="MILL AND OVERLAY"/>
    <s v="SF  "/>
    <s v="SF"/>
    <m/>
    <m/>
    <n v="2290000"/>
    <n v="0"/>
    <n v="0"/>
    <n v="0"/>
    <n v="0"/>
    <n v="0"/>
    <n v="0"/>
    <n v="0"/>
    <n v="0"/>
    <n v="0"/>
    <n v="0"/>
    <n v="0"/>
    <n v="0"/>
    <n v="0"/>
    <n v="0"/>
    <n v="0"/>
    <n v="0"/>
    <n v="0"/>
    <n v="0"/>
    <n v="0"/>
    <n v="0"/>
    <n v="0"/>
    <n v="0"/>
    <n v="0"/>
    <n v="0"/>
    <n v="0"/>
    <n v="2290000"/>
    <n v="0"/>
    <n v="2290000"/>
    <n v="0"/>
    <n v="0"/>
    <n v="2290000"/>
    <n v="23881144"/>
    <n v="7510564"/>
    <n v="2016"/>
    <m/>
    <m/>
    <m/>
    <n v="0.85299999999999998"/>
    <n v="1953370"/>
    <m/>
    <m/>
    <m/>
    <m/>
    <m/>
    <n v="0"/>
    <m/>
    <n v="0.115"/>
    <n v="263350"/>
    <s v="Pavement markings"/>
    <m/>
    <m/>
    <m/>
    <n v="3.2000000000000001E-2"/>
    <n v="73280"/>
    <s v="Low cost high benefit"/>
    <m/>
    <m/>
    <m/>
    <m/>
    <n v="0"/>
    <m/>
    <m/>
    <m/>
    <m/>
    <m/>
    <n v="0"/>
    <m/>
    <m/>
    <m/>
    <m/>
    <m/>
    <n v="0"/>
    <m/>
    <m/>
    <m/>
    <m/>
    <m/>
    <n v="0"/>
    <m/>
    <m/>
    <m/>
    <m/>
    <m/>
    <n v="0"/>
    <m/>
    <m/>
    <m/>
    <m/>
    <m/>
    <n v="0"/>
    <m/>
    <m/>
    <m/>
    <m/>
    <n v="1"/>
    <n v="2290000"/>
  </r>
  <r>
    <m/>
    <n v="3"/>
    <n v="3"/>
    <s v="US"/>
    <n v="169"/>
    <s v="US 169"/>
    <s v="4812-84"/>
    <x v="2"/>
    <s v="2016-12"/>
    <s v="S"/>
    <s v="MNDOT"/>
    <m/>
    <s v="S OF BR. #48033 OVER RUM RIVER TO BEGINNING 4 LANE IN VINELAND, MILL &amp; OVERLAY"/>
    <s v="211+00.178"/>
    <s v="225+00.741"/>
    <n v="14.757999999999999"/>
    <m/>
    <s v="MILLE LACS"/>
    <s v="RS"/>
    <s v="1-P "/>
    <s v="1-P"/>
    <m/>
    <s v="PVTR - PAVEMENT RESURFACE AND REHABILITATION"/>
    <s v="MILL AND OVERLAY"/>
    <s v="NHPP SF "/>
    <s v="NHPP"/>
    <s v="SF"/>
    <m/>
    <n v="4117000"/>
    <n v="0"/>
    <n v="0"/>
    <n v="0"/>
    <n v="3293600"/>
    <n v="0"/>
    <n v="0"/>
    <n v="0"/>
    <n v="0"/>
    <n v="0"/>
    <n v="0"/>
    <n v="0"/>
    <n v="3293600"/>
    <n v="3293600"/>
    <n v="0"/>
    <n v="3293600"/>
    <n v="0"/>
    <n v="0"/>
    <n v="0"/>
    <n v="0"/>
    <n v="0"/>
    <n v="0"/>
    <n v="0"/>
    <n v="0"/>
    <n v="0"/>
    <n v="0"/>
    <n v="823400"/>
    <n v="0"/>
    <n v="823400"/>
    <n v="0"/>
    <n v="0"/>
    <n v="4117000"/>
    <n v="50263383"/>
    <n v="11589874"/>
    <n v="2016"/>
    <m/>
    <m/>
    <m/>
    <n v="0.88500000000000001"/>
    <n v="3643545"/>
    <m/>
    <m/>
    <m/>
    <m/>
    <m/>
    <n v="0"/>
    <m/>
    <n v="0.115"/>
    <n v="473455"/>
    <s v="Pavement markings"/>
    <m/>
    <m/>
    <m/>
    <m/>
    <n v="0"/>
    <m/>
    <m/>
    <m/>
    <m/>
    <m/>
    <n v="0"/>
    <m/>
    <m/>
    <m/>
    <m/>
    <m/>
    <n v="0"/>
    <m/>
    <m/>
    <m/>
    <m/>
    <m/>
    <n v="0"/>
    <m/>
    <m/>
    <m/>
    <m/>
    <m/>
    <n v="0"/>
    <m/>
    <m/>
    <m/>
    <m/>
    <m/>
    <n v="0"/>
    <m/>
    <m/>
    <m/>
    <m/>
    <m/>
    <n v="0"/>
    <m/>
    <m/>
    <m/>
    <m/>
    <n v="1"/>
    <n v="4117000"/>
  </r>
  <r>
    <m/>
    <n v="3"/>
    <n v="3"/>
    <s v="US"/>
    <n v="169"/>
    <s v="US 169"/>
    <s v="4812-86"/>
    <x v="2"/>
    <s v="2019-07"/>
    <s v="S"/>
    <s v="MNDOT"/>
    <m/>
    <s v="**ELLA** MILLE LACS CO. CSAH 11/190TH ST. N OF MILACA TO RUM RIVER REST AREA (NB), MILL &amp; OVERLAY, INCL. TURN LANE EXTENSIONS"/>
    <s v="196+00.370"/>
    <s v="202+00.772"/>
    <n v="6.4"/>
    <m/>
    <s v="MILLE LACS"/>
    <s v="RS"/>
    <s v="1-P "/>
    <s v="1-P"/>
    <m/>
    <s v="PVTR - PAVEMENT RESURFACE AND REHABILITATION"/>
    <s v="MILL AND OVERLAY"/>
    <s v="NHPP SF "/>
    <s v="NHPP"/>
    <s v="SF"/>
    <m/>
    <n v="7165000"/>
    <n v="0"/>
    <n v="0"/>
    <n v="0"/>
    <n v="5732000"/>
    <n v="0"/>
    <n v="0"/>
    <n v="0"/>
    <n v="0"/>
    <n v="0"/>
    <n v="0"/>
    <n v="0"/>
    <n v="5732000"/>
    <n v="5732000"/>
    <n v="0"/>
    <n v="5732000"/>
    <n v="0"/>
    <n v="0"/>
    <n v="0"/>
    <n v="0"/>
    <n v="0"/>
    <n v="0"/>
    <n v="0"/>
    <n v="0"/>
    <n v="0"/>
    <n v="0"/>
    <n v="1433000"/>
    <n v="0"/>
    <n v="1433000"/>
    <n v="0"/>
    <n v="0"/>
    <n v="7165000"/>
    <n v="55995383"/>
    <n v="13022874"/>
    <n v="2016"/>
    <m/>
    <m/>
    <s v="Do Not Know"/>
    <n v="0.85299999999999998"/>
    <n v="6111745"/>
    <m/>
    <m/>
    <m/>
    <m/>
    <m/>
    <n v="0"/>
    <m/>
    <n v="0.115"/>
    <n v="823975"/>
    <s v="Pavement markings"/>
    <m/>
    <m/>
    <m/>
    <n v="3.2000000000000001E-2"/>
    <n v="229280"/>
    <s v="Sustained crash locations"/>
    <m/>
    <m/>
    <m/>
    <m/>
    <n v="0"/>
    <m/>
    <m/>
    <m/>
    <m/>
    <m/>
    <n v="0"/>
    <m/>
    <m/>
    <m/>
    <m/>
    <m/>
    <n v="0"/>
    <m/>
    <m/>
    <m/>
    <m/>
    <m/>
    <n v="0"/>
    <m/>
    <m/>
    <m/>
    <m/>
    <m/>
    <n v="0"/>
    <m/>
    <m/>
    <m/>
    <m/>
    <m/>
    <n v="0"/>
    <m/>
    <m/>
    <m/>
    <m/>
    <n v="1"/>
    <n v="7165000"/>
  </r>
  <r>
    <m/>
    <n v="3"/>
    <n v="3"/>
    <s v="US"/>
    <n v="169"/>
    <s v="US 169"/>
    <s v="4812-86S"/>
    <x v="2"/>
    <s v="2016-08"/>
    <s v="S"/>
    <s v="MNDOT"/>
    <m/>
    <s v="**ELLA** MILLE LACS CO. CSAH 11/190TH ST. N OF MILACA TO RUM RIVER REST AREA (NB), MILL &amp; OVERLAY, INCL. TURN LANE EXTENSIONS (HSIP PROJECT)"/>
    <s v="196+00.370"/>
    <s v="202+00.772"/>
    <n v="6.4"/>
    <m/>
    <s v="MILLE LACS"/>
    <s v="SH"/>
    <s v="7-IRC-P "/>
    <s v="7-IRC-P"/>
    <m/>
    <s v="PVTR - PAVEMENT RESURFACE AND REHABILITATION"/>
    <s v="MILL AND OVERLAY"/>
    <s v="HSIP SF "/>
    <s v="HSIP"/>
    <s v="SF"/>
    <m/>
    <n v="133000"/>
    <n v="0"/>
    <n v="0"/>
    <n v="119700"/>
    <n v="0"/>
    <n v="0"/>
    <n v="0"/>
    <n v="0"/>
    <n v="0"/>
    <n v="0"/>
    <n v="0"/>
    <n v="0"/>
    <n v="119700"/>
    <n v="119700"/>
    <n v="0"/>
    <n v="119700"/>
    <n v="0"/>
    <n v="0"/>
    <n v="0"/>
    <n v="0"/>
    <n v="0"/>
    <n v="0"/>
    <n v="0"/>
    <n v="0"/>
    <n v="0"/>
    <n v="0"/>
    <n v="13300"/>
    <n v="0"/>
    <n v="13300"/>
    <n v="0"/>
    <n v="0"/>
    <n v="133000"/>
    <n v="56115083"/>
    <n v="13036174"/>
    <n v="2016"/>
    <m/>
    <m/>
    <m/>
    <m/>
    <n v="0"/>
    <m/>
    <m/>
    <m/>
    <m/>
    <m/>
    <n v="0"/>
    <m/>
    <m/>
    <n v="0"/>
    <m/>
    <m/>
    <m/>
    <m/>
    <n v="1"/>
    <n v="133000"/>
    <s v="Sustained crash locations"/>
    <m/>
    <m/>
    <m/>
    <m/>
    <n v="0"/>
    <m/>
    <m/>
    <m/>
    <m/>
    <m/>
    <n v="0"/>
    <m/>
    <m/>
    <m/>
    <m/>
    <m/>
    <n v="0"/>
    <m/>
    <m/>
    <m/>
    <m/>
    <m/>
    <n v="0"/>
    <m/>
    <m/>
    <m/>
    <m/>
    <m/>
    <n v="0"/>
    <m/>
    <m/>
    <m/>
    <m/>
    <m/>
    <n v="0"/>
    <m/>
    <m/>
    <m/>
    <m/>
    <n v="1"/>
    <n v="133000"/>
  </r>
  <r>
    <m/>
    <n v="3"/>
    <n v="3"/>
    <s v="US"/>
    <n v="169"/>
    <s v="US 169"/>
    <s v="4814-3355A"/>
    <x v="1"/>
    <s v="2015-09"/>
    <s v="S"/>
    <s v="MNDOT"/>
    <m/>
    <s v="PRESERVE BRIDGE #3355 OVER WHITE FISH CREEK, 2.2 MI S OF AITKIN/MILLE LACS CO LINE"/>
    <s v="227+00.727"/>
    <s v="227+00.727"/>
    <n v="0"/>
    <m/>
    <s v="MILLE LACS"/>
    <s v="BI"/>
    <s v="1-BPM "/>
    <s v="1-BPM"/>
    <m/>
    <s v="BRRH - BRIDGE REHABILITATION"/>
    <s v="BRIDGE REPAIR"/>
    <s v="NHPP SF "/>
    <s v="NHPP"/>
    <s v="SF"/>
    <m/>
    <n v="175500"/>
    <n v="0"/>
    <n v="0"/>
    <n v="0"/>
    <n v="140400"/>
    <n v="0"/>
    <n v="0"/>
    <n v="0"/>
    <n v="0"/>
    <n v="0"/>
    <n v="0"/>
    <n v="0"/>
    <n v="140400"/>
    <n v="140400"/>
    <n v="0"/>
    <n v="140400"/>
    <n v="0"/>
    <n v="0"/>
    <n v="0"/>
    <n v="0"/>
    <n v="0"/>
    <n v="0"/>
    <n v="0"/>
    <n v="0"/>
    <n v="0"/>
    <n v="0"/>
    <n v="35100"/>
    <n v="0"/>
    <n v="35100"/>
    <n v="0"/>
    <n v="0"/>
    <n v="175500"/>
    <n v="38417255"/>
    <n v="8544881"/>
    <n v="2015"/>
    <m/>
    <m/>
    <m/>
    <m/>
    <n v="0"/>
    <m/>
    <m/>
    <m/>
    <m/>
    <n v="1"/>
    <n v="175500"/>
    <m/>
    <m/>
    <n v="0"/>
    <m/>
    <m/>
    <m/>
    <m/>
    <m/>
    <n v="0"/>
    <m/>
    <m/>
    <m/>
    <m/>
    <m/>
    <n v="0"/>
    <m/>
    <m/>
    <m/>
    <m/>
    <m/>
    <n v="0"/>
    <m/>
    <m/>
    <m/>
    <m/>
    <m/>
    <n v="0"/>
    <m/>
    <m/>
    <m/>
    <m/>
    <m/>
    <n v="0"/>
    <m/>
    <m/>
    <m/>
    <m/>
    <m/>
    <n v="0"/>
    <m/>
    <m/>
    <m/>
    <m/>
    <m/>
    <n v="0"/>
    <m/>
    <m/>
    <m/>
    <m/>
    <n v="1"/>
    <n v="175500"/>
  </r>
  <r>
    <m/>
    <n v="3"/>
    <n v="3"/>
    <s v="US"/>
    <n v="169"/>
    <s v="US 169"/>
    <s v="4814-52"/>
    <x v="1"/>
    <s v="2015-02"/>
    <s v="S"/>
    <s v="MNDOT"/>
    <m/>
    <s v="REPLACE BRIDGE  #6657 OVER RUM RIVER IN VINELAND"/>
    <s v="223+00.008"/>
    <s v="223+00.008"/>
    <n v="0"/>
    <m/>
    <s v="MILLE LACS"/>
    <s v="BR"/>
    <s v="1-B "/>
    <s v="1-B"/>
    <m/>
    <s v="BRPC - BRIDGE REPLACEMENT OR CONSTRUCTION"/>
    <s v="BRIDGE REPLACEMENT"/>
    <s v="NHPP SF "/>
    <s v="NHPP"/>
    <s v="SF"/>
    <m/>
    <n v="1575762"/>
    <n v="0"/>
    <n v="0"/>
    <n v="0"/>
    <n v="1260610"/>
    <n v="0"/>
    <n v="0"/>
    <n v="0"/>
    <n v="0"/>
    <n v="0"/>
    <n v="0"/>
    <n v="0"/>
    <n v="1260610"/>
    <n v="1260610"/>
    <n v="0"/>
    <n v="1260610"/>
    <n v="0"/>
    <n v="0"/>
    <n v="0"/>
    <n v="0"/>
    <n v="0"/>
    <n v="0"/>
    <n v="0"/>
    <n v="0"/>
    <n v="0"/>
    <n v="0"/>
    <n v="315152"/>
    <n v="0"/>
    <n v="315152"/>
    <n v="0"/>
    <n v="0"/>
    <n v="1575762"/>
    <n v="38276855"/>
    <n v="8509781"/>
    <n v="2015"/>
    <m/>
    <m/>
    <m/>
    <m/>
    <n v="0"/>
    <m/>
    <m/>
    <m/>
    <m/>
    <n v="1"/>
    <n v="1575762"/>
    <m/>
    <m/>
    <n v="0"/>
    <m/>
    <m/>
    <m/>
    <m/>
    <m/>
    <n v="0"/>
    <m/>
    <m/>
    <m/>
    <m/>
    <m/>
    <n v="0"/>
    <m/>
    <m/>
    <m/>
    <m/>
    <m/>
    <n v="0"/>
    <m/>
    <m/>
    <m/>
    <m/>
    <m/>
    <n v="0"/>
    <m/>
    <m/>
    <m/>
    <m/>
    <m/>
    <n v="0"/>
    <m/>
    <m/>
    <m/>
    <m/>
    <m/>
    <n v="0"/>
    <m/>
    <m/>
    <m/>
    <m/>
    <m/>
    <n v="0"/>
    <m/>
    <m/>
    <m/>
    <m/>
    <n v="1"/>
    <n v="1575762"/>
  </r>
  <r>
    <m/>
    <n v="3"/>
    <n v="3"/>
    <s v="US"/>
    <n v="10"/>
    <s v="US 10"/>
    <s v="4903-71"/>
    <x v="0"/>
    <m/>
    <s v="S"/>
    <s v="MNDOT"/>
    <m/>
    <s v="S OF LONG PRAIRIE RIVER TO CUSHING, MICROMILL, ULTRA THIN BONDED WEARING COURSE"/>
    <s v="116+00.206"/>
    <s v="131+00.500"/>
    <n v="15.9"/>
    <m/>
    <s v="MORRISON"/>
    <s v="RS"/>
    <s v=" "/>
    <m/>
    <m/>
    <s v="PVTR - PAVEMENT RESURFACE AND REHABILITATION"/>
    <s v="MILL AND OVERLAY"/>
    <s v="NHPP SF "/>
    <s v="NHPP"/>
    <s v="SF"/>
    <m/>
    <n v="4100000"/>
    <n v="0"/>
    <n v="0"/>
    <n v="0"/>
    <n v="3280000"/>
    <n v="0"/>
    <n v="0"/>
    <n v="0"/>
    <n v="0"/>
    <n v="0"/>
    <n v="0"/>
    <n v="0"/>
    <n v="3280000"/>
    <n v="3280000"/>
    <n v="0"/>
    <n v="3280000"/>
    <n v="0"/>
    <n v="0"/>
    <n v="0"/>
    <n v="0"/>
    <n v="0"/>
    <n v="0"/>
    <n v="0"/>
    <n v="0"/>
    <n v="0"/>
    <n v="0"/>
    <n v="820000"/>
    <n v="0"/>
    <n v="820000"/>
    <n v="0"/>
    <n v="0"/>
    <n v="4100000"/>
    <n v="16498328"/>
    <n v="1140000"/>
    <n v="2014"/>
    <m/>
    <m/>
    <s v="Do Not Know"/>
    <n v="0.88500000000000001"/>
    <n v="3628500"/>
    <m/>
    <m/>
    <m/>
    <m/>
    <m/>
    <n v="0"/>
    <m/>
    <n v="0.115"/>
    <n v="471500"/>
    <s v="Pavement markings"/>
    <m/>
    <m/>
    <m/>
    <m/>
    <n v="0"/>
    <m/>
    <m/>
    <m/>
    <m/>
    <m/>
    <n v="0"/>
    <m/>
    <m/>
    <m/>
    <m/>
    <m/>
    <n v="0"/>
    <m/>
    <m/>
    <m/>
    <m/>
    <m/>
    <n v="0"/>
    <m/>
    <m/>
    <m/>
    <m/>
    <m/>
    <n v="0"/>
    <m/>
    <m/>
    <m/>
    <m/>
    <m/>
    <n v="0"/>
    <m/>
    <m/>
    <m/>
    <m/>
    <m/>
    <n v="0"/>
    <m/>
    <m/>
    <m/>
    <m/>
    <n v="1"/>
    <n v="4100000"/>
  </r>
  <r>
    <m/>
    <n v="6"/>
    <n v="6"/>
    <s v="MN"/>
    <n v="999"/>
    <s v="MN 999"/>
    <s v="8806-AM-18"/>
    <x v="3"/>
    <m/>
    <s v="S"/>
    <s v="MNDOT"/>
    <m/>
    <s v="DISTRICTWIDE SETASIDES - MUNICIPAL AGREEMENTS - 2018"/>
    <m/>
    <m/>
    <n v="0"/>
    <m/>
    <s v="DISTRICTWIDE"/>
    <s v="AM"/>
    <s v="1-M  "/>
    <s v="1-M "/>
    <m/>
    <s v="SETA - SET ASIDE"/>
    <s v="COOP. CONST. AGREEMENT"/>
    <s v="SF  "/>
    <s v="SF"/>
    <m/>
    <m/>
    <n v="1500000"/>
    <n v="0"/>
    <n v="0"/>
    <n v="0"/>
    <n v="0"/>
    <n v="0"/>
    <n v="0"/>
    <n v="0"/>
    <n v="0"/>
    <n v="0"/>
    <n v="0"/>
    <n v="0"/>
    <n v="0"/>
    <n v="0"/>
    <n v="0"/>
    <n v="0"/>
    <n v="1500000"/>
    <n v="0"/>
    <n v="1500000"/>
    <n v="0"/>
    <n v="0"/>
    <n v="1500000"/>
    <m/>
    <m/>
    <n v="2018"/>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n v="92"/>
    <n v="6"/>
    <n v="6"/>
    <s v="MN"/>
    <n v="999"/>
    <s v="MN 999"/>
    <s v="8806-AM-19"/>
    <x v="4"/>
    <m/>
    <s v="S"/>
    <s v="MNDOT"/>
    <m/>
    <s v="DISTRICTWIDE SETASIDES - MUNICIPAL AGREEMENTS - 2019"/>
    <m/>
    <m/>
    <n v="0"/>
    <m/>
    <s v="DISTRICTWIDE"/>
    <s v="AM"/>
    <s v="1-M  "/>
    <s v="1-M "/>
    <m/>
    <s v="SETA - SET ASIDE"/>
    <s v="MISCELLANEOUS"/>
    <s v="SF  "/>
    <s v="SF"/>
    <m/>
    <m/>
    <n v="1500000"/>
    <n v="0"/>
    <n v="0"/>
    <n v="0"/>
    <n v="0"/>
    <n v="0"/>
    <n v="0"/>
    <n v="0"/>
    <n v="0"/>
    <n v="0"/>
    <n v="0"/>
    <n v="0"/>
    <n v="0"/>
    <n v="0"/>
    <n v="0"/>
    <n v="0"/>
    <n v="1500000"/>
    <n v="0"/>
    <n v="1500000"/>
    <n v="0"/>
    <n v="0"/>
    <n v="1500000"/>
    <m/>
    <m/>
    <n v="2019"/>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m/>
    <n v="3"/>
    <n v="3"/>
    <s v="MN"/>
    <n v="27"/>
    <s v="MN 27"/>
    <s v="4905-35"/>
    <x v="9"/>
    <s v="2016-01"/>
    <s v="S"/>
    <s v="MNDOT"/>
    <m/>
    <s v="REPLACE BRIDGE #6711 OVER SKUNK RIVER 6.0 MILES EAST OF LASTRUP"/>
    <s v="160+00.683"/>
    <s v="160+00.683"/>
    <n v="0"/>
    <m/>
    <s v="MORRISON"/>
    <s v="BR"/>
    <s v="1-B "/>
    <s v="1-B"/>
    <m/>
    <s v="BRPC - BRIDGE REPLACEMENT OR CONSTRUCTION"/>
    <s v="BRIDGE REPLACEMENT"/>
    <s v="SF  "/>
    <s v="SF"/>
    <m/>
    <m/>
    <n v="900000"/>
    <n v="0"/>
    <n v="0"/>
    <n v="0"/>
    <n v="0"/>
    <n v="0"/>
    <n v="0"/>
    <n v="0"/>
    <n v="0"/>
    <n v="0"/>
    <n v="0"/>
    <n v="0"/>
    <n v="0"/>
    <n v="0"/>
    <n v="0"/>
    <n v="0"/>
    <n v="0"/>
    <n v="0"/>
    <n v="0"/>
    <n v="0"/>
    <n v="0"/>
    <n v="0"/>
    <n v="0"/>
    <n v="0"/>
    <n v="0"/>
    <n v="0"/>
    <n v="900000"/>
    <n v="0"/>
    <n v="900000"/>
    <n v="0"/>
    <n v="0"/>
    <n v="900000"/>
    <n v="26977300"/>
    <n v="6570000"/>
    <n v="2017"/>
    <m/>
    <m/>
    <m/>
    <m/>
    <n v="0"/>
    <m/>
    <m/>
    <m/>
    <m/>
    <n v="1"/>
    <n v="900000"/>
    <m/>
    <m/>
    <n v="0"/>
    <m/>
    <m/>
    <m/>
    <m/>
    <m/>
    <n v="0"/>
    <m/>
    <m/>
    <m/>
    <m/>
    <m/>
    <n v="0"/>
    <m/>
    <m/>
    <m/>
    <m/>
    <m/>
    <n v="0"/>
    <m/>
    <m/>
    <m/>
    <m/>
    <m/>
    <n v="0"/>
    <m/>
    <m/>
    <m/>
    <m/>
    <m/>
    <n v="0"/>
    <m/>
    <m/>
    <m/>
    <m/>
    <m/>
    <n v="0"/>
    <m/>
    <m/>
    <m/>
    <m/>
    <m/>
    <n v="0"/>
    <m/>
    <m/>
    <m/>
    <m/>
    <n v="1"/>
    <n v="900000"/>
  </r>
  <r>
    <m/>
    <n v="6"/>
    <n v="6"/>
    <s v="MN"/>
    <n v="999"/>
    <s v="MN 999"/>
    <s v="8806-AM-20"/>
    <x v="5"/>
    <m/>
    <s v="S"/>
    <s v="MNDOT"/>
    <m/>
    <s v="DISTRICTWIDE SETASIDES - MUNICIPAL AGREEMENTS - 2020"/>
    <m/>
    <m/>
    <n v="0"/>
    <m/>
    <s v="DISTRICTWIDE"/>
    <s v="AM"/>
    <s v="1-M  "/>
    <s v="1-M "/>
    <m/>
    <s v="SETA - SET ASIDE"/>
    <s v="COOP. CONST. AGREEMENT"/>
    <s v="SF  "/>
    <s v="SF"/>
    <m/>
    <m/>
    <n v="1500000"/>
    <n v="0"/>
    <n v="0"/>
    <n v="0"/>
    <n v="0"/>
    <n v="0"/>
    <n v="0"/>
    <n v="0"/>
    <n v="0"/>
    <n v="0"/>
    <n v="0"/>
    <n v="0"/>
    <n v="0"/>
    <n v="0"/>
    <n v="0"/>
    <n v="0"/>
    <n v="1500000"/>
    <n v="0"/>
    <n v="1500000"/>
    <n v="0"/>
    <n v="0"/>
    <n v="1500000"/>
    <m/>
    <m/>
    <n v="2020"/>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m/>
    <n v="6"/>
    <n v="6"/>
    <s v="MN"/>
    <n v="999"/>
    <s v="MN 999"/>
    <s v="8806-AM-21"/>
    <x v="6"/>
    <m/>
    <s v="S"/>
    <s v="MNDOT"/>
    <m/>
    <s v="DISTRICTWIDE SETASIDES - MUNICIPAL AGREEMENTS - 2021"/>
    <m/>
    <m/>
    <n v="0"/>
    <m/>
    <s v="DISTRICTWIDE"/>
    <s v="AM"/>
    <s v="1-M  "/>
    <s v="1-M "/>
    <m/>
    <s v="SETA - SET ASIDE"/>
    <s v="COOP. CONST. AGREEMENT"/>
    <s v="SF  "/>
    <s v="SF"/>
    <m/>
    <m/>
    <n v="1500000"/>
    <n v="0"/>
    <n v="0"/>
    <n v="0"/>
    <n v="0"/>
    <n v="0"/>
    <n v="0"/>
    <n v="0"/>
    <n v="0"/>
    <n v="0"/>
    <n v="0"/>
    <n v="0"/>
    <n v="0"/>
    <n v="0"/>
    <n v="0"/>
    <n v="0"/>
    <n v="1500000"/>
    <n v="0"/>
    <n v="1500000"/>
    <n v="0"/>
    <n v="0"/>
    <n v="1500000"/>
    <m/>
    <m/>
    <n v="2021"/>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m/>
    <n v="6"/>
    <n v="6"/>
    <s v="MN"/>
    <n v="999"/>
    <s v="MN 999"/>
    <s v="8806-AM-22"/>
    <x v="7"/>
    <m/>
    <s v="S"/>
    <s v="MNDOT"/>
    <m/>
    <s v="DISTRICTWIDE SETASIDES - MUNICIPAL AGREEMENTS - 2022"/>
    <m/>
    <m/>
    <n v="0"/>
    <m/>
    <s v="DISTRICTWIDE"/>
    <s v="AM"/>
    <s v="1-M  "/>
    <s v="1-M "/>
    <m/>
    <s v="SETA - SET ASIDE"/>
    <s v="COOP. CONST. AGREEMENT"/>
    <s v="SF  "/>
    <s v="SF"/>
    <m/>
    <m/>
    <n v="1500000"/>
    <n v="0"/>
    <n v="0"/>
    <n v="0"/>
    <n v="0"/>
    <n v="0"/>
    <n v="0"/>
    <n v="0"/>
    <n v="0"/>
    <n v="0"/>
    <n v="0"/>
    <n v="0"/>
    <n v="0"/>
    <n v="0"/>
    <n v="0"/>
    <n v="0"/>
    <n v="1500000"/>
    <n v="0"/>
    <n v="1500000"/>
    <n v="0"/>
    <n v="0"/>
    <n v="1500000"/>
    <m/>
    <m/>
    <n v="2022"/>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m/>
    <n v="6"/>
    <n v="6"/>
    <s v="MN"/>
    <n v="999"/>
    <s v="MN 999"/>
    <s v="8806-AM-23"/>
    <x v="8"/>
    <m/>
    <s v="S"/>
    <s v="MNDOT"/>
    <m/>
    <s v="DISTRICTWIDE SETASIDES - MUNICIPAL AGREEMENTS - 2023"/>
    <m/>
    <m/>
    <n v="0"/>
    <m/>
    <s v="DISTRICTWIDE"/>
    <s v="AM"/>
    <s v="1-M  "/>
    <s v="1-M "/>
    <m/>
    <s v="SETA - SET ASIDE"/>
    <s v="COOP. CONST. AGREEMENT"/>
    <s v="SF  "/>
    <s v="SF"/>
    <m/>
    <m/>
    <n v="1500000"/>
    <n v="0"/>
    <n v="0"/>
    <n v="0"/>
    <n v="0"/>
    <n v="0"/>
    <n v="0"/>
    <n v="0"/>
    <n v="0"/>
    <n v="0"/>
    <n v="0"/>
    <n v="0"/>
    <n v="0"/>
    <n v="0"/>
    <n v="0"/>
    <n v="0"/>
    <n v="1500000"/>
    <n v="0"/>
    <n v="1500000"/>
    <n v="0"/>
    <n v="0"/>
    <n v="1500000"/>
    <m/>
    <m/>
    <n v="2023"/>
    <m/>
    <m/>
    <m/>
    <m/>
    <m/>
    <m/>
    <m/>
    <m/>
    <m/>
    <m/>
    <m/>
    <m/>
    <m/>
    <n v="0.82099999999999995"/>
    <n v="1231500"/>
    <m/>
    <m/>
    <m/>
    <m/>
    <m/>
    <n v="0"/>
    <m/>
    <n v="0.115"/>
    <n v="172500"/>
    <m/>
    <m/>
    <m/>
    <m/>
    <n v="3.2000000000000001E-2"/>
    <n v="48000"/>
    <m/>
    <m/>
    <m/>
    <m/>
    <m/>
    <n v="0"/>
    <m/>
    <m/>
    <m/>
    <m/>
    <m/>
    <n v="0"/>
    <m/>
    <m/>
    <m/>
    <m/>
    <n v="2.3E-2"/>
    <n v="34500"/>
    <m/>
    <m/>
    <m/>
    <m/>
    <n v="8.9999999999999993E-3"/>
    <n v="13499.999999999998"/>
    <m/>
    <m/>
    <m/>
    <m/>
    <m/>
    <n v="0"/>
    <m/>
    <m/>
    <m/>
    <m/>
    <m/>
    <n v="0"/>
    <m/>
    <m/>
    <m/>
    <m/>
    <n v="1"/>
    <n v="1500000"/>
  </r>
  <r>
    <m/>
    <n v="3"/>
    <n v="3"/>
    <s v="MN"/>
    <n v="27"/>
    <s v="MN 27"/>
    <s v="4906-23"/>
    <x v="9"/>
    <s v="2016-01"/>
    <s v="S"/>
    <s v="MNDOT"/>
    <m/>
    <s v="REPLACE BRIDGE #799 OVER RICE CREEK"/>
    <m/>
    <m/>
    <n v="0"/>
    <m/>
    <s v="MORRISON"/>
    <s v="BR"/>
    <s v="1-B "/>
    <s v="1-B"/>
    <m/>
    <s v="BRPC - BRIDGE REPLACEMENT OR CONSTRUCTION"/>
    <s v="BRIDGE REPLACEMENT"/>
    <s v="SF  "/>
    <s v="SF"/>
    <m/>
    <m/>
    <n v="500000"/>
    <n v="0"/>
    <n v="0"/>
    <n v="0"/>
    <n v="0"/>
    <n v="0"/>
    <n v="0"/>
    <n v="0"/>
    <n v="0"/>
    <n v="0"/>
    <n v="0"/>
    <n v="0"/>
    <n v="0"/>
    <n v="0"/>
    <n v="0"/>
    <n v="0"/>
    <n v="0"/>
    <n v="0"/>
    <n v="0"/>
    <n v="0"/>
    <n v="0"/>
    <n v="0"/>
    <n v="0"/>
    <n v="0"/>
    <n v="0"/>
    <n v="0"/>
    <n v="500000"/>
    <n v="0"/>
    <n v="500000"/>
    <n v="0"/>
    <n v="0"/>
    <n v="500000"/>
    <n v="26977300"/>
    <n v="7070000"/>
    <n v="2017"/>
    <m/>
    <m/>
    <m/>
    <m/>
    <n v="0"/>
    <m/>
    <m/>
    <m/>
    <m/>
    <n v="1"/>
    <n v="500000"/>
    <m/>
    <m/>
    <n v="0"/>
    <m/>
    <m/>
    <m/>
    <m/>
    <m/>
    <n v="0"/>
    <m/>
    <m/>
    <m/>
    <m/>
    <m/>
    <n v="0"/>
    <m/>
    <m/>
    <m/>
    <m/>
    <m/>
    <n v="0"/>
    <m/>
    <m/>
    <m/>
    <m/>
    <m/>
    <n v="0"/>
    <m/>
    <m/>
    <m/>
    <m/>
    <m/>
    <n v="0"/>
    <m/>
    <m/>
    <m/>
    <m/>
    <m/>
    <n v="0"/>
    <m/>
    <m/>
    <m/>
    <m/>
    <m/>
    <n v="0"/>
    <m/>
    <m/>
    <m/>
    <m/>
    <n v="1"/>
    <n v="500000"/>
  </r>
  <r>
    <m/>
    <n v="3"/>
    <n v="3"/>
    <s v="MN"/>
    <n v="115"/>
    <s v="MN 115"/>
    <s v="4908-4969A"/>
    <x v="1"/>
    <s v="2015-10"/>
    <s v="S"/>
    <s v="MNDOT"/>
    <m/>
    <s v="PRESERVE BRIDGE #4969 OVER MISSISSIPPI RIVER AT CAMP RIPLEY"/>
    <n v="0"/>
    <n v="0"/>
    <n v="0.1"/>
    <m/>
    <s v="MORRISON"/>
    <s v="BI"/>
    <s v="1-BPM "/>
    <s v="1-BPM"/>
    <m/>
    <s v="BRRH - BRIDGE REHABILITATION"/>
    <s v="BRIDGE REPAIR"/>
    <s v="SF  "/>
    <s v="SF"/>
    <m/>
    <m/>
    <n v="117000"/>
    <n v="0"/>
    <n v="0"/>
    <n v="0"/>
    <n v="0"/>
    <n v="0"/>
    <n v="0"/>
    <n v="0"/>
    <n v="0"/>
    <n v="0"/>
    <n v="0"/>
    <n v="0"/>
    <n v="0"/>
    <n v="0"/>
    <n v="0"/>
    <n v="0"/>
    <n v="0"/>
    <n v="0"/>
    <n v="0"/>
    <n v="0"/>
    <n v="0"/>
    <n v="0"/>
    <n v="0"/>
    <n v="0"/>
    <n v="0"/>
    <n v="0"/>
    <n v="117000"/>
    <n v="0"/>
    <n v="117000"/>
    <n v="0"/>
    <n v="0"/>
    <n v="117000"/>
    <n v="36782245"/>
    <n v="8136129"/>
    <n v="2015"/>
    <m/>
    <m/>
    <m/>
    <m/>
    <n v="0"/>
    <m/>
    <m/>
    <m/>
    <m/>
    <n v="1"/>
    <n v="117000"/>
    <m/>
    <m/>
    <n v="0"/>
    <m/>
    <m/>
    <m/>
    <m/>
    <m/>
    <n v="0"/>
    <m/>
    <m/>
    <m/>
    <m/>
    <m/>
    <n v="0"/>
    <m/>
    <m/>
    <m/>
    <m/>
    <m/>
    <n v="0"/>
    <m/>
    <m/>
    <m/>
    <m/>
    <m/>
    <n v="0"/>
    <m/>
    <m/>
    <m/>
    <m/>
    <m/>
    <n v="0"/>
    <m/>
    <m/>
    <m/>
    <m/>
    <m/>
    <n v="0"/>
    <m/>
    <m/>
    <m/>
    <m/>
    <m/>
    <n v="0"/>
    <m/>
    <m/>
    <m/>
    <m/>
    <n v="1"/>
    <n v="117000"/>
  </r>
  <r>
    <m/>
    <n v="3"/>
    <n v="3"/>
    <s v="MN"/>
    <n v="25"/>
    <s v="MN 25"/>
    <s v="4910-29"/>
    <x v="9"/>
    <s v="2015-28"/>
    <s v="S"/>
    <s v="MNDOT"/>
    <m/>
    <s v="LITTLE ROCK TO SOUTH OF GENOLA, MILL AND OVERLAY"/>
    <s v="117+00.187"/>
    <s v="126+00.072"/>
    <n v="8.92"/>
    <m/>
    <s v="MORRISON"/>
    <s v="RS"/>
    <s v="1-P "/>
    <s v="1-P"/>
    <m/>
    <s v="PVTR - PAVEMENT RESURFACE AND REHABILITATION"/>
    <s v="MILL AND OVERLAY"/>
    <s v="STP Statewide SF "/>
    <s v="STP Statewide"/>
    <s v="SF"/>
    <m/>
    <n v="3100000"/>
    <n v="0"/>
    <n v="0"/>
    <n v="0"/>
    <n v="0"/>
    <n v="0"/>
    <n v="2480000"/>
    <n v="0"/>
    <n v="0"/>
    <n v="0"/>
    <n v="0"/>
    <n v="0"/>
    <n v="2480000"/>
    <n v="2480000"/>
    <n v="0"/>
    <n v="0"/>
    <n v="0"/>
    <n v="0"/>
    <n v="0"/>
    <n v="0"/>
    <n v="0"/>
    <n v="0"/>
    <n v="0"/>
    <n v="0"/>
    <n v="0"/>
    <n v="0"/>
    <n v="620000"/>
    <n v="0"/>
    <n v="620000"/>
    <n v="0"/>
    <n v="0"/>
    <n v="3100000"/>
    <n v="26977300"/>
    <n v="5170000"/>
    <n v="2017"/>
    <m/>
    <m/>
    <m/>
    <n v="0.88500000000000001"/>
    <n v="2743500"/>
    <m/>
    <m/>
    <m/>
    <m/>
    <m/>
    <n v="0"/>
    <m/>
    <n v="0.115"/>
    <n v="356500"/>
    <s v="Pavement markings"/>
    <m/>
    <m/>
    <m/>
    <m/>
    <n v="0"/>
    <m/>
    <m/>
    <m/>
    <m/>
    <m/>
    <n v="0"/>
    <m/>
    <m/>
    <m/>
    <m/>
    <m/>
    <n v="0"/>
    <m/>
    <m/>
    <m/>
    <m/>
    <m/>
    <n v="0"/>
    <m/>
    <m/>
    <m/>
    <m/>
    <m/>
    <n v="0"/>
    <m/>
    <m/>
    <m/>
    <m/>
    <m/>
    <n v="0"/>
    <m/>
    <m/>
    <m/>
    <m/>
    <m/>
    <n v="0"/>
    <m/>
    <m/>
    <m/>
    <m/>
    <n v="1"/>
    <n v="3100000"/>
  </r>
  <r>
    <m/>
    <n v="6"/>
    <n v="6"/>
    <s v="MN"/>
    <n v="56"/>
    <s v="MN 56"/>
    <s v="5005-58"/>
    <x v="1"/>
    <m/>
    <s v="S"/>
    <s v="MNDOT"/>
    <m/>
    <s v="FARM ENTRANCE OVER NORTH BRANCH UPPER IOWA RIVER - NEAR TAOPI, REPLACE BRIDGE 5905 "/>
    <s v="013+00.300"/>
    <s v="013+00.300"/>
    <n v="0"/>
    <m/>
    <s v="MOWER"/>
    <s v="BR"/>
    <s v="1-B  "/>
    <s v="1-B "/>
    <m/>
    <s v="BRPC - BRIDGE REPLACEMENT OR CONSTRUCTION"/>
    <s v="BRIDGE REPLACEMENT"/>
    <s v="STP5K  "/>
    <s v="STP5K"/>
    <m/>
    <m/>
    <n v="490500"/>
    <n v="0"/>
    <n v="0"/>
    <n v="392400"/>
    <n v="0"/>
    <n v="392400"/>
    <n v="0"/>
    <n v="0"/>
    <n v="0"/>
    <n v="0"/>
    <n v="0"/>
    <n v="0"/>
    <n v="0"/>
    <n v="0"/>
    <n v="0"/>
    <n v="0"/>
    <n v="98100"/>
    <n v="0"/>
    <n v="98100"/>
    <n v="0"/>
    <n v="0"/>
    <n v="490500"/>
    <n v="64117249"/>
    <n v="3944976"/>
    <n v="2015"/>
    <m/>
    <n v="68.900000000000006"/>
    <m/>
    <m/>
    <m/>
    <m/>
    <s v="NO"/>
    <s v="NO"/>
    <s v="1st District"/>
    <s v="NO"/>
    <s v="NO"/>
    <s v="Yes"/>
    <s v="NO"/>
    <m/>
    <n v="0"/>
    <m/>
    <m/>
    <m/>
    <m/>
    <n v="1"/>
    <n v="490500"/>
    <m/>
    <m/>
    <n v="0"/>
    <m/>
    <m/>
    <m/>
    <m/>
    <m/>
    <n v="0"/>
    <m/>
    <m/>
    <m/>
    <m/>
    <m/>
    <n v="0"/>
    <m/>
    <m/>
    <m/>
    <m/>
    <m/>
    <n v="0"/>
    <m/>
    <m/>
    <m/>
    <m/>
    <m/>
    <n v="0"/>
    <m/>
    <m/>
    <m/>
    <m/>
    <m/>
    <n v="0"/>
    <m/>
    <m/>
    <m/>
    <m/>
    <m/>
    <n v="0"/>
    <m/>
    <m/>
    <m/>
    <m/>
    <m/>
    <n v="0"/>
    <m/>
    <m/>
    <m/>
    <m/>
    <n v="1"/>
    <n v="490500"/>
  </r>
  <r>
    <m/>
    <n v="6"/>
    <n v="6"/>
    <s v="MN"/>
    <n v="56"/>
    <s v="MN 56"/>
    <s v="5005-62"/>
    <x v="9"/>
    <m/>
    <s v="S"/>
    <s v="MNDOT"/>
    <m/>
    <s v="FROM MAPLE STREET IN TAOPI TO CSAH 46, MEDIUM BITUMINOUS MILL AND OVERLAY"/>
    <s v="014+00.770"/>
    <s v="031+00.167"/>
    <n v="16.405000000000001"/>
    <s v="TAOPI"/>
    <s v="MOWER"/>
    <s v="RS"/>
    <s v=" "/>
    <m/>
    <m/>
    <s v="PVTR - PAVEMENT RESURFACE AND REHABILITATION"/>
    <s v="BITUMINOUS OVERLAY"/>
    <s v="STP5K  "/>
    <s v="STP5K"/>
    <m/>
    <m/>
    <n v="5831000"/>
    <n v="0"/>
    <n v="0"/>
    <n v="4664800"/>
    <n v="0"/>
    <n v="4664800"/>
    <n v="0"/>
    <n v="0"/>
    <n v="0"/>
    <n v="0"/>
    <n v="0"/>
    <n v="0"/>
    <n v="0"/>
    <n v="0"/>
    <n v="0"/>
    <n v="0"/>
    <n v="1166200"/>
    <n v="0"/>
    <n v="1166200"/>
    <n v="0"/>
    <n v="0"/>
    <n v="5831000"/>
    <n v="44164938"/>
    <n v="8469883"/>
    <n v="2017"/>
    <m/>
    <m/>
    <m/>
    <m/>
    <m/>
    <m/>
    <s v="NO"/>
    <s v="NO"/>
    <s v="1st District"/>
    <s v="NO"/>
    <s v="NO"/>
    <s v="Yes"/>
    <m/>
    <n v="0.876"/>
    <n v="5107956"/>
    <m/>
    <m/>
    <m/>
    <m/>
    <m/>
    <n v="0"/>
    <m/>
    <n v="0.115"/>
    <n v="670565"/>
    <m/>
    <m/>
    <m/>
    <m/>
    <m/>
    <n v="0"/>
    <m/>
    <m/>
    <m/>
    <m/>
    <m/>
    <n v="0"/>
    <m/>
    <m/>
    <m/>
    <m/>
    <m/>
    <n v="0"/>
    <m/>
    <m/>
    <m/>
    <m/>
    <m/>
    <n v="0"/>
    <m/>
    <m/>
    <m/>
    <m/>
    <n v="8.9999999999999993E-3"/>
    <n v="52478.999999999993"/>
    <m/>
    <m/>
    <m/>
    <m/>
    <m/>
    <n v="0"/>
    <m/>
    <m/>
    <m/>
    <m/>
    <m/>
    <n v="0"/>
    <m/>
    <m/>
    <m/>
    <m/>
    <n v="1"/>
    <n v="5831000"/>
  </r>
  <r>
    <m/>
    <n v="6"/>
    <n v="6"/>
    <s v="US"/>
    <n v="63"/>
    <s v="US 63"/>
    <s v="5006-19"/>
    <x v="0"/>
    <m/>
    <s v="S"/>
    <s v="MNDOT"/>
    <m/>
    <s v="FROM W. JCT. T.H. 16 TO S END ROOT RIVER BRIDGE (STEWARTVILLE), BITUMINOUS MILL &amp; OVERLAY PLUS AT CSAH 2 N. OF DEER CREEK AND MOWER CSAH 1 IN RACINE, LEFT TURN LANES "/>
    <s v="018+00.601"/>
    <s v="029+00.003"/>
    <n v="10.401"/>
    <m/>
    <s v="MOWER"/>
    <s v="RS"/>
    <s v="1-P "/>
    <s v="1-P"/>
    <m/>
    <s v="PVTR - PAVEMENT RESURFACE AND REHABILITATION"/>
    <s v="MILL AND OVERLAY"/>
    <s v="NHPP  "/>
    <s v="NHPP"/>
    <m/>
    <m/>
    <n v="4340000"/>
    <n v="0"/>
    <n v="0"/>
    <n v="3472000"/>
    <n v="0"/>
    <n v="3472000"/>
    <n v="0"/>
    <n v="0"/>
    <n v="0"/>
    <n v="0"/>
    <n v="0"/>
    <n v="0"/>
    <n v="0"/>
    <n v="0"/>
    <n v="0"/>
    <n v="0"/>
    <n v="868000"/>
    <n v="0"/>
    <n v="868000"/>
    <n v="0"/>
    <n v="0"/>
    <n v="4340000"/>
    <n v="47567527.459999993"/>
    <n v="10061221.689999999"/>
    <n v="2014"/>
    <m/>
    <m/>
    <m/>
    <m/>
    <m/>
    <m/>
    <s v="NO"/>
    <s v="NO"/>
    <s v="1st District"/>
    <s v="NO"/>
    <s v="NO"/>
    <s v="Yes"/>
    <s v="NO"/>
    <n v="0.82099999999999995"/>
    <n v="3563140"/>
    <m/>
    <m/>
    <m/>
    <m/>
    <m/>
    <n v="0"/>
    <m/>
    <n v="0.115"/>
    <n v="499100"/>
    <m/>
    <m/>
    <m/>
    <m/>
    <n v="3.2000000000000001E-2"/>
    <n v="138880"/>
    <m/>
    <m/>
    <m/>
    <m/>
    <m/>
    <n v="0"/>
    <m/>
    <m/>
    <m/>
    <m/>
    <m/>
    <n v="0"/>
    <m/>
    <m/>
    <m/>
    <m/>
    <n v="2.3E-2"/>
    <n v="99820"/>
    <m/>
    <m/>
    <m/>
    <m/>
    <n v="8.9999999999999993E-3"/>
    <n v="39060"/>
    <m/>
    <m/>
    <m/>
    <m/>
    <m/>
    <n v="0"/>
    <m/>
    <m/>
    <m/>
    <m/>
    <m/>
    <n v="0"/>
    <m/>
    <m/>
    <m/>
    <m/>
    <n v="1"/>
    <n v="4340000"/>
  </r>
  <r>
    <m/>
    <n v="6"/>
    <n v="6"/>
    <s v="US"/>
    <n v="63"/>
    <s v="US 63"/>
    <s v="5006-19S"/>
    <x v="0"/>
    <m/>
    <s v="S"/>
    <s v="MNDOT"/>
    <m/>
    <s v="CSAH 1 IN RACINE, LEFT TURN LANES"/>
    <m/>
    <m/>
    <m/>
    <m/>
    <s v="MOWER"/>
    <s v="SH"/>
    <s v="7-O-P "/>
    <s v="7-O-P"/>
    <m/>
    <s v="PVTR - PAVEMENT RESURFACE AND REHABILITATION"/>
    <s v="SAFETY TARGET"/>
    <s v="HSIP  "/>
    <s v="HSIP"/>
    <m/>
    <m/>
    <n v="360000"/>
    <n v="0"/>
    <n v="0"/>
    <n v="324000"/>
    <n v="0"/>
    <n v="324000"/>
    <n v="0"/>
    <n v="0"/>
    <n v="0"/>
    <n v="0"/>
    <n v="0"/>
    <n v="0"/>
    <n v="0"/>
    <n v="0"/>
    <n v="0"/>
    <n v="0"/>
    <n v="36000"/>
    <n v="0"/>
    <n v="36000"/>
    <n v="0"/>
    <n v="0"/>
    <n v="360000"/>
    <n v="47891527.459999993"/>
    <n v="10097221.689999999"/>
    <n v="2014"/>
    <m/>
    <m/>
    <m/>
    <m/>
    <m/>
    <m/>
    <s v="NO"/>
    <s v="NO"/>
    <s v="1st District"/>
    <s v="NO"/>
    <s v="NO"/>
    <s v="Yes"/>
    <s v="NO"/>
    <m/>
    <n v="0"/>
    <m/>
    <m/>
    <m/>
    <m/>
    <m/>
    <n v="0"/>
    <m/>
    <m/>
    <n v="0"/>
    <m/>
    <m/>
    <m/>
    <m/>
    <n v="1"/>
    <n v="360000"/>
    <m/>
    <m/>
    <m/>
    <m/>
    <m/>
    <n v="0"/>
    <m/>
    <m/>
    <m/>
    <m/>
    <m/>
    <n v="0"/>
    <m/>
    <m/>
    <m/>
    <m/>
    <m/>
    <n v="0"/>
    <m/>
    <m/>
    <m/>
    <m/>
    <m/>
    <n v="0"/>
    <m/>
    <m/>
    <m/>
    <m/>
    <m/>
    <n v="0"/>
    <m/>
    <m/>
    <m/>
    <m/>
    <m/>
    <n v="0"/>
    <m/>
    <m/>
    <m/>
    <m/>
    <n v="1"/>
    <n v="360000"/>
  </r>
  <r>
    <m/>
    <n v="6"/>
    <n v="6"/>
    <s v="MN"/>
    <n v="105"/>
    <s v="MN 105"/>
    <s v="5007-32"/>
    <x v="2"/>
    <m/>
    <s v="S"/>
    <s v="MNDOT"/>
    <m/>
    <s v="FROM N END BR 5971 TO JCT W RAMPS I-90, MEDIUM MILL AND OVERLAY"/>
    <s v="011+00.262"/>
    <s v="013+00.653"/>
    <n v="2.3719999999999999"/>
    <m/>
    <s v="MOWER"/>
    <s v="RS"/>
    <s v="1-P "/>
    <s v="1-P"/>
    <m/>
    <s v="PVTR - PAVEMENT RESURFACE AND REHABILITATION"/>
    <s v="BITUMINOUS OVERLAY"/>
    <s v="NHPP  "/>
    <s v="NHPP"/>
    <m/>
    <m/>
    <n v="1100000"/>
    <n v="0"/>
    <n v="0"/>
    <n v="880000"/>
    <n v="0"/>
    <n v="880000"/>
    <n v="0"/>
    <n v="0"/>
    <n v="0"/>
    <n v="0"/>
    <n v="0"/>
    <n v="0"/>
    <n v="0"/>
    <n v="0"/>
    <n v="0"/>
    <n v="0"/>
    <n v="220000"/>
    <n v="0"/>
    <n v="220000"/>
    <n v="0"/>
    <n v="0"/>
    <n v="1100000"/>
    <n v="66445609"/>
    <n v="4492501"/>
    <n v="2016"/>
    <m/>
    <s v="MAP-21 NHPP PROJECT ADDED"/>
    <m/>
    <m/>
    <m/>
    <m/>
    <s v="NO"/>
    <s v="NO"/>
    <s v="1st District"/>
    <s v="NO"/>
    <s v="NO"/>
    <s v="Yes"/>
    <m/>
    <n v="1"/>
    <n v="1100000"/>
    <m/>
    <m/>
    <m/>
    <m/>
    <m/>
    <n v="0"/>
    <m/>
    <m/>
    <n v="0"/>
    <m/>
    <m/>
    <m/>
    <m/>
    <m/>
    <n v="0"/>
    <m/>
    <m/>
    <m/>
    <m/>
    <m/>
    <n v="0"/>
    <m/>
    <m/>
    <m/>
    <m/>
    <m/>
    <n v="0"/>
    <m/>
    <m/>
    <m/>
    <m/>
    <m/>
    <n v="0"/>
    <m/>
    <m/>
    <m/>
    <m/>
    <m/>
    <n v="0"/>
    <m/>
    <m/>
    <m/>
    <m/>
    <m/>
    <n v="0"/>
    <m/>
    <m/>
    <m/>
    <m/>
    <m/>
    <n v="0"/>
    <m/>
    <m/>
    <m/>
    <m/>
    <n v="1"/>
    <n v="1100000"/>
  </r>
  <r>
    <m/>
    <n v="6"/>
    <n v="6"/>
    <s v="I"/>
    <n v="90"/>
    <s v="I 90"/>
    <s v="5080-161"/>
    <x v="1"/>
    <m/>
    <s v="S"/>
    <s v="MNDOT"/>
    <m/>
    <s v="UNDER 11TH DRIVE NE, AUSTIN, REPLACE BRIDGE 9177 "/>
    <s v="179+00.434"/>
    <s v="179+00.434"/>
    <n v="0"/>
    <s v="AUSTIN"/>
    <s v="MOWER"/>
    <s v="BR"/>
    <s v="1-B "/>
    <s v="1-B"/>
    <m/>
    <s v="BRPC - BRIDGE REPLACEMENT OR CONSTRUCTION"/>
    <s v="BRIDGE REPLACEMENT"/>
    <s v="NHPP  "/>
    <s v="NHPP"/>
    <m/>
    <m/>
    <n v="1412126"/>
    <n v="0"/>
    <n v="0"/>
    <n v="1129701"/>
    <n v="0"/>
    <n v="1129701"/>
    <n v="0"/>
    <n v="0"/>
    <n v="0"/>
    <n v="0"/>
    <n v="0"/>
    <n v="0"/>
    <n v="0"/>
    <n v="0"/>
    <n v="0"/>
    <n v="0"/>
    <n v="282425"/>
    <n v="0"/>
    <n v="282425"/>
    <n v="0"/>
    <n v="0"/>
    <n v="1412126"/>
    <n v="78052460"/>
    <n v="9584602"/>
    <n v="2015"/>
    <m/>
    <n v="63.9"/>
    <m/>
    <m/>
    <m/>
    <m/>
    <s v="NO"/>
    <s v="NO"/>
    <s v="1st District"/>
    <s v="NO"/>
    <s v="NO"/>
    <s v="Yes"/>
    <s v="NO"/>
    <m/>
    <n v="0"/>
    <m/>
    <m/>
    <m/>
    <m/>
    <n v="0.92900000000000005"/>
    <n v="1311865.054"/>
    <m/>
    <m/>
    <n v="0"/>
    <m/>
    <m/>
    <m/>
    <m/>
    <m/>
    <n v="0"/>
    <m/>
    <m/>
    <m/>
    <m/>
    <m/>
    <n v="0"/>
    <m/>
    <m/>
    <m/>
    <m/>
    <m/>
    <n v="0"/>
    <m/>
    <m/>
    <m/>
    <m/>
    <n v="3.5000000000000003E-2"/>
    <n v="49424.41"/>
    <m/>
    <m/>
    <m/>
    <m/>
    <n v="3.5999999999999997E-2"/>
    <n v="50836.535999999993"/>
    <m/>
    <m/>
    <m/>
    <m/>
    <m/>
    <n v="0"/>
    <m/>
    <m/>
    <m/>
    <m/>
    <m/>
    <n v="0"/>
    <m/>
    <m/>
    <m/>
    <m/>
    <n v="1"/>
    <n v="1412126"/>
  </r>
  <r>
    <m/>
    <n v="8"/>
    <n v="8"/>
    <s v="MN"/>
    <n v="30"/>
    <s v="MN 30"/>
    <s v="5101-14"/>
    <x v="9"/>
    <m/>
    <s v="S"/>
    <s v="MNDOT"/>
    <m/>
    <s v="LAKE WILSON TO US 59 (SLAYTON), OVERLAY"/>
    <n v="25.47"/>
    <n v="35.709000000000003"/>
    <n v="10.199999999999999"/>
    <m/>
    <s v="MURRAY"/>
    <s v="RS"/>
    <m/>
    <m/>
    <m/>
    <s v="PVTR - PAVEMENT RESURFACE AND REHABILITATION"/>
    <s v="BITUMINOUS OVERLAY"/>
    <s v="SF  "/>
    <s v="SF"/>
    <m/>
    <m/>
    <n v="2200000"/>
    <n v="0"/>
    <n v="0"/>
    <n v="0"/>
    <n v="0"/>
    <n v="0"/>
    <n v="0"/>
    <n v="0"/>
    <n v="0"/>
    <n v="0"/>
    <n v="0"/>
    <n v="0"/>
    <n v="0"/>
    <n v="0"/>
    <n v="0"/>
    <n v="0"/>
    <n v="2200000"/>
    <n v="0"/>
    <n v="2200000"/>
    <n v="0"/>
    <n v="0"/>
    <n v="2200000"/>
    <n v="14596000"/>
    <n v="6452000"/>
    <n v="2017"/>
    <m/>
    <m/>
    <m/>
    <m/>
    <m/>
    <s v="NO"/>
    <s v="YES"/>
    <s v="NO"/>
    <s v="7th District"/>
    <s v="NO"/>
    <s v="NO"/>
    <s v="Yes"/>
    <s v="NO"/>
    <n v="0.8"/>
    <n v="1760000"/>
    <m/>
    <m/>
    <m/>
    <m/>
    <m/>
    <n v="0"/>
    <m/>
    <n v="0.11"/>
    <n v="242000"/>
    <s v="Drainage and culverts"/>
    <n v="0.5"/>
    <s v="Pavement markings"/>
    <n v="0.5"/>
    <m/>
    <n v="0"/>
    <m/>
    <m/>
    <m/>
    <m/>
    <m/>
    <n v="0"/>
    <m/>
    <m/>
    <m/>
    <m/>
    <m/>
    <n v="0"/>
    <m/>
    <m/>
    <m/>
    <m/>
    <m/>
    <n v="0"/>
    <m/>
    <m/>
    <m/>
    <m/>
    <n v="7.0000000000000007E-2"/>
    <n v="154000.00000000003"/>
    <s v="ADA improvements - curb"/>
    <n v="1"/>
    <m/>
    <m/>
    <n v="0.02"/>
    <n v="44000"/>
    <s v="District program"/>
    <n v="1"/>
    <m/>
    <m/>
    <m/>
    <n v="0"/>
    <m/>
    <m/>
    <m/>
    <m/>
    <n v="1"/>
    <n v="2200000"/>
  </r>
  <r>
    <m/>
    <n v="8"/>
    <n v="8"/>
    <s v="MN"/>
    <n v="30"/>
    <s v="MN 30"/>
    <s v="5101-15"/>
    <x v="1"/>
    <m/>
    <s v="S"/>
    <s v="MNDOT"/>
    <m/>
    <s v="E. JCT. US 75 (PIPESTONE) TO LAKE WILSON, OVERLAY"/>
    <n v="8.2850000000000001"/>
    <n v="25.47"/>
    <n v="17.2"/>
    <m/>
    <s v="MURRAY"/>
    <s v="RS"/>
    <s v=" "/>
    <m/>
    <m/>
    <s v="PVTR - PAVEMENT RESURFACE AND REHABILITATION"/>
    <s v="BITUMINOUS OVERLAY"/>
    <s v="STP 5K &gt;  "/>
    <s v="STP 5K &gt;"/>
    <m/>
    <m/>
    <n v="2200000"/>
    <n v="0"/>
    <n v="0"/>
    <n v="1760000"/>
    <n v="0"/>
    <n v="1760000"/>
    <n v="0"/>
    <n v="0"/>
    <n v="0"/>
    <n v="0"/>
    <n v="0"/>
    <n v="0"/>
    <n v="0"/>
    <n v="0"/>
    <n v="0"/>
    <n v="0"/>
    <n v="440000"/>
    <n v="0"/>
    <n v="440000"/>
    <n v="0"/>
    <n v="0"/>
    <n v="2200000"/>
    <n v="14952563"/>
    <n v="4512000"/>
    <n v="2015"/>
    <m/>
    <m/>
    <m/>
    <m/>
    <m/>
    <s v="NO"/>
    <s v="NO"/>
    <s v="NO"/>
    <s v="7th District"/>
    <s v="NO"/>
    <s v="NO"/>
    <s v="Yes"/>
    <s v="NO"/>
    <n v="0.91"/>
    <n v="2002000"/>
    <s v="Mill and/or overlay"/>
    <n v="1"/>
    <m/>
    <m/>
    <m/>
    <n v="0"/>
    <m/>
    <n v="0.09"/>
    <n v="198000"/>
    <s v="Pavement markings"/>
    <n v="1"/>
    <m/>
    <m/>
    <m/>
    <n v="0"/>
    <m/>
    <m/>
    <m/>
    <m/>
    <m/>
    <n v="0"/>
    <m/>
    <m/>
    <m/>
    <m/>
    <m/>
    <n v="0"/>
    <m/>
    <m/>
    <m/>
    <m/>
    <m/>
    <n v="0"/>
    <m/>
    <m/>
    <m/>
    <m/>
    <m/>
    <n v="0"/>
    <m/>
    <m/>
    <m/>
    <m/>
    <m/>
    <n v="0"/>
    <m/>
    <m/>
    <m/>
    <m/>
    <m/>
    <n v="0"/>
    <m/>
    <m/>
    <m/>
    <m/>
    <n v="1"/>
    <n v="2200000"/>
  </r>
  <r>
    <m/>
    <n v="8"/>
    <n v="8"/>
    <s v="MN"/>
    <n v="30"/>
    <s v="MN 30"/>
    <s v="5102-24"/>
    <x v="0"/>
    <m/>
    <s v="S"/>
    <s v="MNDOT"/>
    <m/>
    <s v="**TED14** - SCHMITZ GRAIN ELEVATOR IN WEST SIDE OF SLAYTON, RIGHT TURN LANE"/>
    <n v="0"/>
    <n v="0"/>
    <n v="0"/>
    <m/>
    <s v="MURRAY"/>
    <s v="AM"/>
    <m/>
    <m/>
    <m/>
    <s v="GRSU - GRADE AND SURFACE"/>
    <s v="TURN LANES"/>
    <s v="SF  "/>
    <s v="SF"/>
    <m/>
    <m/>
    <n v="105000"/>
    <n v="0"/>
    <n v="0"/>
    <n v="0"/>
    <n v="0"/>
    <n v="0"/>
    <n v="0"/>
    <n v="0"/>
    <n v="0"/>
    <n v="0"/>
    <n v="0"/>
    <n v="0"/>
    <n v="0"/>
    <n v="0"/>
    <n v="0"/>
    <n v="0"/>
    <n v="105000"/>
    <n v="0"/>
    <n v="105000"/>
    <n v="0"/>
    <n v="0"/>
    <n v="105000"/>
    <m/>
    <m/>
    <m/>
    <m/>
    <m/>
    <m/>
    <m/>
    <m/>
    <m/>
    <m/>
    <m/>
    <m/>
    <m/>
    <m/>
    <m/>
    <m/>
    <m/>
    <m/>
    <m/>
    <m/>
    <m/>
    <m/>
    <m/>
    <m/>
    <m/>
    <m/>
    <m/>
    <m/>
    <m/>
    <m/>
    <m/>
    <m/>
    <m/>
    <m/>
    <m/>
    <m/>
    <m/>
    <m/>
    <m/>
    <m/>
    <m/>
    <m/>
    <m/>
    <m/>
    <m/>
    <m/>
    <m/>
    <m/>
    <m/>
    <m/>
    <m/>
    <m/>
    <m/>
    <m/>
    <m/>
    <m/>
    <m/>
    <m/>
    <m/>
    <m/>
    <m/>
    <n v="1"/>
    <n v="105000"/>
    <m/>
    <m/>
    <m/>
    <m/>
    <m/>
    <m/>
    <m/>
    <m/>
    <m/>
    <m/>
    <n v="1"/>
    <n v="105000"/>
  </r>
  <r>
    <m/>
    <n v="8"/>
    <n v="8"/>
    <s v="US"/>
    <n v="59"/>
    <s v="US 59"/>
    <s v="5104-39"/>
    <x v="2"/>
    <m/>
    <s v="S"/>
    <s v="MNDOT"/>
    <m/>
    <s v="MN 62 (FULDA) TO S. JCT MN 30, MILL &amp; OVERLAY"/>
    <n v="28.166"/>
    <n v="41.091000000000001"/>
    <n v="12.9"/>
    <m/>
    <s v="MURRAY"/>
    <s v="RS"/>
    <s v=" "/>
    <m/>
    <m/>
    <s v="PVTR - PAVEMENT RESURFACE AND REHABILITATION"/>
    <s v="MILL AND OVERLAY"/>
    <s v="NHPP  "/>
    <s v="NHPP"/>
    <m/>
    <m/>
    <n v="4000000"/>
    <n v="0"/>
    <n v="0"/>
    <n v="3200000"/>
    <n v="0"/>
    <n v="3200000"/>
    <n v="0"/>
    <n v="0"/>
    <n v="0"/>
    <n v="0"/>
    <n v="0"/>
    <n v="0"/>
    <n v="0"/>
    <n v="0"/>
    <n v="0"/>
    <n v="0"/>
    <n v="800000"/>
    <n v="0"/>
    <n v="800000"/>
    <n v="0"/>
    <n v="0"/>
    <n v="4000000"/>
    <n v="21278734"/>
    <n v="4060000"/>
    <n v="2016"/>
    <m/>
    <m/>
    <m/>
    <m/>
    <m/>
    <s v="NO"/>
    <s v="YES"/>
    <s v="NO"/>
    <s v="7th District"/>
    <s v="NO"/>
    <s v="NO"/>
    <s v="Yes"/>
    <s v="NO"/>
    <n v="0.83"/>
    <n v="3320000"/>
    <s v="Mill and/or overlay"/>
    <n v="1"/>
    <m/>
    <m/>
    <m/>
    <n v="0"/>
    <m/>
    <n v="0.16"/>
    <n v="640000"/>
    <s v="Drainage and culverts"/>
    <n v="0.8"/>
    <s v="Pavement markings"/>
    <n v="0.2"/>
    <m/>
    <n v="0"/>
    <m/>
    <m/>
    <m/>
    <m/>
    <m/>
    <n v="0"/>
    <m/>
    <m/>
    <m/>
    <m/>
    <m/>
    <n v="0"/>
    <m/>
    <m/>
    <m/>
    <m/>
    <m/>
    <n v="0"/>
    <m/>
    <m/>
    <m/>
    <m/>
    <n v="0.01"/>
    <n v="40000"/>
    <s v="ADA improvements - curb"/>
    <n v="1"/>
    <m/>
    <m/>
    <m/>
    <n v="0"/>
    <m/>
    <m/>
    <m/>
    <m/>
    <m/>
    <n v="0"/>
    <m/>
    <m/>
    <m/>
    <m/>
    <n v="1"/>
    <n v="4000000"/>
  </r>
  <r>
    <m/>
    <n v="7"/>
    <n v="7"/>
    <s v="US"/>
    <n v="169"/>
    <s v="US 169"/>
    <s v="5209-66"/>
    <x v="0"/>
    <s v="2015-TH-4"/>
    <s v="S"/>
    <s v="MNDOT"/>
    <m/>
    <s v="**ELLA** **FMP** ST PETER TO LE SUEUR, 1.8 MILES OF GRADE RAISE FOR FLOOD MITIGATION AND MILL AND OVERLAY SB LANES ONLY (AC PAYBACK IN 2015)"/>
    <s v="067+00.049"/>
    <s v="077+00.586"/>
    <n v="10.5"/>
    <m/>
    <s v="NICOLLET"/>
    <s v="RD"/>
    <s v="1-P "/>
    <s v="1-P "/>
    <m/>
    <s v="PVTR - PAVEMENT RESURFACE AND REHABILITATION"/>
    <s v="MILL AND OVERLAY"/>
    <s v="NHPP"/>
    <s v="NHPP"/>
    <s v="BF"/>
    <m/>
    <n v="1940000"/>
    <s v="                         -  "/>
    <s v="                             -  "/>
    <n v="0"/>
    <s v="                     -  "/>
    <n v="0"/>
    <s v="                             -  "/>
    <n v="7760000"/>
    <s v="                        -  "/>
    <n v="7760000"/>
    <s v="                            -  "/>
    <s v="                         -  "/>
    <s v="                        -  "/>
    <n v="0"/>
    <n v="0"/>
    <s v="               -  "/>
    <n v="1940000"/>
    <s v="                        -  "/>
    <n v="1940000"/>
    <n v="0"/>
    <n v="0"/>
    <n v="9700000"/>
    <n v="26306935"/>
    <n v="6367000"/>
    <n v="2014"/>
    <m/>
    <m/>
    <m/>
    <m/>
    <m/>
    <m/>
    <s v="NO"/>
    <s v="NO"/>
    <m/>
    <s v="NO"/>
    <s v="NO"/>
    <s v="Yes"/>
    <s v="NO"/>
    <n v="0.82099999999999995"/>
    <n v="1592740"/>
    <m/>
    <m/>
    <m/>
    <m/>
    <m/>
    <n v="0"/>
    <m/>
    <n v="0.115"/>
    <n v="223100"/>
    <m/>
    <m/>
    <m/>
    <m/>
    <n v="3.2000000000000001E-2"/>
    <n v="62080"/>
    <m/>
    <m/>
    <m/>
    <m/>
    <m/>
    <n v="0"/>
    <m/>
    <m/>
    <m/>
    <m/>
    <m/>
    <n v="0"/>
    <m/>
    <m/>
    <m/>
    <m/>
    <n v="2.3E-2"/>
    <n v="44620"/>
    <m/>
    <m/>
    <m/>
    <m/>
    <n v="8.9999999999999993E-3"/>
    <n v="17460"/>
    <m/>
    <m/>
    <m/>
    <m/>
    <m/>
    <n v="0"/>
    <m/>
    <m/>
    <m/>
    <m/>
    <m/>
    <n v="0"/>
    <m/>
    <m/>
    <m/>
    <m/>
    <n v="1"/>
    <n v="1940000"/>
  </r>
  <r>
    <m/>
    <n v="7"/>
    <n v="7"/>
    <s v="US"/>
    <n v="169"/>
    <s v="US 169"/>
    <s v="5209-66AC"/>
    <x v="1"/>
    <s v="2015-TH-4"/>
    <s v="S"/>
    <s v="MNDOT"/>
    <m/>
    <s v="**ELLA** **FMP** ST PETER TO LE SUEUR, 1.8 MILES OF GRADE RAISE FOR FLOOD MITIGATION AND MILL AND OVERLAY SB LANES ONLY, AC PAYBACK"/>
    <s v="067+00.049"/>
    <s v="077+00.586"/>
    <n v="10.5"/>
    <m/>
    <s v="NICOLLET"/>
    <s v="RD"/>
    <s v="1-P "/>
    <s v="1-P "/>
    <m/>
    <s v="PVTR - PAVEMENT RESURFACE AND REHABILITATION"/>
    <s v="MILL AND OVERLAY"/>
    <s v="NHPP BF "/>
    <s v="NHPP"/>
    <s v="BF"/>
    <m/>
    <n v="7760000"/>
    <s v="                         -  "/>
    <s v="                             -  "/>
    <n v="0"/>
    <s v="                     -  "/>
    <n v="0"/>
    <s v="                             -  "/>
    <s v="                                -  "/>
    <s v="                        -  "/>
    <n v="0"/>
    <n v="0"/>
    <n v="7760000"/>
    <s v="                        -  "/>
    <n v="7760000"/>
    <n v="0"/>
    <s v="               -  "/>
    <n v="0"/>
    <s v="                        -  "/>
    <n v="0"/>
    <m/>
    <n v="0"/>
    <n v="0"/>
    <n v="31242734"/>
    <n v="6587056"/>
    <n v="2015"/>
    <m/>
    <m/>
    <m/>
    <m/>
    <m/>
    <m/>
    <s v="NO"/>
    <s v="NO"/>
    <m/>
    <s v="YES"/>
    <s v="NO"/>
    <s v="Yes"/>
    <s v="NO"/>
    <n v="0.82099999999999995"/>
    <n v="6370960"/>
    <m/>
    <m/>
    <m/>
    <m/>
    <m/>
    <n v="0"/>
    <m/>
    <n v="0.115"/>
    <n v="892400"/>
    <m/>
    <m/>
    <m/>
    <m/>
    <n v="3.2000000000000001E-2"/>
    <n v="248320"/>
    <m/>
    <m/>
    <m/>
    <m/>
    <m/>
    <n v="0"/>
    <m/>
    <m/>
    <m/>
    <m/>
    <m/>
    <n v="0"/>
    <m/>
    <m/>
    <m/>
    <m/>
    <n v="2.3E-2"/>
    <n v="178480"/>
    <m/>
    <m/>
    <m/>
    <m/>
    <n v="8.9999999999999993E-3"/>
    <n v="69840"/>
    <m/>
    <m/>
    <m/>
    <m/>
    <m/>
    <n v="0"/>
    <m/>
    <m/>
    <m/>
    <m/>
    <m/>
    <n v="0"/>
    <m/>
    <m/>
    <m/>
    <m/>
    <n v="1"/>
    <n v="7760000"/>
  </r>
  <r>
    <m/>
    <n v="7"/>
    <n v="7"/>
    <s v="US"/>
    <n v="169"/>
    <s v="US 169"/>
    <s v="5209-66F"/>
    <x v="0"/>
    <m/>
    <m/>
    <m/>
    <m/>
    <s v="**ELLA** **FMP** ST PETER TO LE SUEUR, 1.8 MILES OF GRADE RAISE FOR FLOOD MITIGATION AND MILL AND OVERLAY SB LANES ONLY"/>
    <s v="067+00.049"/>
    <s v="077+00.586"/>
    <n v="10.5"/>
    <m/>
    <s v="NICOLLET"/>
    <s v="RD"/>
    <s v="1-P "/>
    <s v="1-P "/>
    <m/>
    <s v="PVTR - PAVEMENT RESURFACE AND REHABILITATION"/>
    <s v="MILL AND OVERLAY"/>
    <s v="NHPP"/>
    <s v="BF"/>
    <m/>
    <m/>
    <n v="2000000"/>
    <n v="0"/>
    <n v="0"/>
    <n v="0"/>
    <n v="0"/>
    <n v="0"/>
    <n v="0"/>
    <n v="0"/>
    <n v="0"/>
    <n v="0"/>
    <n v="0"/>
    <n v="0"/>
    <n v="0"/>
    <n v="0"/>
    <n v="0"/>
    <n v="0"/>
    <n v="0"/>
    <n v="0"/>
    <n v="0"/>
    <n v="2000000"/>
    <n v="0"/>
    <n v="2000000"/>
    <n v="26306935"/>
    <n v="6367000"/>
    <n v="2014"/>
    <m/>
    <m/>
    <s v="FMP"/>
    <m/>
    <m/>
    <m/>
    <s v="NO"/>
    <s v="NO"/>
    <m/>
    <s v="NO"/>
    <s v="NO"/>
    <s v="Yes"/>
    <s v="NO"/>
    <n v="0.82099999999999995"/>
    <n v="1642000"/>
    <m/>
    <m/>
    <m/>
    <m/>
    <m/>
    <n v="0"/>
    <m/>
    <n v="0.115"/>
    <n v="230000"/>
    <m/>
    <m/>
    <m/>
    <m/>
    <n v="3.2000000000000001E-2"/>
    <n v="64000"/>
    <m/>
    <m/>
    <m/>
    <m/>
    <m/>
    <n v="0"/>
    <m/>
    <m/>
    <m/>
    <m/>
    <m/>
    <n v="0"/>
    <m/>
    <m/>
    <m/>
    <m/>
    <n v="2.3E-2"/>
    <n v="14490"/>
    <m/>
    <m/>
    <m/>
    <m/>
    <n v="8.9999999999999993E-3"/>
    <n v="5670"/>
    <m/>
    <m/>
    <m/>
    <m/>
    <m/>
    <n v="0"/>
    <m/>
    <m/>
    <m/>
    <m/>
    <m/>
    <n v="0"/>
    <m/>
    <m/>
    <m/>
    <m/>
    <n v="1"/>
    <n v="1956160"/>
  </r>
  <r>
    <m/>
    <n v="7"/>
    <n v="7"/>
    <s v="US"/>
    <n v="169"/>
    <s v="US 169"/>
    <s v="5209-66S"/>
    <x v="0"/>
    <m/>
    <m/>
    <m/>
    <m/>
    <s v="**ELLA** **FMP** ST PETER TO LE SUEUR, 1.8 MILES OF GRADE RAISE FOR FLOOD MITIGATION AND MILL AND OVERLAY SB LANES ONLY"/>
    <s v="067+00.049"/>
    <s v="077+00.586"/>
    <n v="10.5"/>
    <m/>
    <s v="NICOLLET"/>
    <s v="RD"/>
    <s v="1-P "/>
    <s v="1-P "/>
    <m/>
    <s v="PVTR - PAVEMENT RESURFACE AND REHABILITATION"/>
    <s v="MILL AND OVERLAY"/>
    <s v="NHPP"/>
    <s v="HSIP"/>
    <m/>
    <m/>
    <n v="1500000"/>
    <n v="0"/>
    <n v="0"/>
    <n v="1350000"/>
    <n v="0"/>
    <n v="1350000"/>
    <n v="0"/>
    <n v="0"/>
    <n v="0"/>
    <n v="0"/>
    <n v="0"/>
    <n v="0"/>
    <n v="0"/>
    <n v="0"/>
    <n v="0"/>
    <n v="0"/>
    <n v="150000"/>
    <n v="0"/>
    <n v="150000"/>
    <n v="0"/>
    <n v="0"/>
    <n v="1500000"/>
    <n v="27656935"/>
    <n v="6517000"/>
    <n v="2014"/>
    <m/>
    <m/>
    <m/>
    <m/>
    <m/>
    <m/>
    <s v="NO"/>
    <s v="NO"/>
    <m/>
    <s v="NO"/>
    <s v="NO"/>
    <s v="Yes"/>
    <s v="NO"/>
    <m/>
    <n v="0"/>
    <m/>
    <m/>
    <m/>
    <m/>
    <m/>
    <n v="0"/>
    <m/>
    <n v="0"/>
    <n v="0"/>
    <m/>
    <m/>
    <m/>
    <m/>
    <n v="1"/>
    <n v="1500000"/>
    <m/>
    <m/>
    <m/>
    <m/>
    <m/>
    <n v="0"/>
    <m/>
    <m/>
    <m/>
    <m/>
    <m/>
    <n v="0"/>
    <m/>
    <m/>
    <m/>
    <m/>
    <m/>
    <n v="0"/>
    <m/>
    <m/>
    <m/>
    <m/>
    <m/>
    <n v="0"/>
    <m/>
    <m/>
    <m/>
    <m/>
    <m/>
    <n v="0"/>
    <m/>
    <m/>
    <m/>
    <m/>
    <m/>
    <n v="0"/>
    <m/>
    <m/>
    <m/>
    <m/>
    <n v="1"/>
    <n v="1500000"/>
  </r>
  <r>
    <m/>
    <n v="7"/>
    <n v="7"/>
    <s v="US"/>
    <n v="169"/>
    <s v="US 169"/>
    <s v="5211-59"/>
    <x v="2"/>
    <m/>
    <s v="S"/>
    <s v="MNDOT"/>
    <m/>
    <s v="**FMP** FROM TH 14 TO ST PETER, GRADE, SURFACE AND MEDIAN WORK"/>
    <s v="056+00.350"/>
    <s v="065+00.450"/>
    <n v="9.1"/>
    <m/>
    <s v="NICOLLET"/>
    <s v="RD"/>
    <m/>
    <m/>
    <m/>
    <s v="GRSU - GRADE AND SURFACE"/>
    <s v="GRADE AND SURFACE"/>
    <s v="BF  "/>
    <s v="BF"/>
    <m/>
    <m/>
    <n v="14000000"/>
    <n v="0"/>
    <n v="8000000"/>
    <n v="0"/>
    <n v="0"/>
    <n v="8000000"/>
    <n v="0"/>
    <n v="0"/>
    <n v="0"/>
    <n v="0"/>
    <n v="0"/>
    <n v="0"/>
    <n v="0"/>
    <n v="0"/>
    <n v="0"/>
    <n v="0"/>
    <n v="0"/>
    <n v="0"/>
    <n v="0"/>
    <n v="6000000"/>
    <n v="0"/>
    <n v="14000000"/>
    <n v="20202449"/>
    <n v="1194000"/>
    <n v="2016"/>
    <m/>
    <m/>
    <s v="FMP &amp; EDA"/>
    <m/>
    <m/>
    <m/>
    <s v="NO"/>
    <s v="NO"/>
    <m/>
    <s v="NO"/>
    <s v="NO"/>
    <s v="Yes"/>
    <s v="NO"/>
    <n v="0.82099999999999995"/>
    <n v="11494000"/>
    <m/>
    <m/>
    <m/>
    <m/>
    <m/>
    <n v="0"/>
    <m/>
    <n v="0.115"/>
    <n v="1610000"/>
    <m/>
    <m/>
    <m/>
    <m/>
    <n v="3.2000000000000001E-2"/>
    <n v="448000"/>
    <m/>
    <m/>
    <m/>
    <m/>
    <m/>
    <n v="0"/>
    <m/>
    <m/>
    <m/>
    <m/>
    <m/>
    <n v="0"/>
    <m/>
    <m/>
    <m/>
    <m/>
    <n v="2.3E-2"/>
    <n v="322000"/>
    <m/>
    <m/>
    <m/>
    <m/>
    <n v="8.9999999999999993E-3"/>
    <n v="125999.99999999999"/>
    <m/>
    <m/>
    <m/>
    <m/>
    <m/>
    <n v="0"/>
    <m/>
    <m/>
    <m/>
    <m/>
    <m/>
    <n v="0"/>
    <m/>
    <m/>
    <m/>
    <m/>
    <n v="1"/>
    <n v="14000000"/>
  </r>
  <r>
    <m/>
    <n v="7"/>
    <n v="7"/>
    <s v="US"/>
    <n v="169"/>
    <s v="US 169"/>
    <s v="5211-61"/>
    <x v="2"/>
    <m/>
    <s v="S"/>
    <s v="MNDOT"/>
    <m/>
    <s v="FROM TH 14 TO ST PETER, PAVEMENT PRESERVATION"/>
    <s v="056+00.700"/>
    <s v="065+00.450"/>
    <n v="8.8000000000000007"/>
    <m/>
    <s v="NICOLLET"/>
    <s v="RD"/>
    <m/>
    <m/>
    <m/>
    <s v="PVTR - PAVEMENT RESURFACE AND REHABILITATION"/>
    <s v="MILL AND OVERLAY"/>
    <s v="NHPP  "/>
    <s v="NHPP"/>
    <m/>
    <m/>
    <n v="10000000"/>
    <n v="0"/>
    <n v="0"/>
    <n v="8000000"/>
    <n v="0"/>
    <n v="8000000"/>
    <n v="0"/>
    <n v="0"/>
    <n v="0"/>
    <n v="0"/>
    <n v="0"/>
    <n v="0"/>
    <n v="0"/>
    <n v="0"/>
    <n v="0"/>
    <n v="0"/>
    <n v="2000000"/>
    <n v="0"/>
    <n v="2000000"/>
    <n v="0"/>
    <n v="0"/>
    <n v="10000000"/>
    <n v="28202449"/>
    <n v="3194000"/>
    <n v="2016"/>
    <m/>
    <m/>
    <m/>
    <m/>
    <m/>
    <m/>
    <s v="NO"/>
    <s v="NO"/>
    <m/>
    <s v="NO"/>
    <s v="NO"/>
    <s v="Yes"/>
    <s v="NO"/>
    <n v="0.82099999999999995"/>
    <n v="8209999.9999999991"/>
    <m/>
    <m/>
    <m/>
    <m/>
    <m/>
    <n v="0"/>
    <m/>
    <n v="0.115"/>
    <n v="1150000"/>
    <m/>
    <m/>
    <m/>
    <m/>
    <n v="3.2000000000000001E-2"/>
    <n v="320000"/>
    <m/>
    <m/>
    <m/>
    <m/>
    <m/>
    <n v="0"/>
    <m/>
    <m/>
    <m/>
    <m/>
    <m/>
    <n v="0"/>
    <m/>
    <m/>
    <m/>
    <m/>
    <n v="2.3E-2"/>
    <n v="230000"/>
    <m/>
    <m/>
    <m/>
    <m/>
    <n v="8.9999999999999993E-3"/>
    <n v="90000"/>
    <m/>
    <m/>
    <m/>
    <m/>
    <m/>
    <n v="0"/>
    <m/>
    <m/>
    <m/>
    <m/>
    <m/>
    <n v="0"/>
    <m/>
    <m/>
    <m/>
    <m/>
    <n v="1"/>
    <n v="10000000"/>
  </r>
  <r>
    <m/>
    <n v="7"/>
    <n v="7"/>
    <s v="MN"/>
    <s v="860D"/>
    <s v="MN 860D"/>
    <s v="5212-27"/>
    <x v="1"/>
    <m/>
    <s v="S"/>
    <s v="MNDOT"/>
    <m/>
    <s v="**ADA** VETERANS MEMORIAL BRIDGE, ADA WORK"/>
    <m/>
    <m/>
    <n v="0"/>
    <m/>
    <s v="NICOLLET"/>
    <s v="SC"/>
    <m/>
    <m/>
    <m/>
    <s v="APPU-APPURTENANCE"/>
    <s v="PED./BIKE IMPROVEMENT"/>
    <s v="NHPP  "/>
    <s v="NHPP"/>
    <m/>
    <m/>
    <n v="1100000"/>
    <n v="0"/>
    <n v="0"/>
    <n v="660000"/>
    <n v="0"/>
    <n v="660000"/>
    <n v="0"/>
    <n v="0"/>
    <n v="0"/>
    <n v="0"/>
    <n v="0"/>
    <n v="0"/>
    <n v="0"/>
    <n v="0"/>
    <n v="0"/>
    <n v="0"/>
    <n v="165000"/>
    <n v="0"/>
    <n v="165000"/>
    <n v="0"/>
    <n v="275000"/>
    <n v="1100000"/>
    <n v="31902734"/>
    <n v="6752056"/>
    <n v="2015"/>
    <m/>
    <m/>
    <s v="ADA"/>
    <m/>
    <m/>
    <m/>
    <s v="YES"/>
    <m/>
    <m/>
    <s v="NO"/>
    <s v="NO"/>
    <s v="Yes"/>
    <s v="NO"/>
    <n v="0.92900000000000005"/>
    <n v="766425"/>
    <m/>
    <m/>
    <m/>
    <m/>
    <m/>
    <n v="0"/>
    <m/>
    <m/>
    <n v="0"/>
    <m/>
    <m/>
    <m/>
    <m/>
    <m/>
    <n v="0"/>
    <m/>
    <m/>
    <m/>
    <m/>
    <m/>
    <n v="0"/>
    <m/>
    <m/>
    <m/>
    <m/>
    <m/>
    <n v="0"/>
    <m/>
    <m/>
    <m/>
    <m/>
    <n v="3.5000000000000003E-2"/>
    <n v="28875.000000000004"/>
    <m/>
    <m/>
    <m/>
    <m/>
    <n v="3.5999999999999997E-2"/>
    <n v="29699.999999999996"/>
    <m/>
    <m/>
    <m/>
    <m/>
    <m/>
    <n v="0"/>
    <m/>
    <m/>
    <m/>
    <m/>
    <m/>
    <n v="0"/>
    <m/>
    <m/>
    <m/>
    <m/>
    <n v="1"/>
    <n v="825000"/>
  </r>
  <r>
    <m/>
    <n v="7"/>
    <n v="7"/>
    <s v="US"/>
    <n v="59"/>
    <s v="US 59"/>
    <s v="5304-38"/>
    <x v="9"/>
    <m/>
    <s v="S"/>
    <s v="MNDOT"/>
    <m/>
    <s v="FROM N JCT TH 60 TO I90 IN WORTHINGTON, MILL &amp; OVERLAY"/>
    <s v="011+00.018"/>
    <s v="012+00.164"/>
    <n v="1.1000000000000001"/>
    <m/>
    <s v="NOBLES"/>
    <s v="RS"/>
    <m/>
    <m/>
    <m/>
    <s v="PVTR - PAVEMENT RESURFACE AND REHABILITATION"/>
    <s v="MILL AND OVERLAY"/>
    <s v="NHPP  "/>
    <s v="NHPP"/>
    <m/>
    <m/>
    <n v="2200000"/>
    <n v="0"/>
    <n v="0"/>
    <n v="1760000"/>
    <n v="0"/>
    <n v="1760000"/>
    <n v="0"/>
    <n v="0"/>
    <n v="0"/>
    <n v="0"/>
    <n v="0"/>
    <n v="0"/>
    <n v="0"/>
    <n v="0"/>
    <n v="0"/>
    <n v="0"/>
    <n v="440000"/>
    <n v="0"/>
    <n v="440000"/>
    <n v="0"/>
    <n v="0"/>
    <n v="2200000"/>
    <n v="42878800"/>
    <n v="6710000"/>
    <n v="2017"/>
    <m/>
    <m/>
    <m/>
    <m/>
    <m/>
    <m/>
    <m/>
    <s v="NO"/>
    <m/>
    <s v="NO"/>
    <s v="NO"/>
    <s v="Yes"/>
    <s v="NO"/>
    <n v="0.66100000000000003"/>
    <n v="1454200"/>
    <m/>
    <m/>
    <m/>
    <m/>
    <m/>
    <n v="0"/>
    <m/>
    <n v="0.16400000000000001"/>
    <n v="360800"/>
    <m/>
    <m/>
    <m/>
    <m/>
    <n v="3.2000000000000001E-2"/>
    <n v="70400"/>
    <m/>
    <m/>
    <m/>
    <m/>
    <m/>
    <n v="0"/>
    <m/>
    <m/>
    <m/>
    <m/>
    <m/>
    <n v="0"/>
    <m/>
    <m/>
    <m/>
    <m/>
    <n v="2.3E-2"/>
    <n v="50600"/>
    <m/>
    <m/>
    <m/>
    <m/>
    <n v="0.12"/>
    <n v="264000"/>
    <m/>
    <m/>
    <m/>
    <m/>
    <m/>
    <n v="0"/>
    <m/>
    <m/>
    <m/>
    <m/>
    <m/>
    <n v="0"/>
    <m/>
    <m/>
    <m/>
    <m/>
    <n v="1"/>
    <n v="2200000"/>
  </r>
  <r>
    <m/>
    <n v="7"/>
    <n v="7"/>
    <s v="MN"/>
    <n v="60"/>
    <s v="MN 60"/>
    <s v="5305-65"/>
    <x v="0"/>
    <s v="2014-TH-6"/>
    <s v="S"/>
    <s v="MNDOT"/>
    <m/>
    <s v="**BP08** FINAL LANDSCAPING FOR 5305-58 &amp; 5305-59"/>
    <s v="010+00.920"/>
    <s v="011+00.961"/>
    <n v="1"/>
    <m/>
    <s v="NOBLES"/>
    <s v="RB"/>
    <s v="7-IRC-P "/>
    <s v="7-IRC-P"/>
    <m/>
    <s v="APPU - APPURTENANCES"/>
    <s v="LANDSCAPING"/>
    <s v="BF  "/>
    <s v="BF"/>
    <m/>
    <m/>
    <n v="400000"/>
    <n v="0"/>
    <n v="0"/>
    <n v="0"/>
    <n v="0"/>
    <n v="0"/>
    <n v="0"/>
    <n v="0"/>
    <n v="0"/>
    <n v="0"/>
    <n v="0"/>
    <n v="0"/>
    <n v="0"/>
    <n v="0"/>
    <n v="0"/>
    <n v="0"/>
    <n v="0"/>
    <n v="0"/>
    <n v="0"/>
    <n v="400000"/>
    <n v="0"/>
    <n v="400000"/>
    <n v="27656935"/>
    <n v="6517000"/>
    <n v="2014"/>
    <m/>
    <m/>
    <s v="BP08"/>
    <m/>
    <m/>
    <m/>
    <s v="NO"/>
    <s v="NO"/>
    <m/>
    <s v="NO"/>
    <s v="NO"/>
    <s v="NO"/>
    <s v="NO"/>
    <n v="0.82099999999999995"/>
    <n v="328400"/>
    <m/>
    <m/>
    <m/>
    <m/>
    <m/>
    <n v="0"/>
    <m/>
    <n v="0.115"/>
    <n v="46000"/>
    <m/>
    <m/>
    <m/>
    <m/>
    <n v="3.2000000000000001E-2"/>
    <n v="12800"/>
    <m/>
    <m/>
    <m/>
    <m/>
    <m/>
    <n v="0"/>
    <m/>
    <m/>
    <m/>
    <m/>
    <m/>
    <n v="0"/>
    <m/>
    <m/>
    <m/>
    <m/>
    <n v="2.3E-2"/>
    <n v="9200"/>
    <m/>
    <m/>
    <m/>
    <m/>
    <n v="8.9999999999999993E-3"/>
    <n v="3599.9999999999995"/>
    <m/>
    <m/>
    <m/>
    <m/>
    <m/>
    <n v="0"/>
    <m/>
    <m/>
    <m/>
    <m/>
    <m/>
    <n v="0"/>
    <m/>
    <m/>
    <m/>
    <m/>
    <n v="1"/>
    <n v="400000"/>
  </r>
  <r>
    <m/>
    <n v="7"/>
    <n v="7"/>
    <s v="US"/>
    <n v="59"/>
    <s v="US 59"/>
    <s v="5309-10"/>
    <x v="2"/>
    <m/>
    <s v="S"/>
    <s v="MNDOT"/>
    <m/>
    <s v="SOUTH OF THE JCT OF TH 60, REPLACE BR#8530 &amp; REPLACE CULVERT #395261 &amp; 395394"/>
    <m/>
    <m/>
    <n v="0"/>
    <m/>
    <s v="NOBLES"/>
    <s v="BR"/>
    <m/>
    <m/>
    <m/>
    <s v="BRPC - BRIDGE REPLACEMENT OR CONSTRUCTION"/>
    <s v="BRIDGE REPLACEMENT"/>
    <s v="STP 5K &gt;  "/>
    <s v="STP 5K &gt;"/>
    <m/>
    <m/>
    <n v="1200000"/>
    <n v="0"/>
    <n v="0"/>
    <n v="960000"/>
    <m/>
    <n v="960000"/>
    <n v="0"/>
    <n v="0"/>
    <n v="0"/>
    <n v="0"/>
    <n v="0"/>
    <n v="0"/>
    <n v="0"/>
    <n v="0"/>
    <n v="0"/>
    <n v="0"/>
    <n v="240000"/>
    <n v="0"/>
    <n v="240000"/>
    <n v="0"/>
    <n v="0"/>
    <n v="1200000"/>
    <n v="29162449"/>
    <n v="3434000"/>
    <n v="2016"/>
    <m/>
    <m/>
    <m/>
    <m/>
    <m/>
    <m/>
    <s v="NO"/>
    <s v="NO"/>
    <m/>
    <s v="NO"/>
    <s v="NO"/>
    <s v="Yes"/>
    <s v="NO"/>
    <n v="0.92900000000000005"/>
    <n v="1114800"/>
    <m/>
    <m/>
    <m/>
    <m/>
    <m/>
    <n v="0"/>
    <m/>
    <m/>
    <n v="0"/>
    <m/>
    <m/>
    <m/>
    <m/>
    <m/>
    <n v="0"/>
    <m/>
    <m/>
    <m/>
    <m/>
    <m/>
    <n v="0"/>
    <m/>
    <m/>
    <m/>
    <m/>
    <m/>
    <n v="0"/>
    <m/>
    <m/>
    <m/>
    <m/>
    <n v="3.5000000000000003E-2"/>
    <n v="42000.000000000007"/>
    <m/>
    <m/>
    <m/>
    <m/>
    <n v="3.5999999999999997E-2"/>
    <n v="43200"/>
    <m/>
    <m/>
    <m/>
    <m/>
    <m/>
    <n v="0"/>
    <m/>
    <m/>
    <m/>
    <m/>
    <m/>
    <n v="0"/>
    <m/>
    <m/>
    <m/>
    <m/>
    <n v="1"/>
    <n v="1200000"/>
  </r>
  <r>
    <m/>
    <n v="7"/>
    <n v="7"/>
    <s v="I"/>
    <n v="90"/>
    <s v="I 90"/>
    <s v="5380-121"/>
    <x v="0"/>
    <m/>
    <s v="S"/>
    <s v="MNDOT"/>
    <m/>
    <s v="FROM CSAH 35 TO 1.1 MI EAST OF CSAH 13, EB LANES ONLY, MILL &amp; OVERLAY"/>
    <s v="025+00.972"/>
    <s v="034+00.810"/>
    <n v="8.8000000000000007"/>
    <m/>
    <s v="NOBLES"/>
    <s v="RS"/>
    <s v=" "/>
    <m/>
    <m/>
    <s v="PVTR - PAVEMENT RESURFACE AND REHABILITATION"/>
    <s v="MILL AND OVERLAY"/>
    <s v="NHPP  "/>
    <s v="NHPP"/>
    <m/>
    <m/>
    <n v="4800000"/>
    <n v="0"/>
    <n v="0"/>
    <n v="4320000"/>
    <n v="0"/>
    <n v="4320000"/>
    <n v="0"/>
    <n v="0"/>
    <n v="0"/>
    <n v="0"/>
    <n v="0"/>
    <n v="0"/>
    <n v="0"/>
    <n v="0"/>
    <n v="0"/>
    <n v="0"/>
    <n v="480000"/>
    <n v="0"/>
    <n v="480000"/>
    <n v="0"/>
    <n v="0"/>
    <n v="4800000"/>
    <n v="31976935"/>
    <n v="6997000"/>
    <n v="2014"/>
    <m/>
    <m/>
    <m/>
    <m/>
    <m/>
    <m/>
    <s v="NO"/>
    <s v="NO"/>
    <m/>
    <s v="NO"/>
    <s v="NO"/>
    <s v="Yes"/>
    <s v="NO"/>
    <n v="0.82099999999999995"/>
    <n v="3940800"/>
    <m/>
    <m/>
    <m/>
    <m/>
    <m/>
    <n v="0"/>
    <m/>
    <n v="0.115"/>
    <n v="552000"/>
    <m/>
    <m/>
    <m/>
    <m/>
    <n v="3.2000000000000001E-2"/>
    <n v="153600"/>
    <m/>
    <m/>
    <m/>
    <m/>
    <m/>
    <n v="0"/>
    <m/>
    <m/>
    <m/>
    <m/>
    <m/>
    <n v="0"/>
    <m/>
    <m/>
    <m/>
    <m/>
    <n v="2.3E-2"/>
    <n v="110400"/>
    <m/>
    <m/>
    <m/>
    <m/>
    <n v="8.9999999999999993E-3"/>
    <n v="43200"/>
    <m/>
    <m/>
    <m/>
    <m/>
    <m/>
    <n v="0"/>
    <m/>
    <m/>
    <m/>
    <m/>
    <m/>
    <n v="0"/>
    <m/>
    <m/>
    <m/>
    <m/>
    <n v="1"/>
    <n v="4800000"/>
  </r>
  <r>
    <m/>
    <n v="7"/>
    <n v="7"/>
    <s v="I"/>
    <n v="90"/>
    <s v="I 90"/>
    <s v="5380-127"/>
    <x v="0"/>
    <s v="2014-TH-11"/>
    <s v="S"/>
    <s v="MNDOT"/>
    <m/>
    <s v="REPAIR BR 53803, 53804, 53805 &amp; 53806 ON I 90 IN NOBLES COUNTY"/>
    <m/>
    <m/>
    <n v="0"/>
    <m/>
    <s v="NOBLES"/>
    <s v="BI"/>
    <s v="1-PPM "/>
    <s v="1-PPM"/>
    <m/>
    <s v="BRRH - BRIDGE REHABILITATION"/>
    <s v="BRIDGE REPAIR"/>
    <s v="NHPP  "/>
    <s v="NHPP"/>
    <m/>
    <m/>
    <n v="1800000"/>
    <n v="0"/>
    <n v="0"/>
    <n v="1620000"/>
    <n v="0"/>
    <n v="1620000"/>
    <n v="0"/>
    <n v="0"/>
    <n v="0"/>
    <n v="0"/>
    <n v="0"/>
    <n v="0"/>
    <n v="0"/>
    <n v="0"/>
    <n v="0"/>
    <n v="0"/>
    <n v="180000"/>
    <n v="0"/>
    <n v="180000"/>
    <n v="0"/>
    <n v="0"/>
    <n v="1800000"/>
    <n v="33596935"/>
    <n v="7177000"/>
    <n v="2014"/>
    <m/>
    <m/>
    <m/>
    <m/>
    <m/>
    <m/>
    <s v="NO"/>
    <s v="NO"/>
    <m/>
    <s v="NO"/>
    <s v="NO"/>
    <s v="Yes"/>
    <s v="NO"/>
    <m/>
    <n v="0"/>
    <m/>
    <m/>
    <m/>
    <m/>
    <n v="0.92900000000000005"/>
    <n v="1672200"/>
    <m/>
    <m/>
    <n v="0"/>
    <m/>
    <m/>
    <m/>
    <m/>
    <m/>
    <n v="0"/>
    <m/>
    <m/>
    <m/>
    <m/>
    <m/>
    <n v="0"/>
    <m/>
    <m/>
    <m/>
    <m/>
    <m/>
    <n v="0"/>
    <m/>
    <m/>
    <m/>
    <m/>
    <n v="3.5000000000000003E-2"/>
    <n v="63000.000000000007"/>
    <m/>
    <m/>
    <m/>
    <m/>
    <n v="3.5999999999999997E-2"/>
    <n v="64799.999999999993"/>
    <m/>
    <m/>
    <m/>
    <m/>
    <m/>
    <n v="0"/>
    <m/>
    <m/>
    <m/>
    <m/>
    <m/>
    <n v="0"/>
    <m/>
    <m/>
    <m/>
    <m/>
    <n v="1"/>
    <n v="1800000"/>
  </r>
  <r>
    <m/>
    <n v="2"/>
    <n v="2"/>
    <s v="MN"/>
    <n v="32"/>
    <s v="MN 32"/>
    <s v="5404-27"/>
    <x v="2"/>
    <s v="2016-S10"/>
    <s v="S"/>
    <s v="MNDOT"/>
    <m/>
    <s v="0.8 MI S OF THE S JCT MN200, REPL BR #9020 &amp; APPROACHES"/>
    <s v="043+00.997"/>
    <s v="043+00.997"/>
    <n v="0"/>
    <m/>
    <s v="NORMAN"/>
    <s v="BR"/>
    <s v="1-B "/>
    <s v="1-B"/>
    <m/>
    <s v="BRPC - BRIDGE REPLACEMENT OR CONSTRUCTION"/>
    <s v="BRIDGE REPLACEMENT"/>
    <s v="SF  "/>
    <s v="SF"/>
    <m/>
    <m/>
    <n v="850000"/>
    <n v="0"/>
    <n v="0"/>
    <n v="0"/>
    <n v="0"/>
    <n v="0"/>
    <n v="0"/>
    <n v="0"/>
    <n v="0"/>
    <n v="0"/>
    <n v="0"/>
    <n v="0"/>
    <n v="0"/>
    <n v="0"/>
    <n v="0"/>
    <n v="0"/>
    <n v="850000"/>
    <n v="0"/>
    <n v="850000"/>
    <n v="0"/>
    <n v="0"/>
    <n v="850000"/>
    <n v="33891451"/>
    <n v="15424294"/>
    <n v="2016"/>
    <m/>
    <m/>
    <m/>
    <m/>
    <m/>
    <m/>
    <s v="NO"/>
    <s v="NO"/>
    <s v="7th District"/>
    <s v="NO"/>
    <s v="NO"/>
    <s v="Yes"/>
    <s v="NO"/>
    <n v="0"/>
    <n v="0"/>
    <m/>
    <m/>
    <m/>
    <m/>
    <n v="0.92900000000000005"/>
    <n v="789650"/>
    <m/>
    <n v="0"/>
    <n v="0"/>
    <m/>
    <m/>
    <m/>
    <m/>
    <n v="0"/>
    <n v="0"/>
    <m/>
    <m/>
    <m/>
    <m/>
    <n v="0"/>
    <n v="0"/>
    <m/>
    <m/>
    <m/>
    <m/>
    <n v="0"/>
    <n v="0"/>
    <m/>
    <m/>
    <m/>
    <m/>
    <n v="3.5000000000000003E-2"/>
    <n v="29750.000000000004"/>
    <m/>
    <m/>
    <m/>
    <m/>
    <n v="3.6000000000000004E-2"/>
    <n v="30600.000000000004"/>
    <m/>
    <m/>
    <m/>
    <m/>
    <n v="0"/>
    <n v="0"/>
    <m/>
    <m/>
    <m/>
    <m/>
    <n v="0"/>
    <n v="0"/>
    <m/>
    <m/>
    <m/>
    <m/>
    <n v="1"/>
    <n v="850000"/>
  </r>
  <r>
    <m/>
    <n v="2"/>
    <n v="2"/>
    <s v="US"/>
    <n v="75"/>
    <s v="US 75"/>
    <s v="5406-18"/>
    <x v="9"/>
    <m/>
    <s v="S"/>
    <s v="MNDOT"/>
    <m/>
    <s v="IN HENDRUM,  URBAN RECONSTRUCTION &amp; GRADE RAISE"/>
    <s v="278+00.036"/>
    <s v="279+00.116"/>
    <n v="1.1000000000000001"/>
    <s v="HENDRUM"/>
    <s v="NORMAN"/>
    <s v="RC"/>
    <m/>
    <m/>
    <m/>
    <s v="PVTR - PAVEMENT RESURFACE AND REHABILITATION"/>
    <s v="CONCRETE PAVEMENT"/>
    <s v="STP&lt;5K  "/>
    <s v="STP&lt;5K"/>
    <m/>
    <m/>
    <n v="3800000"/>
    <n v="0"/>
    <n v="0"/>
    <n v="2600000"/>
    <n v="0"/>
    <n v="2600000"/>
    <n v="0"/>
    <n v="0"/>
    <n v="0"/>
    <n v="0"/>
    <n v="0"/>
    <n v="0"/>
    <n v="0"/>
    <n v="0"/>
    <n v="0"/>
    <n v="0"/>
    <n v="650000"/>
    <n v="0"/>
    <n v="650000"/>
    <n v="0"/>
    <n v="550000"/>
    <n v="3800000"/>
    <n v="14491400"/>
    <n v="2675778"/>
    <n v="2017"/>
    <m/>
    <m/>
    <m/>
    <m/>
    <m/>
    <m/>
    <s v="NO"/>
    <s v="NO"/>
    <s v="7th District"/>
    <s v="NO"/>
    <s v="NO"/>
    <s v="Yes"/>
    <s v="NO"/>
    <n v="0"/>
    <n v="0"/>
    <m/>
    <m/>
    <m/>
    <m/>
    <n v="0"/>
    <n v="0"/>
    <m/>
    <n v="0"/>
    <n v="0"/>
    <m/>
    <m/>
    <m/>
    <m/>
    <n v="0"/>
    <n v="0"/>
    <m/>
    <m/>
    <m/>
    <m/>
    <n v="0"/>
    <n v="0"/>
    <m/>
    <m/>
    <m/>
    <m/>
    <n v="0"/>
    <n v="0"/>
    <m/>
    <m/>
    <m/>
    <m/>
    <n v="0"/>
    <n v="0"/>
    <m/>
    <m/>
    <m/>
    <m/>
    <n v="0"/>
    <n v="0"/>
    <m/>
    <m/>
    <m/>
    <m/>
    <n v="1"/>
    <n v="3250000"/>
    <m/>
    <m/>
    <m/>
    <m/>
    <n v="0"/>
    <n v="0"/>
    <m/>
    <m/>
    <m/>
    <m/>
    <n v="1"/>
    <n v="3250000"/>
  </r>
  <r>
    <m/>
    <n v="2"/>
    <n v="2"/>
    <s v="MN"/>
    <n v="200"/>
    <s v="MN 200"/>
    <s v="5407-28"/>
    <x v="0"/>
    <s v="2014-S11"/>
    <s v="S"/>
    <s v="MNDOT"/>
    <m/>
    <s v="**BP08** S OF TH 200 (TWP RD OVER MARSH RIVER) REPL BR #6522 WITH BR #54011 (TIED WITH 5407-31)"/>
    <s v="016+00.550"/>
    <s v="016+00.550"/>
    <n v="0"/>
    <m/>
    <s v="NORMAN"/>
    <s v="BR"/>
    <s v="1-B "/>
    <s v="1-B"/>
    <m/>
    <s v="BRPC - BRIDGE REPLACEMENT OR CONSTRUCTION"/>
    <s v="BRIDGE REPLACEMENT"/>
    <s v="SF BF "/>
    <s v="SF"/>
    <s v="BF"/>
    <m/>
    <n v="500000"/>
    <n v="0"/>
    <n v="0"/>
    <n v="0"/>
    <n v="0"/>
    <n v="0"/>
    <n v="0"/>
    <n v="0"/>
    <n v="0"/>
    <n v="0"/>
    <n v="0"/>
    <n v="0"/>
    <n v="0"/>
    <n v="0"/>
    <n v="0"/>
    <n v="0"/>
    <n v="250000"/>
    <n v="0"/>
    <n v="250000"/>
    <n v="250000"/>
    <n v="0"/>
    <n v="500000"/>
    <n v="24897363"/>
    <n v="15575894"/>
    <n v="2014"/>
    <m/>
    <m/>
    <s v="BP08"/>
    <m/>
    <m/>
    <s v="YES"/>
    <s v="NO"/>
    <s v="NO"/>
    <s v="7th District"/>
    <s v="NO"/>
    <s v="NO"/>
    <s v="NO"/>
    <s v="NO"/>
    <n v="0"/>
    <n v="0"/>
    <m/>
    <m/>
    <m/>
    <m/>
    <n v="0.92900000000000005"/>
    <n v="464500"/>
    <m/>
    <n v="0"/>
    <n v="0"/>
    <m/>
    <m/>
    <m/>
    <m/>
    <n v="0"/>
    <n v="0"/>
    <m/>
    <m/>
    <m/>
    <m/>
    <n v="0"/>
    <n v="0"/>
    <m/>
    <m/>
    <m/>
    <m/>
    <n v="0"/>
    <n v="0"/>
    <m/>
    <m/>
    <m/>
    <m/>
    <n v="3.5000000000000003E-2"/>
    <n v="17500"/>
    <m/>
    <m/>
    <m/>
    <m/>
    <n v="3.6000000000000004E-2"/>
    <n v="18000.000000000004"/>
    <m/>
    <m/>
    <m/>
    <m/>
    <n v="0"/>
    <n v="0"/>
    <m/>
    <m/>
    <m/>
    <m/>
    <n v="0"/>
    <n v="0"/>
    <m/>
    <m/>
    <m/>
    <m/>
    <n v="1"/>
    <n v="500000"/>
  </r>
  <r>
    <m/>
    <n v="2"/>
    <n v="2"/>
    <s v="MN"/>
    <n v="200"/>
    <s v="MN 200"/>
    <s v="5407-31"/>
    <x v="0"/>
    <s v="2013-26"/>
    <s v="S"/>
    <s v="MNDOT"/>
    <m/>
    <s v="**FMP**AB** FROM US75 TO ADA, PAVEMENT REHAB &amp; REPL BR #2068 WITH CULV #54X09 (TIED WITH 5407-28)"/>
    <s v="004+00.910"/>
    <s v="017+00.984"/>
    <n v="13.1"/>
    <m/>
    <s v="NORMAN"/>
    <s v="RD"/>
    <s v="1-P 1-B"/>
    <s v="1-P"/>
    <s v="1-B"/>
    <s v="PVTR - PAVEMENT RESURFACE AND REHABILITATION"/>
    <s v="CRACK AND OVERLAY"/>
    <s v="STP&lt;5K BF "/>
    <s v="STP&lt;5K"/>
    <s v="BF"/>
    <m/>
    <n v="5900000"/>
    <n v="0"/>
    <n v="0"/>
    <n v="3920000"/>
    <n v="0"/>
    <n v="3920000"/>
    <n v="0"/>
    <n v="0"/>
    <n v="0"/>
    <n v="0"/>
    <n v="0"/>
    <n v="0"/>
    <n v="0"/>
    <n v="0"/>
    <n v="0"/>
    <n v="0"/>
    <n v="980000"/>
    <n v="0"/>
    <n v="980000"/>
    <n v="1000000"/>
    <n v="0"/>
    <n v="5900000"/>
    <n v="24897363"/>
    <n v="15325894"/>
    <n v="2014"/>
    <m/>
    <m/>
    <s v="FMP"/>
    <m/>
    <m/>
    <m/>
    <s v="NO"/>
    <s v="YES"/>
    <s v="7th District"/>
    <s v="NO"/>
    <s v="NO"/>
    <s v="Yes"/>
    <s v="NO"/>
    <n v="0.63800000000000001"/>
    <n v="3764200"/>
    <m/>
    <m/>
    <m/>
    <m/>
    <n v="3.5000000000000003E-2"/>
    <n v="206500.00000000003"/>
    <m/>
    <n v="0.27500000000000002"/>
    <n v="1622500.0000000002"/>
    <m/>
    <m/>
    <m/>
    <m/>
    <n v="2.6000000000000002E-2"/>
    <n v="153400"/>
    <m/>
    <m/>
    <m/>
    <m/>
    <n v="0"/>
    <n v="0"/>
    <m/>
    <m/>
    <m/>
    <m/>
    <n v="0"/>
    <n v="0"/>
    <m/>
    <m/>
    <m/>
    <m/>
    <n v="1.9E-2"/>
    <n v="112100"/>
    <m/>
    <m/>
    <m/>
    <m/>
    <n v="6.9999999999999993E-3"/>
    <n v="41299.999999999993"/>
    <m/>
    <m/>
    <m/>
    <m/>
    <n v="0"/>
    <n v="0"/>
    <m/>
    <m/>
    <m/>
    <m/>
    <n v="0"/>
    <n v="0"/>
    <m/>
    <m/>
    <m/>
    <m/>
    <n v="1"/>
    <n v="5900000"/>
  </r>
  <r>
    <m/>
    <n v="2"/>
    <n v="2"/>
    <s v="US"/>
    <n v="75"/>
    <s v="US 75"/>
    <s v="5409-30"/>
    <x v="1"/>
    <s v="2015-S10"/>
    <s v="S"/>
    <s v="MNDOT"/>
    <m/>
    <s v="**FMP** ON US75 FROM N END OF HALSTAD TO THE N END OF SHELLY &amp; ON MN200 FROM E END OF BR #54004 TO W LIMITS OF HALSTAD, RESURFACING"/>
    <s v="284+00.976"/>
    <s v="290+00.330"/>
    <n v="7.6"/>
    <s v="SHELLY"/>
    <s v="NORMAN"/>
    <s v="RS"/>
    <s v="1-P "/>
    <s v="1-P"/>
    <m/>
    <s v="PVTR - PAVEMENT RESURFACE AND REHABILITATION"/>
    <s v="MILL AND INLAY"/>
    <s v="SF BF "/>
    <s v="SF"/>
    <s v="BF"/>
    <m/>
    <n v="2800000"/>
    <n v="0"/>
    <n v="0"/>
    <n v="0"/>
    <n v="0"/>
    <n v="0"/>
    <n v="0"/>
    <n v="0"/>
    <n v="0"/>
    <n v="0"/>
    <n v="0"/>
    <n v="0"/>
    <n v="0"/>
    <n v="0"/>
    <n v="0"/>
    <n v="0"/>
    <n v="2200000"/>
    <n v="0"/>
    <n v="2200000"/>
    <n v="600000"/>
    <n v="0"/>
    <n v="2800000"/>
    <n v="24551482"/>
    <n v="16375394"/>
    <n v="2015"/>
    <m/>
    <m/>
    <s v="FMP"/>
    <m/>
    <m/>
    <m/>
    <s v="NO"/>
    <s v="NO"/>
    <s v="7th District"/>
    <s v="NO"/>
    <s v="NO"/>
    <s v="Yes"/>
    <s v="NO"/>
    <n v="0.41700000000000004"/>
    <n v="1167600"/>
    <m/>
    <m/>
    <m/>
    <m/>
    <n v="0.214"/>
    <n v="599200"/>
    <m/>
    <n v="0.30499999999999999"/>
    <n v="854000"/>
    <m/>
    <m/>
    <m/>
    <m/>
    <n v="3.2000000000000001E-2"/>
    <n v="89600"/>
    <m/>
    <m/>
    <m/>
    <m/>
    <n v="0"/>
    <n v="0"/>
    <m/>
    <m/>
    <m/>
    <m/>
    <n v="0"/>
    <n v="0"/>
    <m/>
    <m/>
    <m/>
    <m/>
    <n v="2.3E-2"/>
    <n v="64400"/>
    <m/>
    <m/>
    <m/>
    <m/>
    <n v="9.0000000000000011E-3"/>
    <n v="25200.000000000004"/>
    <m/>
    <m/>
    <m/>
    <m/>
    <n v="0"/>
    <n v="0"/>
    <m/>
    <m/>
    <m/>
    <m/>
    <n v="0"/>
    <n v="0"/>
    <m/>
    <m/>
    <m/>
    <m/>
    <n v="1"/>
    <n v="2800000"/>
  </r>
  <r>
    <m/>
    <n v="2"/>
    <n v="2"/>
    <s v="MN"/>
    <n v="9"/>
    <s v="MN 9"/>
    <s v="5410-22"/>
    <x v="1"/>
    <s v="2015-24"/>
    <s v="S"/>
    <s v="MNDOT"/>
    <m/>
    <s v="FROM BORUP TO THE CITY OF BELTRAMI - LOW SLUMP OVERLAY ON BR #60008, BR #54003, BR #54002, BR #54005 &amp; BR #45004"/>
    <n v="0"/>
    <n v="0"/>
    <n v="0"/>
    <m/>
    <s v="NORMAN"/>
    <s v="BI"/>
    <s v="1-BPM "/>
    <s v="1-BPM"/>
    <m/>
    <s v="BRRH - BRIDGE REHABILITATION"/>
    <s v="BRIDGE OVERLAY"/>
    <s v="STP&lt;5K  "/>
    <s v="STP&lt;5K"/>
    <m/>
    <m/>
    <n v="1200000"/>
    <n v="0"/>
    <n v="0"/>
    <n v="960000"/>
    <n v="0"/>
    <n v="960000"/>
    <n v="0"/>
    <n v="0"/>
    <n v="0"/>
    <n v="0"/>
    <n v="0"/>
    <n v="0"/>
    <n v="0"/>
    <n v="0"/>
    <n v="0"/>
    <n v="0"/>
    <n v="240000"/>
    <n v="0"/>
    <n v="240000"/>
    <n v="0"/>
    <n v="0"/>
    <n v="1200000"/>
    <n v="10545835"/>
    <n v="1050600"/>
    <n v="2015"/>
    <m/>
    <m/>
    <m/>
    <m/>
    <m/>
    <m/>
    <s v="NO"/>
    <s v="NO"/>
    <s v="7th District"/>
    <s v="NO"/>
    <s v="NO"/>
    <s v="Yes"/>
    <s v="NO"/>
    <n v="0"/>
    <n v="0"/>
    <m/>
    <m/>
    <m/>
    <m/>
    <n v="0.92900000000000005"/>
    <n v="1114800"/>
    <m/>
    <n v="0"/>
    <n v="0"/>
    <m/>
    <m/>
    <m/>
    <m/>
    <n v="0"/>
    <n v="0"/>
    <m/>
    <m/>
    <m/>
    <m/>
    <n v="0"/>
    <n v="0"/>
    <m/>
    <m/>
    <m/>
    <m/>
    <n v="0"/>
    <n v="0"/>
    <m/>
    <m/>
    <m/>
    <m/>
    <n v="3.5000000000000003E-2"/>
    <n v="42000.000000000007"/>
    <m/>
    <m/>
    <m/>
    <m/>
    <n v="3.6000000000000004E-2"/>
    <n v="43200.000000000007"/>
    <m/>
    <m/>
    <m/>
    <m/>
    <n v="0"/>
    <n v="0"/>
    <m/>
    <m/>
    <m/>
    <m/>
    <n v="0"/>
    <n v="0"/>
    <m/>
    <m/>
    <m/>
    <m/>
    <n v="1"/>
    <n v="1200000"/>
  </r>
  <r>
    <m/>
    <n v="2"/>
    <n v="2"/>
    <s v="MN"/>
    <n v="9"/>
    <s v="MN 9"/>
    <s v="5410-24"/>
    <x v="2"/>
    <s v="2016-S11"/>
    <s v="S"/>
    <s v="MNDOT"/>
    <m/>
    <s v="**FMP** SOUTH OF ADA, RAISE HIGHWAY GRADE &amp; REPL BR #54001 &amp; APPROACHES"/>
    <s v="192+00.600"/>
    <s v="192+00.600"/>
    <n v="0"/>
    <m/>
    <s v="NORMAN"/>
    <s v="BR"/>
    <s v="1-B "/>
    <s v="1-B"/>
    <m/>
    <s v="GSBR - GRADE, SURFACE AND BRIDGE"/>
    <s v="GRADE AND BRIDGE"/>
    <s v="BF  "/>
    <s v="BF"/>
    <m/>
    <m/>
    <n v="1400000"/>
    <n v="0"/>
    <n v="0"/>
    <n v="0"/>
    <n v="0"/>
    <n v="0"/>
    <n v="0"/>
    <n v="0"/>
    <n v="0"/>
    <n v="0"/>
    <n v="0"/>
    <n v="0"/>
    <n v="0"/>
    <n v="0"/>
    <n v="0"/>
    <n v="0"/>
    <n v="0"/>
    <n v="0"/>
    <n v="0"/>
    <n v="1400000"/>
    <n v="0"/>
    <n v="1400000"/>
    <n v="33891451"/>
    <n v="15424294"/>
    <n v="2016"/>
    <m/>
    <m/>
    <s v="FMP"/>
    <m/>
    <m/>
    <m/>
    <s v="NO"/>
    <s v="NO"/>
    <s v="7th District"/>
    <s v="NO"/>
    <s v="NO"/>
    <s v="NO"/>
    <s v="NO"/>
    <n v="0"/>
    <n v="0"/>
    <m/>
    <m/>
    <m/>
    <m/>
    <n v="0.92900000000000005"/>
    <n v="1300600"/>
    <m/>
    <n v="0"/>
    <n v="0"/>
    <m/>
    <m/>
    <m/>
    <m/>
    <n v="0"/>
    <n v="0"/>
    <m/>
    <m/>
    <m/>
    <m/>
    <n v="0"/>
    <n v="0"/>
    <m/>
    <m/>
    <m/>
    <m/>
    <n v="0"/>
    <n v="0"/>
    <m/>
    <m/>
    <m/>
    <m/>
    <n v="3.5000000000000003E-2"/>
    <n v="49000.000000000007"/>
    <m/>
    <m/>
    <m/>
    <m/>
    <n v="3.6000000000000004E-2"/>
    <n v="50400.000000000007"/>
    <m/>
    <m/>
    <m/>
    <m/>
    <n v="0"/>
    <n v="0"/>
    <m/>
    <m/>
    <m/>
    <m/>
    <n v="0"/>
    <n v="0"/>
    <m/>
    <m/>
    <m/>
    <m/>
    <n v="1"/>
    <n v="1400000"/>
  </r>
  <r>
    <m/>
    <n v="6"/>
    <n v="6"/>
    <s v="US"/>
    <n v="14"/>
    <s v="US 14"/>
    <s v="5503-41"/>
    <x v="0"/>
    <m/>
    <s v="S"/>
    <s v="MNDOT"/>
    <m/>
    <s v="**TED** US 14 AND 40TH AVE SE INTERSECTION IMPROVEMENTS - REICHEL FOODS"/>
    <s v="220+00.802"/>
    <s v="221+00.806"/>
    <n v="0.5"/>
    <m/>
    <m/>
    <m/>
    <s v=" "/>
    <m/>
    <m/>
    <n v="0.5"/>
    <m/>
    <s v="BF LF "/>
    <s v="BF"/>
    <s v="LF"/>
    <m/>
    <n v="2258000"/>
    <s v="                         -  "/>
    <s v="                             -  "/>
    <s v="                             -  "/>
    <s v="                     -  "/>
    <n v="0"/>
    <s v="                             -  "/>
    <s v="                                -  "/>
    <s v="                        -  "/>
    <n v="0"/>
    <s v="                             -  "/>
    <s v="                        -  "/>
    <s v="                       -  "/>
    <n v="0"/>
    <s v="                    -  "/>
    <s v="                        -  "/>
    <s v="                             -  "/>
    <s v="                        -  "/>
    <n v="0"/>
    <n v="1463650"/>
    <n v="794350"/>
    <n v="3721650"/>
    <n v="13977000"/>
    <n v="54987212"/>
    <s v="5503-41"/>
    <s v="Added per Laurie's note dated 5/8/2013"/>
    <m/>
    <m/>
    <m/>
    <m/>
    <m/>
    <m/>
    <m/>
    <m/>
    <m/>
    <m/>
    <m/>
    <m/>
    <m/>
    <n v="0"/>
    <m/>
    <m/>
    <m/>
    <m/>
    <m/>
    <n v="0"/>
    <m/>
    <m/>
    <n v="0"/>
    <m/>
    <m/>
    <m/>
    <m/>
    <m/>
    <n v="0"/>
    <m/>
    <m/>
    <m/>
    <m/>
    <m/>
    <n v="0"/>
    <m/>
    <m/>
    <m/>
    <m/>
    <m/>
    <n v="0"/>
    <m/>
    <m/>
    <m/>
    <m/>
    <m/>
    <n v="0"/>
    <m/>
    <m/>
    <m/>
    <m/>
    <m/>
    <n v="0"/>
    <m/>
    <m/>
    <m/>
    <m/>
    <n v="1"/>
    <n v="3721650"/>
    <m/>
    <m/>
    <m/>
    <m/>
    <m/>
    <n v="0"/>
    <m/>
    <m/>
    <m/>
    <m/>
    <n v="1"/>
    <n v="3721650"/>
  </r>
  <r>
    <m/>
    <n v="6"/>
    <n v="6"/>
    <s v="MN"/>
    <n v="42"/>
    <s v="MN 42"/>
    <s v="5506-22"/>
    <x v="9"/>
    <m/>
    <s v="S"/>
    <s v="MNDOT"/>
    <n v="6"/>
    <s v="FROM TH 14 TO 0.35 MI N OF TH 247, MEDIUM BITUMINOUS MILL AND OVERLAY"/>
    <s v="000+03.379"/>
    <s v="014+00.840"/>
    <n v="14.766"/>
    <m/>
    <s v="OLMSTED"/>
    <s v="RS"/>
    <s v=" "/>
    <m/>
    <m/>
    <s v="PVTR - PAVEMENT RESURFACE AND REHABILITATION"/>
    <s v="MILL AND OVERLAY"/>
    <s v="STP5K  "/>
    <s v="STP5K"/>
    <m/>
    <m/>
    <n v="5831000"/>
    <n v="0"/>
    <n v="0"/>
    <n v="4664800"/>
    <n v="0"/>
    <n v="4664800"/>
    <n v="0"/>
    <n v="0"/>
    <n v="0"/>
    <n v="0"/>
    <n v="0"/>
    <n v="0"/>
    <n v="0"/>
    <n v="0"/>
    <n v="0"/>
    <n v="0"/>
    <n v="1166200"/>
    <n v="0"/>
    <n v="1166200"/>
    <n v="0"/>
    <n v="0"/>
    <n v="5831000"/>
    <n v="13864800"/>
    <n v="3294848"/>
    <n v="2017"/>
    <n v="51195525"/>
    <m/>
    <m/>
    <m/>
    <m/>
    <m/>
    <s v="NO"/>
    <s v="NO"/>
    <s v="1st District"/>
    <s v="NO"/>
    <s v="NO"/>
    <s v="Yes"/>
    <m/>
    <n v="0.876"/>
    <n v="5107956"/>
    <m/>
    <m/>
    <m/>
    <m/>
    <m/>
    <n v="0"/>
    <m/>
    <n v="0.115"/>
    <n v="670565"/>
    <m/>
    <m/>
    <m/>
    <m/>
    <m/>
    <n v="0"/>
    <m/>
    <m/>
    <m/>
    <m/>
    <m/>
    <n v="0"/>
    <m/>
    <m/>
    <m/>
    <m/>
    <m/>
    <n v="0"/>
    <m/>
    <m/>
    <m/>
    <m/>
    <m/>
    <n v="0"/>
    <m/>
    <m/>
    <m/>
    <m/>
    <n v="8.9999999999999993E-3"/>
    <n v="52478.999999999993"/>
    <m/>
    <m/>
    <m/>
    <m/>
    <m/>
    <n v="0"/>
    <m/>
    <m/>
    <m/>
    <m/>
    <m/>
    <n v="0"/>
    <m/>
    <m/>
    <m/>
    <m/>
    <n v="1"/>
    <n v="5831000"/>
  </r>
  <r>
    <m/>
    <n v="6"/>
    <n v="6"/>
    <s v="US"/>
    <n v="63"/>
    <s v="US 63"/>
    <s v="5509-78"/>
    <x v="1"/>
    <m/>
    <s v="S"/>
    <s v="MNDOT"/>
    <n v="6"/>
    <s v="FROM CSAH 35 TO CR 120 (STEWARTVILLE), SHARED-USE PATH  - MUNICIPAL AGREEMENTS PROGRAM"/>
    <m/>
    <m/>
    <n v="0.502"/>
    <s v="STEWARTVILLE"/>
    <s v="OLMSTED"/>
    <s v="AM"/>
    <s v="1-M  "/>
    <s v="1-M "/>
    <m/>
    <s v="GRSU - GRADE AND SURFACE"/>
    <s v="COOP. CONST. AGREEMENT"/>
    <s v="SF  "/>
    <s v="SF"/>
    <m/>
    <m/>
    <n v="50000"/>
    <n v="0"/>
    <n v="0"/>
    <n v="0"/>
    <n v="0"/>
    <n v="0"/>
    <n v="0"/>
    <n v="0"/>
    <m/>
    <n v="0"/>
    <n v="0"/>
    <n v="0"/>
    <m/>
    <n v="0"/>
    <n v="0"/>
    <n v="0"/>
    <n v="50000"/>
    <n v="0"/>
    <n v="50000"/>
    <m/>
    <n v="0"/>
    <n v="50000"/>
    <n v="68752289"/>
    <n v="7447059"/>
    <n v="2015"/>
    <m/>
    <m/>
    <m/>
    <m/>
    <m/>
    <m/>
    <s v="NO"/>
    <s v="NO"/>
    <s v="1st District"/>
    <s v="NO"/>
    <s v="NO"/>
    <s v="Yes"/>
    <m/>
    <m/>
    <n v="0"/>
    <m/>
    <m/>
    <m/>
    <m/>
    <m/>
    <n v="0"/>
    <m/>
    <m/>
    <n v="0"/>
    <m/>
    <m/>
    <m/>
    <m/>
    <m/>
    <n v="0"/>
    <m/>
    <m/>
    <m/>
    <m/>
    <m/>
    <n v="0"/>
    <m/>
    <m/>
    <m/>
    <m/>
    <m/>
    <n v="0"/>
    <m/>
    <m/>
    <m/>
    <m/>
    <n v="0.5"/>
    <n v="25000"/>
    <m/>
    <m/>
    <m/>
    <m/>
    <n v="0.5"/>
    <n v="25000"/>
    <m/>
    <m/>
    <m/>
    <m/>
    <m/>
    <n v="0"/>
    <m/>
    <m/>
    <m/>
    <m/>
    <m/>
    <n v="0"/>
    <m/>
    <m/>
    <m/>
    <m/>
    <n v="1"/>
    <n v="50000"/>
  </r>
  <r>
    <m/>
    <n v="6"/>
    <n v="6"/>
    <s v="US"/>
    <n v="63"/>
    <s v="US 63"/>
    <s v="5509-79"/>
    <x v="1"/>
    <m/>
    <s v="S"/>
    <s v="MNDOT"/>
    <n v="6"/>
    <s v="NB &amp; SB FROM 0.1 MI. N. N. JCT. T.H. 30 TO 28TH ST SE (ROCHESTER), MEDIUM BITUMINOUS MILL AND OVERLAY"/>
    <s v="031+00.286"/>
    <s v="037+00.677"/>
    <n v="6.34"/>
    <m/>
    <s v="OLMSTED"/>
    <s v="RS"/>
    <s v="1-P "/>
    <s v="1-P"/>
    <m/>
    <s v="PVTR - PAVEMENT RESURFACE AND REHABILITATION"/>
    <s v="MILL AND OVERLAY"/>
    <s v="NHPP  "/>
    <s v="NHPP"/>
    <m/>
    <m/>
    <n v="4765088"/>
    <n v="0"/>
    <n v="0"/>
    <n v="3812070"/>
    <n v="0"/>
    <n v="3812070"/>
    <n v="0"/>
    <n v="0"/>
    <n v="0"/>
    <n v="0"/>
    <n v="0"/>
    <n v="0"/>
    <n v="0"/>
    <n v="0"/>
    <n v="0"/>
    <n v="0"/>
    <n v="953018"/>
    <n v="0"/>
    <n v="953018"/>
    <n v="0"/>
    <n v="0"/>
    <n v="4765088"/>
    <n v="72564359"/>
    <n v="8400077"/>
    <n v="2015"/>
    <m/>
    <s v="MAP-21 NHPP PROJECT ADDED"/>
    <m/>
    <m/>
    <m/>
    <m/>
    <s v="NO"/>
    <s v="NO"/>
    <s v="1st District"/>
    <s v="NO"/>
    <s v="NO"/>
    <s v="Yes"/>
    <m/>
    <n v="1"/>
    <n v="4765088"/>
    <m/>
    <m/>
    <m/>
    <m/>
    <m/>
    <n v="0"/>
    <m/>
    <m/>
    <n v="0"/>
    <m/>
    <m/>
    <m/>
    <m/>
    <m/>
    <n v="0"/>
    <m/>
    <m/>
    <m/>
    <m/>
    <m/>
    <n v="0"/>
    <m/>
    <m/>
    <m/>
    <m/>
    <m/>
    <n v="0"/>
    <m/>
    <m/>
    <m/>
    <m/>
    <m/>
    <n v="0"/>
    <m/>
    <m/>
    <m/>
    <m/>
    <m/>
    <n v="0"/>
    <m/>
    <m/>
    <m/>
    <m/>
    <m/>
    <n v="0"/>
    <m/>
    <m/>
    <m/>
    <m/>
    <m/>
    <n v="0"/>
    <m/>
    <m/>
    <m/>
    <m/>
    <n v="1"/>
    <n v="4765088"/>
  </r>
  <r>
    <m/>
    <n v="6"/>
    <n v="6"/>
    <s v="US"/>
    <n v="63"/>
    <s v="US 63"/>
    <s v="5509-80"/>
    <x v="0"/>
    <m/>
    <s v="S"/>
    <s v="MNDOT"/>
    <n v="6"/>
    <s v="**TED14** CSAH 16 &amp; TH 63 INTERCHANGE RECONSTRUCTION (BRIDGE 9407) AND AIRPORT ACCESS IMPROVEMENT PROJECT - $2.224 TED14 FUNDS"/>
    <s v="033+00.053"/>
    <s v="033+00.053"/>
    <n v="0"/>
    <s v="ROCHESTER"/>
    <s v="OLMSTED"/>
    <s v="RC"/>
    <s v="1-B "/>
    <s v="1-B"/>
    <m/>
    <s v="GSBR - GRADE, SURFACE AND BRIDGE"/>
    <s v="GRADE, SURFACE &amp; BRIDGE"/>
    <m/>
    <m/>
    <m/>
    <m/>
    <n v="11519000"/>
    <m/>
    <m/>
    <m/>
    <m/>
    <m/>
    <m/>
    <m/>
    <m/>
    <m/>
    <m/>
    <m/>
    <m/>
    <m/>
    <m/>
    <m/>
    <n v="4724000"/>
    <m/>
    <m/>
    <m/>
    <n v="6795000"/>
    <m/>
    <m/>
    <m/>
    <m/>
    <m/>
    <m/>
    <m/>
    <m/>
    <m/>
    <m/>
    <m/>
    <m/>
    <m/>
    <m/>
    <m/>
    <m/>
    <m/>
    <m/>
    <m/>
    <m/>
    <m/>
    <m/>
    <m/>
    <m/>
    <m/>
    <m/>
    <m/>
    <m/>
    <m/>
    <m/>
    <m/>
    <m/>
    <m/>
    <m/>
    <m/>
    <m/>
    <m/>
    <m/>
    <m/>
    <m/>
    <m/>
    <m/>
    <m/>
    <m/>
    <m/>
    <m/>
    <m/>
    <m/>
    <m/>
    <m/>
    <m/>
    <m/>
    <m/>
    <m/>
    <m/>
    <m/>
    <m/>
    <m/>
    <m/>
    <m/>
    <m/>
    <m/>
    <n v="1"/>
    <n v="4724000"/>
    <m/>
    <m/>
    <m/>
    <m/>
    <m/>
    <m/>
    <m/>
    <m/>
    <m/>
    <m/>
    <n v="1"/>
    <n v="4724000"/>
  </r>
  <r>
    <m/>
    <n v="6"/>
    <n v="6"/>
    <s v="MN"/>
    <n v="247"/>
    <s v="MN 247"/>
    <s v="5512-08AC"/>
    <x v="0"/>
    <m/>
    <s v="S"/>
    <s v="MNDOT"/>
    <n v="6"/>
    <s v="**AC** FROM JCT. T.H. 63 TO JCT. T.H. 42, BITUMINOUS MILL &amp; OVERLAY (AC PAYBACK 1 OF 1)"/>
    <s v="000+00.000"/>
    <s v="012+00.681"/>
    <n v="12.6"/>
    <m/>
    <s v="OLMSTED"/>
    <s v="RS"/>
    <s v="1-P "/>
    <s v="1-P"/>
    <m/>
    <s v="PVTR - PAVEMENT RESURFACE AND REHABILITATION"/>
    <s v="MILL AND OVERLAY"/>
    <s v="STP5K  "/>
    <s v="STP5K"/>
    <m/>
    <m/>
    <n v="2400000"/>
    <n v="0"/>
    <n v="0"/>
    <n v="0"/>
    <n v="0"/>
    <n v="0"/>
    <n v="0"/>
    <n v="0"/>
    <n v="0"/>
    <n v="0"/>
    <n v="0"/>
    <n v="2400000"/>
    <n v="0"/>
    <n v="2400000"/>
    <n v="0"/>
    <n v="0"/>
    <n v="0"/>
    <n v="0"/>
    <n v="0"/>
    <n v="0"/>
    <n v="0"/>
    <n v="0"/>
    <n v="59930366.049999997"/>
    <n v="11712586.629999999"/>
    <n v="2014"/>
    <m/>
    <m/>
    <m/>
    <m/>
    <m/>
    <m/>
    <s v="NO"/>
    <s v="NO"/>
    <s v="Multiple Congressional Districts"/>
    <s v="NO"/>
    <s v="NO"/>
    <s v="NO"/>
    <s v="NO"/>
    <n v="0.82099999999999995"/>
    <n v="1970400"/>
    <m/>
    <m/>
    <m/>
    <m/>
    <m/>
    <n v="0"/>
    <m/>
    <n v="0.115"/>
    <n v="276000"/>
    <m/>
    <m/>
    <m/>
    <m/>
    <n v="3.2000000000000001E-2"/>
    <n v="76800"/>
    <m/>
    <m/>
    <m/>
    <m/>
    <m/>
    <n v="0"/>
    <m/>
    <m/>
    <m/>
    <m/>
    <m/>
    <n v="0"/>
    <m/>
    <m/>
    <m/>
    <m/>
    <n v="2.3E-2"/>
    <n v="55200"/>
    <m/>
    <m/>
    <m/>
    <m/>
    <n v="8.9999999999999993E-3"/>
    <n v="21600"/>
    <m/>
    <m/>
    <m/>
    <m/>
    <m/>
    <n v="0"/>
    <m/>
    <m/>
    <m/>
    <m/>
    <m/>
    <n v="0"/>
    <m/>
    <m/>
    <m/>
    <m/>
    <n v="1"/>
    <n v="2400000"/>
  </r>
  <r>
    <m/>
    <n v="6"/>
    <n v="6"/>
    <s v="I"/>
    <n v="90"/>
    <s v="I 90"/>
    <s v="5580-90"/>
    <x v="1"/>
    <m/>
    <s v="S"/>
    <s v="MNDOT"/>
    <n v="6"/>
    <s v="WB FROM 1.7 MI. E. CSAH 19 TO 2.3 MI. E. T.H. 74, UNBONDED CONCRETE OVERLAY - MOVED FROM 2020"/>
    <s v="222+00.738"/>
    <s v="235+00.148"/>
    <n v="12.242000000000001"/>
    <m/>
    <s v="OLMSTED"/>
    <s v="RS"/>
    <s v="1-P "/>
    <s v="1-P"/>
    <m/>
    <s v="PVTR - PAVEMENT RESURFACE AND REHABILITATION"/>
    <s v="MILL AND OVERLAY"/>
    <s v="NHPP  "/>
    <s v="NHPP"/>
    <m/>
    <m/>
    <n v="13466200"/>
    <n v="0"/>
    <n v="0"/>
    <n v="12119580"/>
    <n v="0"/>
    <n v="12119580"/>
    <n v="0"/>
    <n v="0"/>
    <n v="0"/>
    <n v="0"/>
    <n v="0"/>
    <n v="0"/>
    <n v="0"/>
    <n v="0"/>
    <n v="0"/>
    <n v="0"/>
    <n v="1346620"/>
    <n v="0"/>
    <n v="1346620"/>
    <n v="0"/>
    <n v="0"/>
    <n v="13466200"/>
    <n v="90172040"/>
    <n v="10931222"/>
    <n v="2015"/>
    <m/>
    <s v="MAP-21 NHPP PROJECT ADDED"/>
    <m/>
    <m/>
    <m/>
    <m/>
    <s v="NO"/>
    <s v="NO"/>
    <s v="1st District"/>
    <s v="NO"/>
    <s v="NO"/>
    <s v="Yes"/>
    <m/>
    <n v="0.82099999999999995"/>
    <n v="11055750.199999999"/>
    <m/>
    <m/>
    <m/>
    <m/>
    <m/>
    <n v="0"/>
    <m/>
    <n v="0.115"/>
    <n v="1548613"/>
    <m/>
    <m/>
    <m/>
    <m/>
    <n v="3.2000000000000001E-2"/>
    <n v="430918.40000000002"/>
    <m/>
    <m/>
    <m/>
    <m/>
    <m/>
    <n v="0"/>
    <m/>
    <m/>
    <m/>
    <m/>
    <m/>
    <n v="0"/>
    <m/>
    <m/>
    <m/>
    <m/>
    <n v="2.3E-2"/>
    <n v="309722.59999999998"/>
    <m/>
    <m/>
    <m/>
    <m/>
    <n v="8.9999999999999993E-3"/>
    <n v="121195.79999999999"/>
    <m/>
    <m/>
    <m/>
    <m/>
    <m/>
    <n v="0"/>
    <m/>
    <m/>
    <m/>
    <m/>
    <m/>
    <n v="0"/>
    <m/>
    <m/>
    <m/>
    <m/>
    <n v="1"/>
    <n v="13466200"/>
  </r>
  <r>
    <m/>
    <n v="4"/>
    <n v="4"/>
    <s v="US"/>
    <n v="10"/>
    <s v="US 10"/>
    <s v="5606-42"/>
    <x v="0"/>
    <s v="2014-29"/>
    <s v="S"/>
    <s v="MNDOT"/>
    <m/>
    <s v="**ELLA**  E. END OF BRIDGE #56012 TO 0.06 MILES EAST OF COUNTY ROAD 84 (EB), MILL AND OVERLAY"/>
    <n v="1500000"/>
    <n v="0"/>
    <n v="0"/>
    <n v="1200000"/>
    <n v="0"/>
    <n v="1200000"/>
    <n v="0"/>
    <n v="0"/>
    <n v="0"/>
    <n v="0"/>
    <n v="0"/>
    <n v="0"/>
    <n v="0"/>
    <n v="0"/>
    <n v="0"/>
    <n v="1500000"/>
    <n v="300000"/>
    <n v="0"/>
    <n v="300000"/>
    <n v="0"/>
    <n v="0"/>
    <n v="1500000"/>
    <n v="21041947.199999999"/>
    <n v="6436387.7999999998"/>
    <n v="2014"/>
    <m/>
    <s v="what went in for ammendement?  "/>
    <m/>
    <m/>
    <m/>
    <m/>
    <s v="NO"/>
    <s v="YES"/>
    <s v="7th District"/>
    <s v="yes"/>
    <n v="0"/>
    <s v="YES"/>
    <s v="NO"/>
    <n v="0.86499999999999999"/>
    <n v="1297500"/>
    <m/>
    <m/>
    <m/>
    <m/>
    <m/>
    <n v="0"/>
    <m/>
    <m/>
    <m/>
    <m/>
    <n v="0.08"/>
    <n v="120000"/>
    <m/>
    <n v="0.86499999999999999"/>
    <n v="1297500"/>
    <m/>
    <m/>
    <m/>
    <m/>
    <m/>
    <n v="0"/>
    <m/>
    <n v="0.08"/>
    <n v="120000"/>
    <m/>
    <m/>
    <m/>
    <m/>
    <n v="0.03"/>
    <n v="45000"/>
    <m/>
    <m/>
    <m/>
    <m/>
    <m/>
    <n v="0"/>
    <m/>
    <m/>
    <m/>
    <m/>
    <m/>
    <n v="0"/>
    <m/>
    <m/>
    <m/>
    <m/>
    <m/>
    <n v="0"/>
    <m/>
    <m/>
    <m/>
    <m/>
    <m/>
    <n v="0"/>
    <m/>
    <m/>
    <m/>
    <m/>
    <n v="2.5000000000000001E-2"/>
    <n v="37500"/>
    <m/>
    <m/>
    <m/>
    <m/>
    <m/>
    <n v="0"/>
    <m/>
    <m/>
    <m/>
    <m/>
    <n v="1"/>
    <n v="1500000"/>
  </r>
  <r>
    <m/>
    <n v="4"/>
    <n v="4"/>
    <s v="US"/>
    <n v="10"/>
    <s v="US 10"/>
    <s v="5606-43"/>
    <x v="0"/>
    <s v="2014-29"/>
    <s v="S"/>
    <s v="MNDOT"/>
    <m/>
    <s v="**ELLA** FROM 2.3 MI. S.E. OF T.H. 78 to 0.9 MI. WEST OF CSAH 75 (WB), MILL AND OVERLAY"/>
    <n v="4656500"/>
    <n v="0"/>
    <n v="0"/>
    <n v="3725200"/>
    <n v="0"/>
    <n v="3725200"/>
    <n v="0"/>
    <n v="0"/>
    <n v="0"/>
    <n v="0"/>
    <n v="0"/>
    <n v="0"/>
    <n v="0"/>
    <n v="0"/>
    <n v="0"/>
    <n v="4656500"/>
    <n v="931300"/>
    <n v="0"/>
    <n v="931300"/>
    <n v="0"/>
    <n v="0"/>
    <n v="4656500"/>
    <n v="24767147.199999999"/>
    <n v="7367687.7999999998"/>
    <n v="2014"/>
    <m/>
    <s v="what went in for ammendement?  "/>
    <m/>
    <m/>
    <m/>
    <m/>
    <s v="NO"/>
    <s v="YES"/>
    <s v="7th District"/>
    <s v="yes"/>
    <n v="0"/>
    <s v="YES"/>
    <s v="NO"/>
    <n v="0.86499999999999999"/>
    <n v="4027872.5"/>
    <m/>
    <m/>
    <m/>
    <m/>
    <m/>
    <n v="0"/>
    <m/>
    <m/>
    <m/>
    <m/>
    <n v="0.08"/>
    <n v="372520"/>
    <m/>
    <n v="0.86499999999999999"/>
    <n v="4027872.5"/>
    <m/>
    <m/>
    <m/>
    <m/>
    <m/>
    <n v="0"/>
    <m/>
    <n v="0.08"/>
    <n v="372520"/>
    <m/>
    <m/>
    <m/>
    <m/>
    <n v="0.03"/>
    <n v="139695"/>
    <m/>
    <m/>
    <m/>
    <m/>
    <m/>
    <n v="0"/>
    <m/>
    <m/>
    <m/>
    <m/>
    <m/>
    <n v="0"/>
    <m/>
    <m/>
    <m/>
    <m/>
    <m/>
    <n v="0"/>
    <m/>
    <m/>
    <m/>
    <m/>
    <m/>
    <n v="0"/>
    <m/>
    <m/>
    <m/>
    <m/>
    <n v="2.5000000000000001E-2"/>
    <n v="116412.5"/>
    <m/>
    <m/>
    <m/>
    <m/>
    <m/>
    <n v="0"/>
    <m/>
    <m/>
    <m/>
    <m/>
    <n v="1"/>
    <n v="4656500"/>
  </r>
  <r>
    <m/>
    <n v="4"/>
    <n v="4"/>
    <s v="MN"/>
    <n v="78"/>
    <s v="MN 78"/>
    <s v="5621-23"/>
    <x v="0"/>
    <s v="2014-28"/>
    <s v="S"/>
    <s v="MNDOT"/>
    <m/>
    <s v="**BR4M** **ELLA** BATTLE LAKE TO JCT. TH 10 - MILL AND OVERLAY"/>
    <n v="6000000"/>
    <n v="0"/>
    <n v="0"/>
    <n v="4800000"/>
    <n v="0"/>
    <n v="4800000"/>
    <n v="0"/>
    <n v="0"/>
    <n v="0"/>
    <n v="0"/>
    <n v="0"/>
    <n v="0"/>
    <n v="0"/>
    <n v="0"/>
    <n v="0"/>
    <n v="6000000"/>
    <n v="1200000"/>
    <s v=" "/>
    <n v="1200000"/>
    <n v="0"/>
    <n v="0"/>
    <n v="6000000"/>
    <n v="19841947.199999999"/>
    <n v="6136387.7999999998"/>
    <n v="2014"/>
    <m/>
    <s v="Better roads project, told to leave old STIP price in, but final estimate was $7M"/>
    <m/>
    <m/>
    <m/>
    <m/>
    <s v="NO"/>
    <s v="NO"/>
    <s v="7th District"/>
    <s v="yes"/>
    <n v="0"/>
    <s v="YES"/>
    <s v="NO"/>
    <n v="0.86499999999999999"/>
    <n v="5190000"/>
    <m/>
    <m/>
    <m/>
    <m/>
    <m/>
    <n v="0"/>
    <m/>
    <m/>
    <m/>
    <m/>
    <n v="0.08"/>
    <n v="480000"/>
    <m/>
    <n v="0.86499999999999999"/>
    <n v="5190000"/>
    <m/>
    <m/>
    <m/>
    <m/>
    <m/>
    <n v="0"/>
    <m/>
    <n v="0.08"/>
    <n v="480000"/>
    <m/>
    <m/>
    <m/>
    <m/>
    <n v="0.03"/>
    <n v="180000"/>
    <m/>
    <m/>
    <m/>
    <m/>
    <m/>
    <n v="0"/>
    <m/>
    <m/>
    <m/>
    <m/>
    <m/>
    <n v="0"/>
    <m/>
    <m/>
    <m/>
    <m/>
    <m/>
    <n v="0"/>
    <m/>
    <m/>
    <m/>
    <m/>
    <m/>
    <n v="0"/>
    <m/>
    <m/>
    <m/>
    <m/>
    <n v="2.5000000000000001E-2"/>
    <n v="150000"/>
    <m/>
    <m/>
    <m/>
    <m/>
    <m/>
    <n v="0"/>
    <m/>
    <m/>
    <m/>
    <m/>
    <n v="1"/>
    <n v="6000000"/>
  </r>
  <r>
    <m/>
    <n v="4"/>
    <n v="4"/>
    <s v="MN"/>
    <n v="108"/>
    <s v="MN 108"/>
    <s v="5625-18"/>
    <x v="0"/>
    <s v="2016-34"/>
    <s v="S"/>
    <s v="MNDOT"/>
    <m/>
    <s v="**FMP** ANNIE LAKE OUTLET WEST OF PELICAN RAPIDS"/>
    <n v="433700"/>
    <n v="0"/>
    <n v="0"/>
    <m/>
    <n v="0"/>
    <n v="0"/>
    <n v="0"/>
    <n v="0"/>
    <n v="0"/>
    <n v="0"/>
    <n v="0"/>
    <n v="0"/>
    <n v="0"/>
    <n v="0"/>
    <n v="0"/>
    <n v="433700"/>
    <n v="151200"/>
    <n v="0"/>
    <n v="151200"/>
    <n v="282500"/>
    <n v="0"/>
    <n v="433700"/>
    <n v="24767147.199999999"/>
    <n v="7518887.7999999998"/>
    <n v="2014"/>
    <m/>
    <s v="price went up"/>
    <m/>
    <m/>
    <m/>
    <m/>
    <s v="NO"/>
    <s v="NO"/>
    <s v="7th District"/>
    <s v="NO"/>
    <n v="0"/>
    <s v="YES"/>
    <s v="NO"/>
    <m/>
    <n v="0"/>
    <m/>
    <m/>
    <m/>
    <m/>
    <m/>
    <n v="0"/>
    <m/>
    <m/>
    <m/>
    <m/>
    <n v="0.8"/>
    <n v="346960"/>
    <m/>
    <m/>
    <n v="0"/>
    <m/>
    <m/>
    <m/>
    <m/>
    <m/>
    <n v="0"/>
    <m/>
    <n v="0.8"/>
    <n v="346960"/>
    <m/>
    <m/>
    <m/>
    <m/>
    <m/>
    <n v="0"/>
    <m/>
    <m/>
    <m/>
    <m/>
    <m/>
    <n v="0"/>
    <m/>
    <m/>
    <m/>
    <m/>
    <m/>
    <n v="0"/>
    <m/>
    <m/>
    <m/>
    <m/>
    <m/>
    <n v="0"/>
    <m/>
    <m/>
    <m/>
    <m/>
    <m/>
    <n v="0"/>
    <m/>
    <m/>
    <m/>
    <m/>
    <n v="0.2"/>
    <n v="86740"/>
    <m/>
    <m/>
    <m/>
    <m/>
    <m/>
    <n v="0"/>
    <m/>
    <m/>
    <m/>
    <m/>
    <n v="1"/>
    <n v="433700"/>
  </r>
  <r>
    <m/>
    <n v="4"/>
    <n v="4"/>
    <s v="I"/>
    <n v="94"/>
    <s v="I 94"/>
    <s v="5680-130"/>
    <x v="1"/>
    <s v="2015-32"/>
    <s v="S"/>
    <s v="MNDOT"/>
    <m/>
    <s v="DECK REPLACEMENT ON OLD BR 56813 (WB) AND 56814 (EB) OVER CSAH 10"/>
    <n v="1079100"/>
    <n v="0"/>
    <n v="0"/>
    <m/>
    <n v="0"/>
    <n v="0"/>
    <n v="0"/>
    <n v="0"/>
    <n v="0"/>
    <n v="0"/>
    <n v="0"/>
    <n v="0"/>
    <n v="0"/>
    <n v="0"/>
    <n v="0"/>
    <n v="1079100"/>
    <n v="1079100"/>
    <n v="0"/>
    <n v="1079100"/>
    <n v="0"/>
    <n v="0"/>
    <n v="1079100"/>
    <n v="49258336.700000003"/>
    <n v="24474277.800000001"/>
    <n v="2015"/>
    <m/>
    <s v="Was in our setasides.  Is this how you would put it as a normal project or do you need to show why your setaside was reduced.  This could be NHS"/>
    <m/>
    <m/>
    <m/>
    <m/>
    <s v="NO"/>
    <s v="NO"/>
    <s v="7th District"/>
    <s v="NO"/>
    <n v="0"/>
    <s v="YES"/>
    <s v="NO"/>
    <n v="0.12239999999999999"/>
    <n v="132081.84"/>
    <m/>
    <m/>
    <m/>
    <m/>
    <n v="0.83320000000000005"/>
    <n v="899106.12000000011"/>
    <m/>
    <m/>
    <m/>
    <m/>
    <n v="4.4400000000000002E-2"/>
    <n v="47912.04"/>
    <m/>
    <n v="0.12239999999999999"/>
    <n v="132081.84"/>
    <m/>
    <m/>
    <m/>
    <m/>
    <n v="0.83320000000000005"/>
    <n v="899106.12000000011"/>
    <m/>
    <n v="4.4400000000000002E-2"/>
    <n v="47912.04"/>
    <m/>
    <m/>
    <m/>
    <m/>
    <m/>
    <n v="0"/>
    <m/>
    <m/>
    <m/>
    <m/>
    <m/>
    <n v="0"/>
    <m/>
    <m/>
    <m/>
    <m/>
    <m/>
    <n v="0"/>
    <m/>
    <m/>
    <m/>
    <m/>
    <m/>
    <n v="0"/>
    <m/>
    <m/>
    <m/>
    <m/>
    <m/>
    <n v="0"/>
    <m/>
    <m/>
    <m/>
    <m/>
    <m/>
    <n v="0"/>
    <m/>
    <m/>
    <m/>
    <m/>
    <m/>
    <n v="0"/>
    <m/>
    <m/>
    <m/>
    <m/>
    <n v="1"/>
    <n v="1079100"/>
  </r>
  <r>
    <m/>
    <n v="2"/>
    <n v="2"/>
    <s v="MN"/>
    <n v="1"/>
    <s v="MN 1"/>
    <s v="5702-44"/>
    <x v="2"/>
    <s v="2015-27"/>
    <s v="S"/>
    <s v="MNDOT"/>
    <m/>
    <s v="IN THIEF RIVER FALLS, ON MN1 FROM N JCT MN32 TO CSAH 18/150 AVE NE &amp; ON US59 FROM 1ST ST TO ATLANTIC AVE, RECONSTRUCTION"/>
    <s v="046+00.118"/>
    <s v="047+00.402"/>
    <n v="2.2999999999999998"/>
    <s v="THIEF RIVER FALLS"/>
    <s v="PENNINGTON"/>
    <s v="RC"/>
    <s v="1-P "/>
    <s v="1-P"/>
    <m/>
    <s v="GRSU - GRADE AND SURFACE"/>
    <s v="MILL AND INLAY"/>
    <s v="NHPP LF "/>
    <s v="NHPP"/>
    <s v="LF"/>
    <m/>
    <n v="2800000"/>
    <n v="0"/>
    <n v="0"/>
    <n v="2176000"/>
    <n v="0"/>
    <n v="2176000"/>
    <n v="0"/>
    <n v="0"/>
    <n v="0"/>
    <n v="0"/>
    <n v="0"/>
    <n v="0"/>
    <n v="0"/>
    <n v="0"/>
    <n v="0"/>
    <n v="0"/>
    <n v="544000"/>
    <n v="0"/>
    <n v="544000"/>
    <n v="0"/>
    <n v="80000"/>
    <n v="2800000"/>
    <n v="43485286"/>
    <n v="19314394"/>
    <n v="2016"/>
    <m/>
    <m/>
    <m/>
    <n v="80000"/>
    <m/>
    <m/>
    <s v="NO"/>
    <s v="NO"/>
    <s v="7th District"/>
    <s v="NO"/>
    <s v="NO"/>
    <s v="Yes"/>
    <s v="NO"/>
    <n v="0.2"/>
    <n v="544000"/>
    <m/>
    <m/>
    <m/>
    <m/>
    <n v="0"/>
    <n v="0"/>
    <m/>
    <n v="0"/>
    <n v="0"/>
    <m/>
    <m/>
    <m/>
    <m/>
    <n v="0"/>
    <n v="0"/>
    <m/>
    <m/>
    <m/>
    <m/>
    <n v="0"/>
    <n v="0"/>
    <m/>
    <m/>
    <m/>
    <m/>
    <n v="0"/>
    <n v="0"/>
    <m/>
    <m/>
    <m/>
    <m/>
    <n v="0"/>
    <n v="0"/>
    <m/>
    <m/>
    <m/>
    <m/>
    <n v="0.8"/>
    <n v="2176000"/>
    <m/>
    <m/>
    <m/>
    <m/>
    <n v="0"/>
    <n v="0"/>
    <m/>
    <m/>
    <m/>
    <m/>
    <n v="0"/>
    <n v="0"/>
    <m/>
    <m/>
    <m/>
    <m/>
    <n v="1"/>
    <n v="2720000"/>
  </r>
  <r>
    <m/>
    <n v="2"/>
    <n v="2"/>
    <s v="MN"/>
    <n v="1"/>
    <s v="MN 1"/>
    <s v="5702-45"/>
    <x v="1"/>
    <s v="2015-29"/>
    <s v="S"/>
    <s v="MNDOT"/>
    <m/>
    <s v="11.0 MI E OF N JCT MN32, REPL BR #369 &amp; APPROACHES"/>
    <s v="056+00.362"/>
    <s v="056+00.362"/>
    <n v="0"/>
    <m/>
    <s v="PENNINGTON"/>
    <s v="BR"/>
    <s v="1-B "/>
    <s v="1-B"/>
    <m/>
    <s v="BRPC - BRIDGE REPLACEMENT OR CONSTRUCTION"/>
    <s v="BRIDGE REPLACEMENT"/>
    <s v="STP&lt;5K  "/>
    <s v="STP&lt;5K"/>
    <m/>
    <m/>
    <n v="410000"/>
    <n v="0"/>
    <n v="0"/>
    <n v="328000"/>
    <n v="0"/>
    <n v="328000"/>
    <n v="0"/>
    <n v="0"/>
    <n v="0"/>
    <n v="0"/>
    <n v="0"/>
    <n v="0"/>
    <n v="0"/>
    <n v="0"/>
    <n v="0"/>
    <n v="0"/>
    <n v="82000"/>
    <n v="0"/>
    <n v="82000"/>
    <n v="0"/>
    <n v="0"/>
    <n v="410000"/>
    <n v="23513835"/>
    <n v="4292600"/>
    <n v="2015"/>
    <m/>
    <m/>
    <m/>
    <m/>
    <m/>
    <m/>
    <s v="NO"/>
    <s v="NO"/>
    <s v="7th District"/>
    <s v="NO"/>
    <s v="NO"/>
    <s v="Yes"/>
    <s v="NO"/>
    <n v="0"/>
    <n v="0"/>
    <m/>
    <m/>
    <m/>
    <m/>
    <n v="0.92900000000000005"/>
    <n v="380890"/>
    <m/>
    <n v="0"/>
    <n v="0"/>
    <m/>
    <m/>
    <m/>
    <m/>
    <n v="0"/>
    <n v="0"/>
    <m/>
    <m/>
    <m/>
    <m/>
    <n v="0"/>
    <n v="0"/>
    <m/>
    <m/>
    <m/>
    <m/>
    <n v="0"/>
    <n v="0"/>
    <m/>
    <m/>
    <m/>
    <m/>
    <n v="3.5000000000000003E-2"/>
    <n v="14350.000000000002"/>
    <m/>
    <m/>
    <m/>
    <m/>
    <n v="3.6000000000000004E-2"/>
    <n v="14760.000000000002"/>
    <m/>
    <m/>
    <m/>
    <m/>
    <n v="0"/>
    <n v="0"/>
    <m/>
    <m/>
    <m/>
    <m/>
    <n v="0"/>
    <n v="0"/>
    <m/>
    <m/>
    <m/>
    <m/>
    <n v="1"/>
    <n v="410000"/>
  </r>
  <r>
    <m/>
    <n v="2"/>
    <n v="2"/>
    <s v="US"/>
    <n v="59"/>
    <s v="US 59"/>
    <s v="5705-58"/>
    <x v="0"/>
    <s v="2014-S12"/>
    <s v="S"/>
    <s v="MNDOT"/>
    <m/>
    <s v="**FMP** IN THIEF RIVER FALLS, REPAIR BR #5327"/>
    <s v="358+00.100"/>
    <s v="358+00.100"/>
    <n v="0"/>
    <m/>
    <s v="PENNINGTON"/>
    <s v="BI"/>
    <s v="1-BPM "/>
    <s v="1-BPM"/>
    <m/>
    <s v="BRRH - BRIDGE REHABILITATION"/>
    <s v="BRIDGE REPAIR"/>
    <s v="BF  "/>
    <s v="BF"/>
    <m/>
    <m/>
    <n v="1600000"/>
    <n v="0"/>
    <n v="0"/>
    <n v="0"/>
    <n v="0"/>
    <n v="0"/>
    <n v="0"/>
    <n v="0"/>
    <n v="0"/>
    <n v="0"/>
    <n v="0"/>
    <n v="0"/>
    <n v="0"/>
    <n v="0"/>
    <n v="0"/>
    <n v="0"/>
    <n v="0"/>
    <n v="0"/>
    <n v="0"/>
    <n v="1600000"/>
    <n v="0"/>
    <n v="1600000"/>
    <n v="24897363"/>
    <n v="15575894"/>
    <n v="2014"/>
    <m/>
    <m/>
    <s v="FMP"/>
    <m/>
    <m/>
    <m/>
    <s v="NO"/>
    <s v="NO"/>
    <s v="7th District"/>
    <s v="NO"/>
    <s v="NO"/>
    <s v="NO"/>
    <s v="NO"/>
    <n v="0"/>
    <n v="0"/>
    <m/>
    <m/>
    <m/>
    <m/>
    <n v="1"/>
    <n v="1600000"/>
    <m/>
    <n v="0"/>
    <n v="0"/>
    <m/>
    <m/>
    <m/>
    <m/>
    <n v="0"/>
    <n v="0"/>
    <m/>
    <m/>
    <m/>
    <m/>
    <n v="0"/>
    <n v="0"/>
    <m/>
    <m/>
    <m/>
    <m/>
    <n v="0"/>
    <n v="0"/>
    <m/>
    <m/>
    <m/>
    <m/>
    <n v="0"/>
    <n v="0"/>
    <m/>
    <m/>
    <m/>
    <m/>
    <n v="0"/>
    <n v="0"/>
    <m/>
    <m/>
    <m/>
    <m/>
    <n v="0"/>
    <n v="0"/>
    <m/>
    <m/>
    <m/>
    <m/>
    <n v="0"/>
    <n v="0"/>
    <m/>
    <m/>
    <m/>
    <m/>
    <n v="1"/>
    <n v="1600000"/>
  </r>
  <r>
    <n v="125"/>
    <n v="2"/>
    <n v="2"/>
    <s v="US"/>
    <n v="59"/>
    <s v="US 59"/>
    <s v="5705-59"/>
    <x v="2"/>
    <m/>
    <s v="S"/>
    <s v="MNDOT"/>
    <m/>
    <s v="IN THIEF RIVER FALLS, REALIGN GREENWOOD ST FROM HANSON DR TO US59 &amp; MILL &amp; OVERLAY ON ATLANTIC AVE., DAVIS AVE., &amp; OAKLAND PARK RD (TIED WITH 170-115-017)"/>
    <s v="356+00.752"/>
    <s v="356+00.752"/>
    <n v="0"/>
    <s v="THIEF RIVER FALLS"/>
    <s v="PENNINGTON"/>
    <s v="AM"/>
    <m/>
    <m/>
    <m/>
    <s v="GRSU - GRADE AND SURFACE"/>
    <s v="GRADE AND SURFACE"/>
    <s v="SF  "/>
    <s v="SF"/>
    <m/>
    <m/>
    <n v="125000"/>
    <n v="0"/>
    <n v="0"/>
    <n v="0"/>
    <n v="0"/>
    <n v="0"/>
    <n v="0"/>
    <n v="0"/>
    <n v="0"/>
    <n v="0"/>
    <n v="0"/>
    <n v="0"/>
    <m/>
    <n v="0"/>
    <n v="0"/>
    <m/>
    <n v="125000"/>
    <m/>
    <n v="125000"/>
    <n v="0"/>
    <n v="0"/>
    <n v="125000"/>
    <n v="5437963"/>
    <n v="125000"/>
    <n v="2016"/>
    <m/>
    <s v="CITY OF THIEF RIVER FALLS IS THE LEAD AGENCY"/>
    <m/>
    <m/>
    <m/>
    <m/>
    <s v="NO"/>
    <s v="NO"/>
    <s v="7th District"/>
    <s v="NO"/>
    <s v="NO"/>
    <s v="Yes"/>
    <s v="NO"/>
    <n v="0"/>
    <n v="0"/>
    <m/>
    <m/>
    <m/>
    <m/>
    <n v="0"/>
    <n v="0"/>
    <m/>
    <n v="0"/>
    <n v="0"/>
    <m/>
    <m/>
    <m/>
    <m/>
    <n v="0"/>
    <n v="0"/>
    <m/>
    <m/>
    <m/>
    <m/>
    <n v="0"/>
    <n v="0"/>
    <m/>
    <m/>
    <m/>
    <m/>
    <n v="0"/>
    <n v="0"/>
    <m/>
    <m/>
    <m/>
    <m/>
    <n v="0"/>
    <n v="0"/>
    <m/>
    <m/>
    <m/>
    <m/>
    <n v="0"/>
    <n v="0"/>
    <m/>
    <m/>
    <m/>
    <m/>
    <n v="1"/>
    <n v="125000"/>
    <m/>
    <m/>
    <m/>
    <m/>
    <n v="0"/>
    <n v="0"/>
    <m/>
    <m/>
    <m/>
    <m/>
    <n v="1"/>
    <n v="125000"/>
  </r>
  <r>
    <m/>
    <n v="1"/>
    <n v="1"/>
    <s v="MN"/>
    <n v="23"/>
    <s v="MN 23"/>
    <s v="5803-35"/>
    <x v="1"/>
    <m/>
    <s v="S"/>
    <s v="MNDOT"/>
    <m/>
    <s v="0.1 MI NE OF DUQUETTE, REPLACE BR # 5549 AND APPROACHES "/>
    <n v="0"/>
    <n v="0"/>
    <n v="0"/>
    <m/>
    <s v="PINE"/>
    <s v="BR"/>
    <s v="1-B "/>
    <s v="1-B"/>
    <m/>
    <s v="BRPC - BRIDGE REPLACEMENT OR CONSTRUCTION"/>
    <s v="BRIDGE REPLACEMENT"/>
    <s v="STP5K  "/>
    <s v="STP5K"/>
    <m/>
    <m/>
    <n v="1300000"/>
    <n v="0"/>
    <n v="0"/>
    <n v="1040000"/>
    <n v="0"/>
    <n v="1040000"/>
    <n v="0"/>
    <n v="0"/>
    <n v="0"/>
    <n v="0"/>
    <n v="0"/>
    <n v="0"/>
    <n v="0"/>
    <n v="0"/>
    <n v="0"/>
    <n v="0"/>
    <n v="260000"/>
    <n v="0"/>
    <n v="260000"/>
    <n v="0"/>
    <n v="0"/>
    <n v="1300000"/>
    <n v="35456412"/>
    <n v="12866200"/>
    <n v="2015"/>
    <m/>
    <m/>
    <m/>
    <m/>
    <m/>
    <s v="YES"/>
    <s v="NO"/>
    <s v="NO"/>
    <s v="8th District"/>
    <s v="NO"/>
    <s v="NO"/>
    <s v="Yes"/>
    <s v="NO"/>
    <m/>
    <n v="0"/>
    <m/>
    <m/>
    <m/>
    <m/>
    <n v="1"/>
    <n v="1300000"/>
    <s v="Improvement - Major rehabilitation or replacement"/>
    <m/>
    <n v="0"/>
    <m/>
    <m/>
    <m/>
    <m/>
    <m/>
    <n v="0"/>
    <m/>
    <m/>
    <m/>
    <m/>
    <m/>
    <n v="0"/>
    <m/>
    <m/>
    <m/>
    <m/>
    <m/>
    <n v="0"/>
    <m/>
    <m/>
    <m/>
    <m/>
    <m/>
    <n v="0"/>
    <m/>
    <m/>
    <m/>
    <m/>
    <m/>
    <n v="0"/>
    <m/>
    <m/>
    <m/>
    <m/>
    <m/>
    <n v="0"/>
    <m/>
    <m/>
    <m/>
    <m/>
    <m/>
    <n v="0"/>
    <m/>
    <m/>
    <m/>
    <m/>
    <n v="1"/>
    <n v="1300000"/>
  </r>
  <r>
    <m/>
    <n v="1"/>
    <n v="1"/>
    <s v="MN"/>
    <n v="48"/>
    <s v="MN 48"/>
    <s v="5804-57"/>
    <x v="9"/>
    <m/>
    <s v="S"/>
    <s v="MNDOT"/>
    <m/>
    <s v="4.5 MI E JCT TH 35. TH 48 BR 58005 BR. APPROACH PANEL REPAIRS."/>
    <m/>
    <m/>
    <m/>
    <m/>
    <s v="PINE"/>
    <m/>
    <m/>
    <m/>
    <m/>
    <m/>
    <m/>
    <s v="SF  "/>
    <s v="SF"/>
    <m/>
    <m/>
    <n v="350000"/>
    <m/>
    <m/>
    <m/>
    <m/>
    <n v="0"/>
    <m/>
    <m/>
    <m/>
    <m/>
    <m/>
    <m/>
    <m/>
    <m/>
    <m/>
    <m/>
    <n v="350000"/>
    <m/>
    <n v="350000"/>
    <m/>
    <n v="0"/>
    <n v="350000"/>
    <n v="39168499.700000003"/>
    <n v="18303233.300000001"/>
    <n v="2017"/>
    <m/>
    <m/>
    <m/>
    <m/>
    <m/>
    <s v="YES"/>
    <s v="NO"/>
    <s v="NO"/>
    <s v="8th District"/>
    <s v="NO"/>
    <s v="NO"/>
    <s v="Yes"/>
    <s v="NO"/>
    <m/>
    <n v="0"/>
    <m/>
    <m/>
    <m/>
    <m/>
    <n v="0.92900000000000005"/>
    <n v="325150"/>
    <m/>
    <m/>
    <n v="0"/>
    <m/>
    <m/>
    <m/>
    <m/>
    <m/>
    <n v="0"/>
    <m/>
    <m/>
    <m/>
    <m/>
    <m/>
    <n v="0"/>
    <m/>
    <m/>
    <m/>
    <m/>
    <m/>
    <n v="0"/>
    <m/>
    <m/>
    <m/>
    <m/>
    <n v="3.5000000000000003E-2"/>
    <n v="12250.000000000002"/>
    <m/>
    <m/>
    <m/>
    <m/>
    <n v="3.5999999999999997E-2"/>
    <n v="12599.999999999998"/>
    <m/>
    <m/>
    <m/>
    <m/>
    <m/>
    <n v="0"/>
    <m/>
    <m/>
    <m/>
    <m/>
    <m/>
    <n v="0"/>
    <m/>
    <m/>
    <m/>
    <m/>
    <n v="1"/>
    <n v="350000"/>
  </r>
  <r>
    <m/>
    <n v="1"/>
    <n v="1"/>
    <s v="MN"/>
    <n v="70"/>
    <s v="MN 70"/>
    <s v="5811-12"/>
    <x v="1"/>
    <m/>
    <s v="S"/>
    <s v="MNDOT"/>
    <m/>
    <s v="0.1 MILES E OF JCT TH 361 TO MINNESOTA WISCONSIN BORDER, MILL &amp; OVERLAY, PROFILE CORRECTIONS, TURN LANES"/>
    <n v="0"/>
    <n v="0"/>
    <n v="9.1999999999999993"/>
    <m/>
    <s v="PINE"/>
    <s v="RS"/>
    <s v="1-P "/>
    <s v="1-P"/>
    <m/>
    <s v="PVTR - PAVEMENT RESURFACE AND REHABILITATION"/>
    <s v="MILL AND OVERLAY"/>
    <s v="STP5K  "/>
    <s v="STP5K"/>
    <m/>
    <m/>
    <n v="7200000"/>
    <n v="0"/>
    <n v="0"/>
    <n v="5760000"/>
    <n v="0"/>
    <n v="5760000"/>
    <n v="0"/>
    <n v="0"/>
    <n v="0"/>
    <n v="0"/>
    <n v="0"/>
    <n v="0"/>
    <n v="0"/>
    <n v="0"/>
    <n v="0"/>
    <n v="0"/>
    <n v="1440000"/>
    <n v="0"/>
    <n v="1440000"/>
    <n v="0"/>
    <n v="0"/>
    <n v="7200000"/>
    <n v="41216412"/>
    <n v="14306200"/>
    <n v="2015"/>
    <m/>
    <m/>
    <m/>
    <m/>
    <m/>
    <s v="NO"/>
    <s v="NO"/>
    <s v="NO"/>
    <s v="8th District"/>
    <s v="NO"/>
    <s v="NO"/>
    <s v="Yes"/>
    <s v="NO"/>
    <n v="0.64"/>
    <n v="4608000"/>
    <s v="Mill and/or overlay"/>
    <m/>
    <m/>
    <m/>
    <m/>
    <n v="0"/>
    <m/>
    <n v="7.0000000000000007E-2"/>
    <n v="504000.00000000006"/>
    <s v="Drainage and culverts"/>
    <m/>
    <m/>
    <m/>
    <n v="0.28999999999999998"/>
    <n v="2087999.9999999998"/>
    <s v="Sustained crash locations"/>
    <m/>
    <m/>
    <m/>
    <m/>
    <n v="0"/>
    <m/>
    <m/>
    <m/>
    <m/>
    <m/>
    <n v="0"/>
    <m/>
    <m/>
    <m/>
    <m/>
    <m/>
    <n v="0"/>
    <m/>
    <m/>
    <m/>
    <m/>
    <m/>
    <n v="0"/>
    <m/>
    <m/>
    <m/>
    <m/>
    <m/>
    <n v="0"/>
    <m/>
    <m/>
    <m/>
    <m/>
    <m/>
    <n v="0"/>
    <m/>
    <m/>
    <m/>
    <m/>
    <n v="1"/>
    <n v="7200000"/>
  </r>
  <r>
    <m/>
    <n v="1"/>
    <n v="1"/>
    <s v="I"/>
    <n v="35"/>
    <s v="I 35"/>
    <s v="5880-180"/>
    <x v="9"/>
    <m/>
    <s v="S"/>
    <s v="MNDOT"/>
    <m/>
    <s v="NB I 35, FROM NORTH OF PINE CO CSAH 33 TO SOUTH OF CARLTON CO LINE, MILL AN OVERLAY"/>
    <s v="202+00.223"/>
    <s v="211+00.542"/>
    <n v="9.3000000000000007"/>
    <m/>
    <s v="PINE"/>
    <s v="RS"/>
    <m/>
    <m/>
    <m/>
    <s v="PVTR - PAVEMENT RESURFACE AND REHABILITATION"/>
    <s v="CULVERT REPAIR"/>
    <s v="NHPP  "/>
    <s v="NHPP"/>
    <m/>
    <m/>
    <n v="5000000"/>
    <m/>
    <m/>
    <n v="4500000"/>
    <m/>
    <n v="4500000"/>
    <m/>
    <m/>
    <m/>
    <n v="0"/>
    <m/>
    <m/>
    <m/>
    <n v="0"/>
    <m/>
    <n v="0"/>
    <n v="500000"/>
    <m/>
    <n v="500000"/>
    <m/>
    <n v="0"/>
    <n v="5000000"/>
    <n v="9510400"/>
    <n v="500000"/>
    <n v="2017"/>
    <m/>
    <s v="$4,000,000 From the Managed Fund"/>
    <m/>
    <m/>
    <m/>
    <s v="NO"/>
    <s v="NO"/>
    <s v="NO"/>
    <s v="8th District"/>
    <s v="NO"/>
    <s v="NO"/>
    <s v="Yes"/>
    <s v="NO"/>
    <n v="0.8"/>
    <n v="4000000"/>
    <s v="Mill and/or overlay"/>
    <m/>
    <m/>
    <m/>
    <m/>
    <n v="0"/>
    <m/>
    <n v="0.2"/>
    <n v="1000000"/>
    <m/>
    <m/>
    <m/>
    <m/>
    <m/>
    <n v="0"/>
    <m/>
    <m/>
    <m/>
    <m/>
    <m/>
    <n v="0"/>
    <m/>
    <m/>
    <m/>
    <m/>
    <m/>
    <n v="0"/>
    <m/>
    <m/>
    <m/>
    <m/>
    <m/>
    <n v="0"/>
    <m/>
    <m/>
    <m/>
    <m/>
    <m/>
    <n v="0"/>
    <m/>
    <m/>
    <m/>
    <m/>
    <m/>
    <n v="0"/>
    <m/>
    <m/>
    <m/>
    <m/>
    <m/>
    <n v="0"/>
    <m/>
    <m/>
    <m/>
    <m/>
    <n v="1"/>
    <n v="5000000"/>
  </r>
  <r>
    <m/>
    <n v="1"/>
    <n v="1"/>
    <s v="I"/>
    <n v="35"/>
    <s v="I 35"/>
    <s v="5880-186"/>
    <x v="2"/>
    <m/>
    <s v="S"/>
    <s v="MNDOT"/>
    <m/>
    <s v="APPROACH WORK AND BRIDGE REPLACEMENT FOR I-35 NB BR# 9784 AND SB BR# 9783 OVER BNSF RR. 2 MI SO. JCT TH 48"/>
    <n v="0"/>
    <n v="0"/>
    <n v="7.0000000000000007E-2"/>
    <m/>
    <s v="PINE"/>
    <s v="BR"/>
    <s v="1-B "/>
    <s v="1-B"/>
    <m/>
    <s v="BRPC - BRIDGE REPLACEMENT OR CONSTRUCTION"/>
    <s v="BRIDGE REPLACEMENT"/>
    <s v="NHPP  "/>
    <s v="NHPP"/>
    <m/>
    <m/>
    <n v="5700000"/>
    <n v="0"/>
    <n v="0"/>
    <n v="5130000"/>
    <n v="0"/>
    <n v="5130000"/>
    <n v="0"/>
    <n v="0"/>
    <n v="0"/>
    <n v="0"/>
    <n v="0"/>
    <n v="0"/>
    <n v="0"/>
    <n v="0"/>
    <n v="0"/>
    <n v="0"/>
    <n v="570000"/>
    <n v="0"/>
    <n v="570000"/>
    <n v="0"/>
    <n v="0"/>
    <n v="5700000"/>
    <n v="19978696"/>
    <n v="570000"/>
    <n v="2016"/>
    <m/>
    <m/>
    <m/>
    <m/>
    <m/>
    <s v="YES"/>
    <s v="NO"/>
    <s v="NO"/>
    <s v="8th District"/>
    <s v="NO"/>
    <s v="NO"/>
    <s v="Yes"/>
    <s v="NO"/>
    <m/>
    <n v="0"/>
    <m/>
    <m/>
    <m/>
    <m/>
    <n v="0.97"/>
    <n v="5529000"/>
    <m/>
    <n v="0.03"/>
    <n v="171000"/>
    <m/>
    <m/>
    <m/>
    <m/>
    <m/>
    <n v="0"/>
    <m/>
    <m/>
    <m/>
    <m/>
    <m/>
    <n v="0"/>
    <m/>
    <m/>
    <m/>
    <m/>
    <m/>
    <n v="0"/>
    <m/>
    <m/>
    <m/>
    <m/>
    <m/>
    <n v="0"/>
    <m/>
    <m/>
    <m/>
    <m/>
    <m/>
    <n v="0"/>
    <m/>
    <m/>
    <m/>
    <m/>
    <m/>
    <n v="0"/>
    <m/>
    <m/>
    <m/>
    <m/>
    <m/>
    <n v="0"/>
    <m/>
    <m/>
    <m/>
    <m/>
    <n v="1"/>
    <n v="5700000"/>
  </r>
  <r>
    <m/>
    <n v="8"/>
    <n v="8"/>
    <s v="MN"/>
    <n v="30"/>
    <s v="MN 30"/>
    <s v="5903-21"/>
    <x v="1"/>
    <m/>
    <s v="S"/>
    <s v="MNDOT"/>
    <m/>
    <s v="8TH AVE. TO E. JCT. US 75 (PIPESTONE), MILL &amp; OVERLAY (BOTH DIRECTIONS)"/>
    <n v="6.9240000000000004"/>
    <n v="8.2850000000000001"/>
    <n v="1.4"/>
    <m/>
    <s v="PIPESTONE"/>
    <s v="RS"/>
    <s v=" "/>
    <m/>
    <m/>
    <s v="PVTR - PAVEMENT RESURFACE AND REHABILITATION"/>
    <s v="MILL AND OVERLAY"/>
    <s v="STP 5K &gt;  "/>
    <s v="STP 5K &gt;"/>
    <m/>
    <m/>
    <n v="1000000"/>
    <n v="0"/>
    <n v="0"/>
    <n v="800000"/>
    <n v="0"/>
    <n v="800000"/>
    <n v="0"/>
    <n v="0"/>
    <n v="0"/>
    <n v="0"/>
    <n v="0"/>
    <n v="0"/>
    <n v="0"/>
    <n v="0"/>
    <n v="0"/>
    <n v="0"/>
    <n v="200000"/>
    <n v="0"/>
    <n v="200000"/>
    <n v="0"/>
    <n v="0"/>
    <n v="1000000"/>
    <n v="15752563"/>
    <n v="4712000"/>
    <n v="2015"/>
    <m/>
    <m/>
    <m/>
    <m/>
    <m/>
    <s v="NO"/>
    <s v="YES"/>
    <s v="NO"/>
    <s v="7th District"/>
    <s v="NO"/>
    <s v="NO"/>
    <s v="Yes"/>
    <s v="NO"/>
    <n v="0.68"/>
    <n v="680000"/>
    <s v="Mill and/or overlay"/>
    <n v="1"/>
    <m/>
    <m/>
    <m/>
    <n v="0"/>
    <m/>
    <n v="0.06"/>
    <n v="60000"/>
    <s v="Drainage and culverts"/>
    <n v="0.9"/>
    <s v="Signals"/>
    <n v="0.1"/>
    <m/>
    <n v="0"/>
    <m/>
    <m/>
    <m/>
    <m/>
    <m/>
    <n v="0"/>
    <m/>
    <m/>
    <m/>
    <m/>
    <m/>
    <n v="0"/>
    <m/>
    <m/>
    <m/>
    <m/>
    <m/>
    <n v="0"/>
    <m/>
    <m/>
    <m/>
    <m/>
    <n v="0.26"/>
    <n v="260000"/>
    <s v="ADA improvements - curb"/>
    <n v="0.9"/>
    <s v="Sidewalk"/>
    <n v="0.1"/>
    <m/>
    <n v="0"/>
    <m/>
    <m/>
    <m/>
    <m/>
    <m/>
    <n v="0"/>
    <m/>
    <m/>
    <m/>
    <m/>
    <n v="1"/>
    <n v="1000000"/>
  </r>
  <r>
    <m/>
    <n v="8"/>
    <n v="8"/>
    <s v="US"/>
    <n v="75"/>
    <s v="US 75"/>
    <s v="5905-25"/>
    <x v="1"/>
    <m/>
    <s v="S"/>
    <s v="MNDOT"/>
    <m/>
    <s v="PIPESTONE CSAH 9 (OLD MN 268) TO E. JCT. MN 30 (PIPESTONE), OVERLAY"/>
    <n v="27.239000000000001"/>
    <n v="35.643999999999998"/>
    <n v="8.4"/>
    <m/>
    <s v="PIPESTONE"/>
    <s v="RS"/>
    <s v=" "/>
    <m/>
    <m/>
    <s v="PVTR - PAVEMENT RESURFACE AND REHABILITATION"/>
    <s v="BITUMINOUS OVERLAY"/>
    <s v="STP 5K &gt;  "/>
    <s v="STP 5K &gt;"/>
    <m/>
    <m/>
    <n v="1200000"/>
    <n v="0"/>
    <n v="0"/>
    <n v="960000"/>
    <n v="0"/>
    <n v="960000"/>
    <n v="0"/>
    <n v="0"/>
    <n v="0"/>
    <n v="0"/>
    <n v="0"/>
    <n v="0"/>
    <n v="0"/>
    <n v="0"/>
    <n v="0"/>
    <n v="0"/>
    <n v="240000"/>
    <n v="0"/>
    <n v="240000"/>
    <n v="0"/>
    <n v="0"/>
    <n v="1200000"/>
    <n v="25622563"/>
    <n v="8639500"/>
    <n v="2015"/>
    <m/>
    <m/>
    <m/>
    <m/>
    <m/>
    <s v="NO"/>
    <s v="NO"/>
    <s v="NO"/>
    <s v="7th District"/>
    <s v="NO"/>
    <s v="NO"/>
    <s v="Yes"/>
    <s v="NO"/>
    <n v="0.93"/>
    <n v="1116000"/>
    <s v="Mill and/or overlay"/>
    <n v="1"/>
    <m/>
    <m/>
    <m/>
    <n v="0"/>
    <m/>
    <n v="7.0000000000000007E-2"/>
    <n v="84000.000000000015"/>
    <s v="Pavement markings"/>
    <n v="1"/>
    <m/>
    <m/>
    <m/>
    <n v="0"/>
    <m/>
    <m/>
    <m/>
    <m/>
    <m/>
    <n v="0"/>
    <m/>
    <m/>
    <m/>
    <m/>
    <m/>
    <n v="0"/>
    <m/>
    <m/>
    <m/>
    <m/>
    <m/>
    <n v="0"/>
    <m/>
    <m/>
    <m/>
    <m/>
    <m/>
    <n v="0"/>
    <m/>
    <m/>
    <m/>
    <m/>
    <m/>
    <n v="0"/>
    <m/>
    <m/>
    <m/>
    <m/>
    <m/>
    <n v="0"/>
    <m/>
    <m/>
    <m/>
    <m/>
    <n v="1"/>
    <n v="1200000"/>
  </r>
  <r>
    <m/>
    <n v="8"/>
    <n v="8"/>
    <s v="US"/>
    <n v="75"/>
    <s v="US 75"/>
    <s v="5906-39"/>
    <x v="2"/>
    <m/>
    <s v="S"/>
    <s v="MNDOT"/>
    <m/>
    <s v="PIPESTONE TO PIPESTONE CREEK, OVERLAY"/>
    <n v="36.636000000000003"/>
    <n v="42.000999999999998"/>
    <n v="5.4"/>
    <m/>
    <s v="PIPESTONE"/>
    <s v="RS"/>
    <s v=" "/>
    <m/>
    <m/>
    <s v="PVTR - PAVEMENT RESURFACE AND REHABILITATION"/>
    <s v="BITUMINOUS OVERLAY"/>
    <s v="SF  "/>
    <s v="SF"/>
    <m/>
    <m/>
    <n v="700000"/>
    <n v="0"/>
    <n v="0"/>
    <n v="0"/>
    <n v="0"/>
    <n v="0"/>
    <n v="0"/>
    <n v="0"/>
    <n v="0"/>
    <n v="0"/>
    <n v="0"/>
    <n v="0"/>
    <n v="0"/>
    <n v="0"/>
    <n v="0"/>
    <n v="0"/>
    <n v="700000"/>
    <n v="0"/>
    <n v="700000"/>
    <n v="0"/>
    <n v="0"/>
    <n v="700000"/>
    <n v="22396734"/>
    <n v="7307500"/>
    <n v="2016"/>
    <m/>
    <m/>
    <m/>
    <m/>
    <m/>
    <s v="NO"/>
    <s v="NO"/>
    <s v="NO"/>
    <s v="7th District"/>
    <s v="NO"/>
    <s v="NO"/>
    <s v="Yes"/>
    <s v="NO"/>
    <n v="0.93"/>
    <n v="651000"/>
    <s v="Mill and/or overlay"/>
    <n v="1"/>
    <m/>
    <m/>
    <m/>
    <n v="0"/>
    <m/>
    <n v="7.0000000000000007E-2"/>
    <n v="49000.000000000007"/>
    <s v="Pavement markings"/>
    <n v="1"/>
    <m/>
    <m/>
    <m/>
    <n v="0"/>
    <m/>
    <m/>
    <m/>
    <m/>
    <m/>
    <n v="0"/>
    <m/>
    <m/>
    <m/>
    <m/>
    <m/>
    <n v="0"/>
    <m/>
    <m/>
    <m/>
    <m/>
    <m/>
    <n v="0"/>
    <m/>
    <m/>
    <m/>
    <m/>
    <m/>
    <n v="0"/>
    <m/>
    <m/>
    <m/>
    <m/>
    <m/>
    <n v="0"/>
    <m/>
    <m/>
    <m/>
    <m/>
    <m/>
    <n v="0"/>
    <m/>
    <m/>
    <m/>
    <m/>
    <n v="1"/>
    <n v="700000"/>
  </r>
  <r>
    <m/>
    <n v="8"/>
    <n v="8"/>
    <s v="MN"/>
    <n v="269"/>
    <s v="MN 269"/>
    <s v="5908-10"/>
    <x v="2"/>
    <m/>
    <s v="S"/>
    <s v="MNDOT"/>
    <m/>
    <s v="SOUTH DAKOTA/MINNESOTA STATE LINE TO MN 23, OVERLAY"/>
    <n v="0"/>
    <n v="2.6480000000000001"/>
    <n v="2.7"/>
    <m/>
    <s v="PIPESTONE"/>
    <s v="RS"/>
    <s v=" "/>
    <m/>
    <m/>
    <s v="PVTR - PAVEMENT RESURFACE AND REHABILITATION"/>
    <s v="BITUMINOUS OVERLAY"/>
    <s v="STP 5K &gt;  "/>
    <s v="STP 5K &gt;"/>
    <m/>
    <m/>
    <n v="780000"/>
    <n v="0"/>
    <n v="0"/>
    <n v="624000"/>
    <n v="0"/>
    <n v="624000"/>
    <n v="0"/>
    <n v="0"/>
    <n v="0"/>
    <n v="0"/>
    <n v="0"/>
    <n v="0"/>
    <n v="0"/>
    <n v="0"/>
    <n v="0"/>
    <n v="0"/>
    <n v="156000"/>
    <n v="0"/>
    <n v="156000"/>
    <n v="0"/>
    <n v="0"/>
    <n v="780000"/>
    <n v="23020734"/>
    <n v="7463500"/>
    <n v="2016"/>
    <m/>
    <m/>
    <m/>
    <m/>
    <m/>
    <s v="NO"/>
    <s v="NO"/>
    <s v="NO"/>
    <s v="7th District"/>
    <s v="NO"/>
    <s v="NO"/>
    <s v="Yes"/>
    <s v="NO"/>
    <n v="0.48"/>
    <n v="374400"/>
    <s v="Mill and/or overlay"/>
    <n v="1"/>
    <m/>
    <m/>
    <m/>
    <n v="0"/>
    <m/>
    <n v="0.03"/>
    <n v="23400"/>
    <s v="Pavement markings"/>
    <n v="1"/>
    <m/>
    <m/>
    <n v="0.49"/>
    <n v="382200"/>
    <s v="Low cost high benefit"/>
    <n v="1"/>
    <m/>
    <m/>
    <m/>
    <n v="0"/>
    <m/>
    <m/>
    <m/>
    <m/>
    <m/>
    <n v="0"/>
    <m/>
    <m/>
    <m/>
    <m/>
    <m/>
    <n v="0"/>
    <m/>
    <m/>
    <m/>
    <m/>
    <m/>
    <n v="0"/>
    <m/>
    <m/>
    <m/>
    <m/>
    <m/>
    <n v="0"/>
    <m/>
    <m/>
    <m/>
    <m/>
    <m/>
    <n v="0"/>
    <m/>
    <m/>
    <m/>
    <m/>
    <n v="1"/>
    <n v="780000"/>
  </r>
  <r>
    <n v="172"/>
    <n v="2"/>
    <n v="2"/>
    <s v="US"/>
    <n v="2"/>
    <s v="US 2"/>
    <s v="6002-72"/>
    <x v="0"/>
    <m/>
    <s v="S"/>
    <s v="MNDOT"/>
    <m/>
    <s v="IN CROOKSTON - SLIDE AREA (DESIGN BUILD)"/>
    <s v="026+00.026"/>
    <s v="026+00.026"/>
    <n v="0"/>
    <s v="CROOKSTON"/>
    <s v="POLK"/>
    <s v="SC"/>
    <m/>
    <m/>
    <m/>
    <s v="APPU-APPURTENANCE"/>
    <s v="SLIDE REPAIR"/>
    <s v="NHPP  "/>
    <s v="NHPP"/>
    <m/>
    <m/>
    <n v="7000000"/>
    <n v="0"/>
    <n v="0"/>
    <n v="5600000"/>
    <n v="0"/>
    <n v="5600000"/>
    <n v="0"/>
    <n v="0"/>
    <n v="0"/>
    <n v="0"/>
    <n v="0"/>
    <n v="0"/>
    <n v="0"/>
    <n v="0"/>
    <n v="0"/>
    <n v="0"/>
    <n v="1400000"/>
    <n v="0"/>
    <n v="1400000"/>
    <n v="0"/>
    <n v="0"/>
    <n v="7000000"/>
    <n v="12884882"/>
    <n v="3840000"/>
    <n v="2014"/>
    <m/>
    <m/>
    <m/>
    <m/>
    <m/>
    <m/>
    <s v="NO"/>
    <s v="NO"/>
    <s v="7th District"/>
    <s v="NO"/>
    <s v="NO"/>
    <s v="Yes"/>
    <s v="NO"/>
    <n v="0"/>
    <n v="0"/>
    <m/>
    <m/>
    <m/>
    <m/>
    <n v="0"/>
    <n v="0"/>
    <m/>
    <n v="0"/>
    <n v="0"/>
    <m/>
    <m/>
    <m/>
    <m/>
    <n v="0"/>
    <n v="0"/>
    <m/>
    <m/>
    <m/>
    <m/>
    <n v="0"/>
    <n v="0"/>
    <m/>
    <m/>
    <m/>
    <m/>
    <n v="0"/>
    <n v="0"/>
    <m/>
    <m/>
    <m/>
    <m/>
    <n v="0"/>
    <n v="0"/>
    <m/>
    <m/>
    <m/>
    <m/>
    <n v="0"/>
    <n v="0"/>
    <m/>
    <m/>
    <m/>
    <m/>
    <n v="1"/>
    <n v="7000000"/>
    <m/>
    <m/>
    <m/>
    <m/>
    <n v="0"/>
    <n v="0"/>
    <m/>
    <m/>
    <m/>
    <m/>
    <n v="1"/>
    <n v="7000000"/>
  </r>
  <r>
    <m/>
    <n v="2"/>
    <n v="2"/>
    <s v="US"/>
    <n v="2"/>
    <s v="US 2"/>
    <s v="6005-61"/>
    <x v="1"/>
    <m/>
    <s v="S"/>
    <s v="MNDOT"/>
    <m/>
    <s v="EBL - FROM 0.7 MI E OF FOSSTON TO 3.4 MI E OF FOSSTON, RECONDITIONING"/>
    <s v="071+00.572"/>
    <s v="074+00.326"/>
    <n v="2.8"/>
    <m/>
    <s v="POLK"/>
    <s v="RD"/>
    <m/>
    <m/>
    <m/>
    <s v="PVTR - PAVEMENT RESURFACE AND REHABILITATION"/>
    <s v="BITUMINOUS RECLAMATION"/>
    <s v="NHPP  "/>
    <s v="NHPP"/>
    <m/>
    <m/>
    <n v="1753000"/>
    <n v="0"/>
    <n v="0"/>
    <n v="1402400"/>
    <n v="0"/>
    <n v="1402400"/>
    <n v="0"/>
    <n v="0"/>
    <n v="0"/>
    <n v="0"/>
    <n v="0"/>
    <n v="0"/>
    <n v="0"/>
    <n v="0"/>
    <n v="0"/>
    <n v="0"/>
    <n v="350600"/>
    <n v="0"/>
    <n v="350600"/>
    <n v="0"/>
    <n v="0"/>
    <n v="1753000"/>
    <n v="7745835"/>
    <n v="350600"/>
    <n v="2015"/>
    <m/>
    <m/>
    <m/>
    <m/>
    <m/>
    <m/>
    <s v="NO"/>
    <s v="NO"/>
    <s v="7th District"/>
    <s v="NO"/>
    <s v="NO"/>
    <s v="Yes"/>
    <s v="NO"/>
    <n v="0.82099999999999995"/>
    <n v="1439213"/>
    <m/>
    <m/>
    <m/>
    <m/>
    <n v="0"/>
    <n v="0"/>
    <m/>
    <n v="0.115"/>
    <n v="201595"/>
    <m/>
    <m/>
    <m/>
    <m/>
    <n v="3.2000000000000001E-2"/>
    <n v="56096"/>
    <m/>
    <m/>
    <m/>
    <m/>
    <n v="0"/>
    <n v="0"/>
    <m/>
    <m/>
    <m/>
    <m/>
    <n v="0"/>
    <n v="0"/>
    <m/>
    <m/>
    <m/>
    <m/>
    <n v="2.3E-2"/>
    <n v="40319"/>
    <m/>
    <m/>
    <m/>
    <m/>
    <n v="9.0000000000000011E-3"/>
    <n v="15777.000000000002"/>
    <m/>
    <m/>
    <m/>
    <m/>
    <n v="0"/>
    <n v="0"/>
    <m/>
    <m/>
    <m/>
    <m/>
    <n v="0"/>
    <n v="0"/>
    <m/>
    <m/>
    <m/>
    <m/>
    <n v="1"/>
    <n v="1753000"/>
  </r>
  <r>
    <m/>
    <n v="2"/>
    <n v="2"/>
    <s v="US"/>
    <n v="75"/>
    <s v="US 75"/>
    <s v="6011-24"/>
    <x v="2"/>
    <s v="2014-24"/>
    <s v="S"/>
    <s v="MNDOT"/>
    <m/>
    <s v="ON US75 FROM N OF US2 TO S OF MN1 IN WARREN, RESURFACING &amp; REPL 7 BRIDGES: BR #8392, BR #3958, BR #8393, BR #8394, BR #3959, BR #4463 &amp; BR #6361 AND ON MN1 FROM E END OF BR #9100 TO E LIMITS OF OSLO, RESURFACING"/>
    <s v="330+00.700"/>
    <s v="350+00.020"/>
    <n v="16.100000000000001"/>
    <m/>
    <s v="POLK"/>
    <s v="RS"/>
    <s v="1-P 1-B"/>
    <s v="1-P"/>
    <s v="1-B"/>
    <s v="PVTR - PAVEMENT RESURFACE AND REHABILITATION"/>
    <s v="MILL AND OVERLAY"/>
    <s v="STP&lt;5K  "/>
    <s v="STP&lt;5K"/>
    <m/>
    <m/>
    <n v="5800000"/>
    <n v="0"/>
    <n v="0"/>
    <n v="4640000"/>
    <n v="0"/>
    <n v="4640000"/>
    <n v="0"/>
    <n v="0"/>
    <n v="0"/>
    <n v="0"/>
    <n v="0"/>
    <n v="0"/>
    <n v="0"/>
    <n v="0"/>
    <n v="0"/>
    <n v="0"/>
    <n v="1160000"/>
    <n v="0"/>
    <n v="1160000"/>
    <n v="0"/>
    <n v="0"/>
    <n v="5800000"/>
    <n v="83022649"/>
    <n v="36050288"/>
    <n v="2016"/>
    <m/>
    <m/>
    <m/>
    <m/>
    <m/>
    <m/>
    <s v="NO"/>
    <s v="NO"/>
    <s v="7th District"/>
    <s v="NO"/>
    <s v="NO"/>
    <s v="Yes"/>
    <s v="NO"/>
    <n v="0.69099999999999995"/>
    <n v="4007799.9999999995"/>
    <m/>
    <m/>
    <m/>
    <m/>
    <n v="0.13"/>
    <n v="754000"/>
    <m/>
    <n v="0.115"/>
    <n v="667000"/>
    <m/>
    <m/>
    <m/>
    <m/>
    <n v="3.2000000000000001E-2"/>
    <n v="185600"/>
    <m/>
    <m/>
    <m/>
    <m/>
    <n v="0"/>
    <n v="0"/>
    <m/>
    <m/>
    <m/>
    <m/>
    <n v="0"/>
    <n v="0"/>
    <m/>
    <m/>
    <m/>
    <m/>
    <n v="2.3E-2"/>
    <n v="133400"/>
    <m/>
    <m/>
    <m/>
    <m/>
    <n v="9.0000000000000011E-3"/>
    <n v="52200.000000000007"/>
    <m/>
    <m/>
    <m/>
    <m/>
    <n v="0"/>
    <n v="0"/>
    <m/>
    <m/>
    <m/>
    <m/>
    <n v="0"/>
    <n v="0"/>
    <m/>
    <m/>
    <m/>
    <m/>
    <n v="1"/>
    <n v="5800000"/>
  </r>
  <r>
    <m/>
    <n v="2"/>
    <n v="2"/>
    <s v="US"/>
    <n v="75"/>
    <s v="US 75"/>
    <s v="6012-49"/>
    <x v="2"/>
    <s v="2016-S09"/>
    <s v="S"/>
    <s v="MNDOT"/>
    <m/>
    <s v="IN NIELSVILLE &amp; IN CLIMAX - URBAN RECONSTRUCTION"/>
    <s v="296+00.900"/>
    <s v="302+00.854"/>
    <n v="1"/>
    <s v="CLIMAX"/>
    <s v="POLK"/>
    <s v="RC"/>
    <s v="1-P "/>
    <s v="1-P"/>
    <m/>
    <s v="GRSU - GRADE AND SURFACE"/>
    <s v="CONCRETE PAVEMENT REHAB"/>
    <s v="SF  "/>
    <s v="SF"/>
    <m/>
    <m/>
    <n v="1540000"/>
    <n v="0"/>
    <n v="0"/>
    <n v="0"/>
    <n v="0"/>
    <n v="0"/>
    <n v="0"/>
    <n v="0"/>
    <n v="0"/>
    <n v="0"/>
    <n v="0"/>
    <n v="0"/>
    <n v="0"/>
    <n v="0"/>
    <n v="0"/>
    <n v="0"/>
    <n v="1540000"/>
    <n v="0"/>
    <n v="1540000"/>
    <n v="0"/>
    <n v="0"/>
    <n v="1540000"/>
    <n v="33891451"/>
    <n v="14574294"/>
    <n v="2016"/>
    <m/>
    <m/>
    <m/>
    <m/>
    <m/>
    <m/>
    <s v="NO"/>
    <s v="NO"/>
    <s v="7th District"/>
    <s v="NO"/>
    <s v="NO"/>
    <s v="Yes"/>
    <s v="NO"/>
    <n v="0"/>
    <n v="0"/>
    <m/>
    <m/>
    <m/>
    <m/>
    <n v="0"/>
    <n v="0"/>
    <m/>
    <n v="0"/>
    <n v="0"/>
    <m/>
    <m/>
    <m/>
    <m/>
    <n v="0"/>
    <n v="0"/>
    <m/>
    <m/>
    <m/>
    <m/>
    <n v="0"/>
    <n v="0"/>
    <m/>
    <m/>
    <m/>
    <m/>
    <n v="0"/>
    <n v="0"/>
    <m/>
    <m/>
    <m/>
    <m/>
    <n v="0"/>
    <n v="0"/>
    <m/>
    <m/>
    <m/>
    <m/>
    <n v="0"/>
    <n v="0"/>
    <m/>
    <m/>
    <m/>
    <m/>
    <n v="1"/>
    <n v="1540000"/>
    <m/>
    <m/>
    <m/>
    <m/>
    <n v="0"/>
    <n v="0"/>
    <m/>
    <m/>
    <m/>
    <m/>
    <n v="1"/>
    <n v="1540000"/>
  </r>
  <r>
    <m/>
    <n v="2"/>
    <n v="2"/>
    <s v="MN"/>
    <n v="220"/>
    <s v="MN 220"/>
    <s v="6016-41"/>
    <x v="1"/>
    <s v="2015-16"/>
    <s v="S"/>
    <s v="MNDOT"/>
    <n v="2"/>
    <s v="MN220, SE OF EAST GRAND FORKS, UPGRADE GATES"/>
    <n v="0"/>
    <n v="0"/>
    <n v="0"/>
    <m/>
    <s v="POLK"/>
    <s v="SR"/>
    <s v=" "/>
    <m/>
    <m/>
    <s v="TRCD - TRAFFIC CONTROL DEVICES"/>
    <s v="RAILROAD SIGNALS"/>
    <s v="RRS  "/>
    <s v="RRS"/>
    <m/>
    <m/>
    <n v="250000"/>
    <n v="0"/>
    <n v="0"/>
    <n v="0"/>
    <n v="250000"/>
    <n v="250000"/>
    <n v="0"/>
    <n v="0"/>
    <n v="0"/>
    <n v="0"/>
    <n v="0"/>
    <n v="0"/>
    <n v="0"/>
    <n v="0"/>
    <n v="0"/>
    <n v="0"/>
    <n v="0"/>
    <n v="0"/>
    <n v="0"/>
    <n v="0"/>
    <n v="0"/>
    <n v="250000"/>
    <n v="312000"/>
    <n v="0"/>
    <n v="2015"/>
    <m/>
    <s v="100% Federally funded."/>
    <m/>
    <m/>
    <m/>
    <m/>
    <s v="NO"/>
    <s v="NO"/>
    <s v="7th District"/>
    <s v="NO"/>
    <s v="NO"/>
    <s v="NO"/>
    <s v="NO"/>
    <n v="0"/>
    <n v="0"/>
    <m/>
    <m/>
    <m/>
    <m/>
    <n v="0"/>
    <n v="0"/>
    <m/>
    <n v="1"/>
    <n v="250000"/>
    <m/>
    <m/>
    <m/>
    <m/>
    <n v="0"/>
    <n v="0"/>
    <m/>
    <m/>
    <m/>
    <m/>
    <n v="0"/>
    <n v="0"/>
    <m/>
    <m/>
    <m/>
    <m/>
    <n v="0"/>
    <n v="0"/>
    <m/>
    <m/>
    <m/>
    <m/>
    <n v="0"/>
    <n v="0"/>
    <m/>
    <m/>
    <m/>
    <m/>
    <n v="0"/>
    <n v="0"/>
    <m/>
    <m/>
    <m/>
    <m/>
    <n v="0"/>
    <n v="0"/>
    <m/>
    <m/>
    <m/>
    <m/>
    <n v="0"/>
    <n v="0"/>
    <m/>
    <m/>
    <m/>
    <m/>
    <n v="1"/>
    <n v="250000"/>
  </r>
  <r>
    <m/>
    <n v="2"/>
    <n v="2"/>
    <s v="MN"/>
    <n v="220"/>
    <s v="MN 220"/>
    <s v="6017-41"/>
    <x v="9"/>
    <m/>
    <s v="S"/>
    <s v="MNDOT"/>
    <m/>
    <s v="8.2 MI N OF EAST GRAND FORKS &amp; 5.6 MI S OF ALVARADO, REPL BR #6970 &amp; BR #6915 &amp; APPROACHES"/>
    <s v="035+00.063"/>
    <s v="040+00.084"/>
    <n v="0.2"/>
    <m/>
    <s v="POLK"/>
    <s v="BR"/>
    <m/>
    <m/>
    <m/>
    <s v="BRPC - BRIDGE REPLACEMENT OR CONSTRUCTION"/>
    <s v="BRIDGE REPLACEMENT"/>
    <s v="STP&lt;5K  "/>
    <s v="STP&lt;5K"/>
    <m/>
    <m/>
    <n v="1600000"/>
    <n v="0"/>
    <n v="0"/>
    <n v="1280000"/>
    <n v="0"/>
    <n v="1280000"/>
    <n v="0"/>
    <n v="0"/>
    <n v="0"/>
    <n v="0"/>
    <n v="0"/>
    <n v="0"/>
    <n v="0"/>
    <n v="0"/>
    <n v="0"/>
    <n v="0"/>
    <n v="320000"/>
    <n v="0"/>
    <n v="320000"/>
    <n v="0"/>
    <n v="0"/>
    <n v="1600000"/>
    <n v="15771400"/>
    <n v="2995778"/>
    <n v="2017"/>
    <m/>
    <m/>
    <m/>
    <m/>
    <m/>
    <m/>
    <s v="NO"/>
    <s v="NO"/>
    <s v="7th District"/>
    <s v="NO"/>
    <s v="NO"/>
    <s v="Yes"/>
    <s v="NO"/>
    <n v="0"/>
    <n v="0"/>
    <m/>
    <m/>
    <m/>
    <m/>
    <n v="0.92900000000000005"/>
    <n v="1486400"/>
    <m/>
    <n v="0"/>
    <n v="0"/>
    <m/>
    <m/>
    <m/>
    <m/>
    <n v="0"/>
    <n v="0"/>
    <m/>
    <m/>
    <m/>
    <m/>
    <n v="0"/>
    <n v="0"/>
    <m/>
    <m/>
    <m/>
    <m/>
    <n v="0"/>
    <n v="0"/>
    <m/>
    <m/>
    <m/>
    <m/>
    <n v="3.5000000000000003E-2"/>
    <n v="56000.000000000007"/>
    <m/>
    <m/>
    <m/>
    <m/>
    <n v="3.6000000000000004E-2"/>
    <n v="57600.000000000007"/>
    <m/>
    <m/>
    <m/>
    <m/>
    <n v="0"/>
    <n v="0"/>
    <m/>
    <m/>
    <m/>
    <m/>
    <n v="0"/>
    <n v="0"/>
    <m/>
    <m/>
    <m/>
    <m/>
    <n v="1"/>
    <n v="1600000"/>
  </r>
  <r>
    <m/>
    <n v="2"/>
    <n v="2"/>
    <s v="US"/>
    <n v="2"/>
    <s v="US 2"/>
    <s v="6018-02"/>
    <x v="2"/>
    <s v="2016-29"/>
    <s v="S"/>
    <s v="MNDOT"/>
    <n v="2"/>
    <s v="**BP08** IN EAST GRAND FORKS , OVER THE RED RIVER OF THE NORTH, REPAIR BR #9090 (KENNEDY BR ) (MN LEAD) (CH 152)"/>
    <s v="000+00.000"/>
    <s v="000+00.000"/>
    <n v="0"/>
    <s v="EAST GRAND FORKS"/>
    <s v="POLK"/>
    <s v="BI"/>
    <s v="1-BPM "/>
    <s v="1-BPM"/>
    <m/>
    <s v="BRRH - BRIDGE REHABILITATION"/>
    <s v="REDECK"/>
    <s v="NHPP LF BF"/>
    <s v="NHPP"/>
    <s v="LF"/>
    <s v="BF"/>
    <n v="25000000"/>
    <n v="0"/>
    <n v="0"/>
    <n v="10000000"/>
    <n v="0"/>
    <n v="10000000"/>
    <n v="0"/>
    <n v="0"/>
    <n v="0"/>
    <n v="0"/>
    <n v="0"/>
    <n v="0"/>
    <n v="0"/>
    <n v="0"/>
    <n v="0"/>
    <n v="0"/>
    <n v="0"/>
    <n v="0"/>
    <n v="0"/>
    <n v="2500000"/>
    <n v="12500000"/>
    <n v="25000000"/>
    <n v="28933804"/>
    <n v="2939000"/>
    <n v="2016"/>
    <m/>
    <s v="MNDOT LEAD AGENCY_x000a_OTHER $ = NORTH DAKOTA SHARE."/>
    <s v="BP08"/>
    <n v="12500000"/>
    <m/>
    <s v="YES"/>
    <s v="NO"/>
    <s v="NO"/>
    <s v="7th District"/>
    <s v="NO"/>
    <s v="NO"/>
    <s v="NO"/>
    <s v="NO"/>
    <n v="0"/>
    <n v="0"/>
    <m/>
    <m/>
    <m/>
    <m/>
    <n v="0.92900000000000005"/>
    <n v="11612500"/>
    <m/>
    <n v="0"/>
    <n v="0"/>
    <m/>
    <m/>
    <m/>
    <m/>
    <n v="0"/>
    <n v="0"/>
    <m/>
    <m/>
    <m/>
    <m/>
    <n v="0"/>
    <n v="0"/>
    <m/>
    <m/>
    <m/>
    <m/>
    <n v="0"/>
    <n v="0"/>
    <m/>
    <m/>
    <m/>
    <m/>
    <n v="3.5000000000000003E-2"/>
    <n v="437500.00000000006"/>
    <m/>
    <m/>
    <m/>
    <m/>
    <n v="3.6000000000000004E-2"/>
    <n v="450000.00000000006"/>
    <m/>
    <m/>
    <m/>
    <m/>
    <n v="0"/>
    <n v="0"/>
    <m/>
    <m/>
    <m/>
    <m/>
    <n v="0"/>
    <n v="0"/>
    <m/>
    <m/>
    <m/>
    <m/>
    <n v="1"/>
    <n v="12500000"/>
  </r>
  <r>
    <m/>
    <s v="M"/>
    <s v="M"/>
    <s v="MN"/>
    <n v="5"/>
    <s v="MN 5"/>
    <s v="6201-86"/>
    <x v="0"/>
    <m/>
    <s v="S"/>
    <s v="MNDOT"/>
    <n v="7"/>
    <s v="FROM MN55 IN MPLS TO DAVERN AVE ST IN ST PAUL - REDECK BRIDGE 9300, PAINT BRIDGES 9300 AND 9491, MINOR REPAIRS TO BRIDGES 9489, 9490 AND 9491, MINOR CONCRETE PAVEMENT REPAIR"/>
    <m/>
    <m/>
    <m/>
    <m/>
    <m/>
    <m/>
    <m/>
    <m/>
    <m/>
    <m/>
    <m/>
    <m/>
    <m/>
    <m/>
    <m/>
    <n v="11025000"/>
    <m/>
    <m/>
    <m/>
    <m/>
    <m/>
    <m/>
    <m/>
    <m/>
    <m/>
    <m/>
    <m/>
    <m/>
    <m/>
    <m/>
    <m/>
    <m/>
    <m/>
    <m/>
    <m/>
    <n v="0"/>
    <m/>
    <m/>
    <m/>
    <m/>
    <m/>
    <m/>
    <m/>
    <m/>
    <m/>
    <m/>
    <m/>
    <m/>
    <m/>
    <m/>
    <m/>
    <m/>
    <m/>
    <n v="2.2118545586739775E-2"/>
    <n v="243856.96509380601"/>
    <m/>
    <m/>
    <m/>
    <m/>
    <n v="0.96364501992364326"/>
    <n v="10624186.344658166"/>
    <m/>
    <n v="1.0052795931317398E-2"/>
    <n v="110832.07514277431"/>
    <s v="Drainage and culverts"/>
    <m/>
    <m/>
    <m/>
    <m/>
    <n v="0"/>
    <m/>
    <n v="0.99999999999999989"/>
    <m/>
    <m/>
    <m/>
    <n v="0"/>
    <m/>
    <m/>
    <m/>
    <m/>
    <n v="4.1836385582995584E-3"/>
    <n v="46124.615105252633"/>
    <m/>
    <m/>
    <m/>
    <m/>
    <m/>
    <n v="0"/>
    <m/>
    <m/>
    <m/>
    <m/>
    <m/>
    <n v="0"/>
    <m/>
    <m/>
    <m/>
    <m/>
    <m/>
    <n v="0"/>
    <m/>
    <m/>
    <m/>
    <m/>
    <m/>
    <n v="0"/>
    <m/>
    <m/>
    <m/>
    <m/>
    <n v="0.99999999999999989"/>
    <n v="11025000"/>
  </r>
  <r>
    <m/>
    <s v="M"/>
    <s v="M"/>
    <s v="MN"/>
    <n v="5"/>
    <s v="MN 5"/>
    <s v="6201-87"/>
    <x v="2"/>
    <m/>
    <s v="S"/>
    <s v="MNDOT"/>
    <n v="7"/>
    <s v="**BP08**FROM HENNEPIN/RAMSEY CO LINE TO W 6TH ST IN ST PAUL-BUS STOP BUMPOUTS FOR RAPID BUS SERVICE (CHP 152 TRANSIT ADVANTAGE BONDS)"/>
    <m/>
    <m/>
    <m/>
    <m/>
    <m/>
    <m/>
    <m/>
    <m/>
    <m/>
    <m/>
    <m/>
    <m/>
    <m/>
    <m/>
    <m/>
    <n v="5000000"/>
    <m/>
    <m/>
    <m/>
    <m/>
    <m/>
    <m/>
    <m/>
    <m/>
    <m/>
    <m/>
    <m/>
    <m/>
    <m/>
    <m/>
    <m/>
    <m/>
    <m/>
    <m/>
    <m/>
    <n v="0"/>
    <m/>
    <m/>
    <m/>
    <m/>
    <m/>
    <m/>
    <m/>
    <m/>
    <m/>
    <m/>
    <m/>
    <m/>
    <m/>
    <m/>
    <m/>
    <m/>
    <m/>
    <m/>
    <n v="0"/>
    <m/>
    <m/>
    <m/>
    <m/>
    <m/>
    <n v="0"/>
    <m/>
    <m/>
    <n v="0"/>
    <m/>
    <m/>
    <m/>
    <m/>
    <m/>
    <n v="0"/>
    <m/>
    <n v="1"/>
    <m/>
    <m/>
    <m/>
    <n v="0"/>
    <m/>
    <m/>
    <m/>
    <m/>
    <n v="1"/>
    <n v="5000000"/>
    <m/>
    <m/>
    <m/>
    <m/>
    <m/>
    <n v="0"/>
    <m/>
    <m/>
    <m/>
    <m/>
    <m/>
    <n v="0"/>
    <m/>
    <m/>
    <m/>
    <m/>
    <m/>
    <n v="0"/>
    <m/>
    <m/>
    <m/>
    <m/>
    <m/>
    <n v="0"/>
    <m/>
    <m/>
    <m/>
    <m/>
    <n v="1"/>
    <n v="5000000"/>
  </r>
  <r>
    <n v="116"/>
    <s v="M"/>
    <s v="M"/>
    <s v="MN"/>
    <n v="36"/>
    <s v="MN 36"/>
    <s v="6211-102"/>
    <x v="1"/>
    <m/>
    <s v="S"/>
    <s v="MNDOT"/>
    <n v="7"/>
    <s v="FROM US61 IN MAPLEWOOD TO MN120 IN N ST PAUL-INSTALL TMS"/>
    <m/>
    <m/>
    <m/>
    <m/>
    <m/>
    <m/>
    <m/>
    <m/>
    <m/>
    <m/>
    <m/>
    <m/>
    <m/>
    <m/>
    <m/>
    <n v="1200000"/>
    <m/>
    <m/>
    <m/>
    <m/>
    <m/>
    <m/>
    <m/>
    <m/>
    <m/>
    <m/>
    <m/>
    <m/>
    <m/>
    <m/>
    <m/>
    <m/>
    <m/>
    <m/>
    <m/>
    <n v="0"/>
    <m/>
    <m/>
    <m/>
    <m/>
    <m/>
    <m/>
    <m/>
    <m/>
    <m/>
    <m/>
    <m/>
    <m/>
    <m/>
    <m/>
    <m/>
    <m/>
    <m/>
    <m/>
    <n v="0"/>
    <m/>
    <m/>
    <m/>
    <m/>
    <m/>
    <n v="0"/>
    <m/>
    <n v="1"/>
    <n v="1200000"/>
    <s v="Other traffic devices"/>
    <m/>
    <m/>
    <m/>
    <m/>
    <n v="0"/>
    <m/>
    <n v="1"/>
    <m/>
    <m/>
    <m/>
    <n v="0"/>
    <m/>
    <m/>
    <m/>
    <m/>
    <m/>
    <n v="0"/>
    <m/>
    <m/>
    <m/>
    <m/>
    <m/>
    <n v="0"/>
    <m/>
    <m/>
    <m/>
    <m/>
    <m/>
    <n v="0"/>
    <m/>
    <m/>
    <m/>
    <m/>
    <m/>
    <n v="0"/>
    <m/>
    <m/>
    <m/>
    <m/>
    <m/>
    <n v="0"/>
    <m/>
    <m/>
    <m/>
    <m/>
    <n v="1"/>
    <n v="1200000"/>
  </r>
  <r>
    <m/>
    <s v="M"/>
    <s v="M"/>
    <s v="MN"/>
    <n v="36"/>
    <s v="MN 36"/>
    <s v="6212-148"/>
    <x v="1"/>
    <m/>
    <s v="S"/>
    <s v="MNDOT"/>
    <n v="7"/>
    <s v="OVER LEXINGTON AVENUE IN ROSEVILLE-REPLACE BRIDGE 5723 AND APPROACHES, SIGNALS, TMS, ADA, GUARDRAIL, STORM SEWER AND PONDS "/>
    <m/>
    <m/>
    <m/>
    <m/>
    <m/>
    <m/>
    <m/>
    <m/>
    <m/>
    <m/>
    <m/>
    <m/>
    <m/>
    <m/>
    <m/>
    <n v="13600000"/>
    <m/>
    <m/>
    <m/>
    <m/>
    <m/>
    <m/>
    <m/>
    <m/>
    <m/>
    <m/>
    <m/>
    <m/>
    <m/>
    <m/>
    <m/>
    <m/>
    <m/>
    <m/>
    <m/>
    <n v="220000"/>
    <m/>
    <m/>
    <m/>
    <m/>
    <m/>
    <m/>
    <m/>
    <m/>
    <m/>
    <m/>
    <m/>
    <m/>
    <m/>
    <m/>
    <m/>
    <m/>
    <m/>
    <m/>
    <n v="0"/>
    <m/>
    <m/>
    <m/>
    <m/>
    <n v="0.86467652577056087"/>
    <n v="11569371.914810104"/>
    <m/>
    <n v="7.0255174026484943E-2"/>
    <n v="940014.22847436857"/>
    <s v="Drainage and culverts"/>
    <m/>
    <m/>
    <m/>
    <m/>
    <n v="0"/>
    <m/>
    <n v="1"/>
    <m/>
    <m/>
    <m/>
    <n v="0"/>
    <m/>
    <m/>
    <m/>
    <m/>
    <n v="3.4720973435904981E-2"/>
    <n v="464566.62457240862"/>
    <m/>
    <m/>
    <m/>
    <m/>
    <m/>
    <n v="0"/>
    <m/>
    <m/>
    <m/>
    <m/>
    <n v="3.0347326767049206E-2"/>
    <n v="406047.2321431184"/>
    <m/>
    <m/>
    <m/>
    <m/>
    <m/>
    <n v="0"/>
    <m/>
    <m/>
    <m/>
    <m/>
    <m/>
    <n v="0"/>
    <m/>
    <m/>
    <m/>
    <m/>
    <n v="1"/>
    <n v="13380000.000000002"/>
  </r>
  <r>
    <m/>
    <s v="M"/>
    <s v="M"/>
    <s v="MN"/>
    <n v="51"/>
    <s v="MN 51"/>
    <s v="6215-100"/>
    <x v="1"/>
    <m/>
    <s v="S"/>
    <s v="MNDOT"/>
    <n v="7"/>
    <s v="**BP08**FROM JUST S OF W FORD PKWY IN ST PAUL TO JUST N OF MN36 IN ROSEVILLE-BUS STOP BUMPOUTS FOR RAPID BUS SERVICE (CHP 152 TRANSIT ADVANTAGE BONDS)"/>
    <m/>
    <m/>
    <m/>
    <m/>
    <m/>
    <m/>
    <m/>
    <m/>
    <m/>
    <m/>
    <m/>
    <m/>
    <m/>
    <m/>
    <m/>
    <n v="6000000"/>
    <m/>
    <m/>
    <m/>
    <m/>
    <m/>
    <m/>
    <m/>
    <m/>
    <m/>
    <m/>
    <m/>
    <m/>
    <m/>
    <m/>
    <m/>
    <m/>
    <m/>
    <m/>
    <m/>
    <n v="0"/>
    <m/>
    <m/>
    <m/>
    <m/>
    <m/>
    <m/>
    <m/>
    <m/>
    <m/>
    <m/>
    <m/>
    <m/>
    <m/>
    <m/>
    <m/>
    <m/>
    <m/>
    <m/>
    <n v="0"/>
    <m/>
    <m/>
    <m/>
    <m/>
    <m/>
    <n v="0"/>
    <m/>
    <m/>
    <n v="0"/>
    <m/>
    <m/>
    <m/>
    <m/>
    <m/>
    <n v="0"/>
    <m/>
    <n v="1"/>
    <m/>
    <m/>
    <m/>
    <n v="0"/>
    <m/>
    <m/>
    <m/>
    <m/>
    <n v="1"/>
    <n v="6000000"/>
    <m/>
    <m/>
    <m/>
    <m/>
    <m/>
    <n v="0"/>
    <m/>
    <m/>
    <m/>
    <m/>
    <m/>
    <n v="0"/>
    <m/>
    <m/>
    <m/>
    <m/>
    <m/>
    <n v="0"/>
    <m/>
    <m/>
    <m/>
    <m/>
    <m/>
    <n v="0"/>
    <m/>
    <m/>
    <m/>
    <m/>
    <n v="1"/>
    <n v="6000000"/>
  </r>
  <r>
    <m/>
    <s v="M"/>
    <s v="M"/>
    <s v="MN"/>
    <n v="51"/>
    <s v="MN 51"/>
    <s v="6215-101"/>
    <x v="9"/>
    <m/>
    <s v="S"/>
    <s v="MNDOT"/>
    <n v="7"/>
    <s v="FROM DAYTON AVE TO PIERCE BUTLER IN ST PAUL-MILL AND OVERLAY"/>
    <m/>
    <m/>
    <m/>
    <m/>
    <m/>
    <m/>
    <m/>
    <m/>
    <m/>
    <m/>
    <m/>
    <m/>
    <m/>
    <m/>
    <m/>
    <n v="1500000"/>
    <m/>
    <m/>
    <m/>
    <m/>
    <m/>
    <m/>
    <m/>
    <m/>
    <m/>
    <m/>
    <m/>
    <m/>
    <m/>
    <m/>
    <m/>
    <m/>
    <m/>
    <m/>
    <m/>
    <n v="0"/>
    <m/>
    <m/>
    <m/>
    <m/>
    <m/>
    <m/>
    <m/>
    <m/>
    <m/>
    <m/>
    <m/>
    <m/>
    <m/>
    <m/>
    <m/>
    <m/>
    <m/>
    <n v="0.82099999999999995"/>
    <n v="1231500"/>
    <m/>
    <m/>
    <m/>
    <m/>
    <m/>
    <n v="0"/>
    <m/>
    <n v="0.115"/>
    <n v="172500"/>
    <s v="Other structures"/>
    <m/>
    <m/>
    <m/>
    <n v="3.2000000000000001E-2"/>
    <n v="48000"/>
    <s v="Low cost high benefit"/>
    <n v="1"/>
    <m/>
    <m/>
    <m/>
    <n v="0"/>
    <m/>
    <m/>
    <m/>
    <m/>
    <m/>
    <n v="0"/>
    <m/>
    <m/>
    <m/>
    <m/>
    <n v="2.3E-2"/>
    <n v="34500"/>
    <m/>
    <m/>
    <m/>
    <m/>
    <n v="8.9999999999999993E-3"/>
    <n v="13499.999999999998"/>
    <m/>
    <m/>
    <m/>
    <m/>
    <m/>
    <n v="0"/>
    <m/>
    <m/>
    <m/>
    <m/>
    <m/>
    <n v="0"/>
    <m/>
    <m/>
    <m/>
    <m/>
    <n v="1"/>
    <n v="1500000"/>
  </r>
  <r>
    <m/>
    <s v="M"/>
    <s v="M"/>
    <s v="MN"/>
    <n v="51"/>
    <s v="MN 51"/>
    <s v="6216-127"/>
    <x v="9"/>
    <m/>
    <s v="S"/>
    <s v="MNDOT"/>
    <n v="7"/>
    <s v="FROM COMO AVE IN ST PAUL TO MN36 IN ROSEVILLE-CPR AND DIAMOND GRINDING"/>
    <m/>
    <m/>
    <m/>
    <m/>
    <m/>
    <m/>
    <m/>
    <m/>
    <m/>
    <m/>
    <m/>
    <m/>
    <m/>
    <m/>
    <m/>
    <n v="2750000"/>
    <m/>
    <m/>
    <m/>
    <m/>
    <m/>
    <m/>
    <m/>
    <m/>
    <m/>
    <m/>
    <m/>
    <m/>
    <m/>
    <m/>
    <m/>
    <m/>
    <m/>
    <m/>
    <m/>
    <n v="0"/>
    <m/>
    <m/>
    <m/>
    <m/>
    <m/>
    <m/>
    <m/>
    <m/>
    <m/>
    <m/>
    <m/>
    <m/>
    <m/>
    <m/>
    <m/>
    <m/>
    <m/>
    <n v="0.91772369819624222"/>
    <n v="2523740.1700396659"/>
    <m/>
    <m/>
    <m/>
    <m/>
    <m/>
    <n v="0"/>
    <m/>
    <n v="7.9960999832171406E-2"/>
    <n v="219892.74953847137"/>
    <s v="Drainage and culverts"/>
    <m/>
    <m/>
    <m/>
    <m/>
    <n v="0"/>
    <m/>
    <n v="1"/>
    <m/>
    <m/>
    <m/>
    <n v="0"/>
    <m/>
    <m/>
    <m/>
    <m/>
    <n v="2.3153019715863531E-3"/>
    <n v="6367.0804218624708"/>
    <m/>
    <m/>
    <m/>
    <m/>
    <m/>
    <n v="0"/>
    <m/>
    <m/>
    <m/>
    <m/>
    <m/>
    <n v="0"/>
    <m/>
    <m/>
    <m/>
    <m/>
    <m/>
    <n v="0"/>
    <m/>
    <m/>
    <m/>
    <m/>
    <m/>
    <n v="0"/>
    <m/>
    <m/>
    <m/>
    <m/>
    <n v="1"/>
    <n v="2750000"/>
  </r>
  <r>
    <m/>
    <s v="M"/>
    <s v="M"/>
    <s v="MN"/>
    <n v="51"/>
    <s v="MN 51"/>
    <s v="6216-130"/>
    <x v="1"/>
    <m/>
    <s v="S"/>
    <s v="MNDOT"/>
    <n v="7"/>
    <s v="AT RAMSEY COUNTY ROAD E IN ARDEN HILLS-REPLACE BRIDGE 62010(62038), ADD TURN LANES, CONSTRUCT TRAIL, SIGNAL"/>
    <m/>
    <m/>
    <m/>
    <m/>
    <m/>
    <m/>
    <m/>
    <m/>
    <m/>
    <m/>
    <m/>
    <m/>
    <m/>
    <m/>
    <m/>
    <n v="2680000"/>
    <m/>
    <m/>
    <m/>
    <m/>
    <m/>
    <m/>
    <m/>
    <m/>
    <m/>
    <m/>
    <m/>
    <m/>
    <m/>
    <m/>
    <m/>
    <m/>
    <m/>
    <m/>
    <m/>
    <n v="0"/>
    <m/>
    <m/>
    <m/>
    <m/>
    <m/>
    <m/>
    <m/>
    <m/>
    <m/>
    <m/>
    <m/>
    <m/>
    <m/>
    <m/>
    <m/>
    <m/>
    <m/>
    <n v="0.29320211357777204"/>
    <n v="785781.66438842902"/>
    <m/>
    <m/>
    <m/>
    <m/>
    <n v="0.57326229409172158"/>
    <n v="1536342.9481658139"/>
    <m/>
    <n v="6.8689040373645829E-2"/>
    <n v="184086.62820137083"/>
    <s v="Other structures"/>
    <m/>
    <m/>
    <m/>
    <n v="3.1E-2"/>
    <n v="83080"/>
    <s v="Low cost high benefit"/>
    <n v="1"/>
    <m/>
    <m/>
    <m/>
    <n v="0"/>
    <m/>
    <m/>
    <m/>
    <m/>
    <n v="3.024723535346982E-2"/>
    <n v="81062.590747299124"/>
    <m/>
    <m/>
    <m/>
    <m/>
    <m/>
    <n v="0"/>
    <m/>
    <m/>
    <m/>
    <m/>
    <n v="3.599316603390584E-3"/>
    <n v="9646.1684970867645"/>
    <m/>
    <m/>
    <m/>
    <m/>
    <m/>
    <n v="0"/>
    <m/>
    <m/>
    <m/>
    <m/>
    <m/>
    <n v="0"/>
    <m/>
    <m/>
    <m/>
    <m/>
    <n v="1"/>
    <n v="2680000"/>
  </r>
  <r>
    <m/>
    <s v="M"/>
    <s v="M"/>
    <s v="MN"/>
    <n v="51"/>
    <s v="MN 51"/>
    <s v="6216-133"/>
    <x v="1"/>
    <m/>
    <s v="S"/>
    <s v="MNDOT"/>
    <n v="7"/>
    <s v="FROM DAN PATCH AVE/MIDWAY PKWY IN FALCON HEIGHTS/SAINT PAUL TO I694 IN ARDEN HILLS-SIGNAL COORDINATION, DEPLOY CC CAMERAS, AND DYNAMIC MESSAGE SIGNS"/>
    <m/>
    <m/>
    <m/>
    <m/>
    <m/>
    <m/>
    <m/>
    <m/>
    <m/>
    <m/>
    <m/>
    <m/>
    <m/>
    <m/>
    <m/>
    <n v="708225"/>
    <m/>
    <m/>
    <m/>
    <m/>
    <m/>
    <m/>
    <m/>
    <m/>
    <m/>
    <m/>
    <m/>
    <m/>
    <m/>
    <m/>
    <m/>
    <m/>
    <m/>
    <m/>
    <m/>
    <n v="0"/>
    <m/>
    <m/>
    <m/>
    <m/>
    <m/>
    <m/>
    <m/>
    <m/>
    <m/>
    <m/>
    <m/>
    <m/>
    <m/>
    <m/>
    <m/>
    <m/>
    <m/>
    <m/>
    <n v="0"/>
    <m/>
    <m/>
    <m/>
    <m/>
    <m/>
    <n v="0"/>
    <m/>
    <m/>
    <n v="0"/>
    <m/>
    <m/>
    <m/>
    <m/>
    <m/>
    <n v="0"/>
    <m/>
    <n v="1"/>
    <m/>
    <m/>
    <m/>
    <n v="0"/>
    <m/>
    <m/>
    <m/>
    <m/>
    <n v="1"/>
    <n v="708225"/>
    <m/>
    <m/>
    <m/>
    <m/>
    <m/>
    <n v="0"/>
    <m/>
    <m/>
    <m/>
    <m/>
    <m/>
    <n v="0"/>
    <m/>
    <m/>
    <m/>
    <m/>
    <m/>
    <n v="0"/>
    <m/>
    <m/>
    <m/>
    <m/>
    <m/>
    <n v="0"/>
    <m/>
    <m/>
    <m/>
    <m/>
    <n v="1"/>
    <n v="708225"/>
  </r>
  <r>
    <m/>
    <s v="M"/>
    <s v="M"/>
    <s v="US"/>
    <n v="61"/>
    <s v="US 61"/>
    <s v="6222-162"/>
    <x v="0"/>
    <m/>
    <s v="S"/>
    <s v="MNDOT"/>
    <n v="7"/>
    <s v="FROM JUST S WHITE BEAR AVE TO JUST N OF JCT MN96 IN WHITE BEAR LAKE-MILL &amp; OVERLAY, SIGNALS, ADA, REPAIR/REPLACE DRAINAGE INFRASTRUCTURE &amp; MEDIAN ISLAND"/>
    <m/>
    <m/>
    <m/>
    <m/>
    <m/>
    <m/>
    <m/>
    <m/>
    <m/>
    <m/>
    <m/>
    <m/>
    <m/>
    <m/>
    <m/>
    <n v="3410000"/>
    <m/>
    <m/>
    <m/>
    <m/>
    <m/>
    <m/>
    <m/>
    <m/>
    <m/>
    <m/>
    <m/>
    <m/>
    <m/>
    <m/>
    <m/>
    <m/>
    <m/>
    <m/>
    <m/>
    <n v="390000"/>
    <m/>
    <m/>
    <m/>
    <m/>
    <m/>
    <m/>
    <m/>
    <m/>
    <m/>
    <m/>
    <m/>
    <m/>
    <m/>
    <m/>
    <m/>
    <m/>
    <m/>
    <n v="0.52114489447754297"/>
    <n v="1573857.5813221799"/>
    <m/>
    <m/>
    <m/>
    <m/>
    <m/>
    <n v="0"/>
    <m/>
    <n v="0.37211972610463612"/>
    <n v="1123801.5728360012"/>
    <s v="Drainage and culverts"/>
    <m/>
    <m/>
    <m/>
    <n v="6.8942313520000006E-2"/>
    <n v="208205.78683040003"/>
    <s v="Low cost high benefit"/>
    <n v="1.0000000000000002"/>
    <m/>
    <m/>
    <m/>
    <n v="0"/>
    <m/>
    <m/>
    <m/>
    <m/>
    <m/>
    <n v="0"/>
    <m/>
    <m/>
    <m/>
    <m/>
    <m/>
    <n v="0"/>
    <m/>
    <m/>
    <m/>
    <m/>
    <n v="3.7793065897821103E-2"/>
    <n v="114135.05901141973"/>
    <m/>
    <m/>
    <m/>
    <m/>
    <m/>
    <n v="0"/>
    <m/>
    <m/>
    <m/>
    <m/>
    <m/>
    <n v="0"/>
    <m/>
    <m/>
    <m/>
    <m/>
    <n v="1.0000000000000002"/>
    <n v="3020000.0000000009"/>
  </r>
  <r>
    <m/>
    <s v="M"/>
    <s v="M"/>
    <s v="US"/>
    <n v="61"/>
    <s v="US 61"/>
    <s v="6222-166"/>
    <x v="1"/>
    <m/>
    <s v="S"/>
    <s v="MNDOT"/>
    <n v="7"/>
    <s v="AT BUERKLE ROAD IN VADNAIS HEIGHTS - SIGNAL REPLACEMENT INCLUDING ADA/PEDESTRIAN UPGRADES"/>
    <m/>
    <m/>
    <m/>
    <m/>
    <m/>
    <m/>
    <m/>
    <m/>
    <m/>
    <m/>
    <m/>
    <m/>
    <m/>
    <m/>
    <m/>
    <n v="250000"/>
    <m/>
    <m/>
    <m/>
    <m/>
    <m/>
    <m/>
    <m/>
    <m/>
    <m/>
    <m/>
    <m/>
    <m/>
    <m/>
    <m/>
    <m/>
    <m/>
    <m/>
    <m/>
    <m/>
    <n v="125000"/>
    <m/>
    <m/>
    <m/>
    <m/>
    <m/>
    <m/>
    <m/>
    <m/>
    <m/>
    <m/>
    <m/>
    <m/>
    <m/>
    <m/>
    <m/>
    <m/>
    <m/>
    <m/>
    <n v="0"/>
    <m/>
    <m/>
    <m/>
    <m/>
    <m/>
    <n v="0"/>
    <m/>
    <n v="0.5"/>
    <n v="62500"/>
    <s v="Signals"/>
    <m/>
    <m/>
    <m/>
    <m/>
    <n v="0"/>
    <m/>
    <n v="1"/>
    <m/>
    <m/>
    <m/>
    <n v="0"/>
    <m/>
    <m/>
    <m/>
    <m/>
    <m/>
    <n v="0"/>
    <m/>
    <m/>
    <m/>
    <m/>
    <m/>
    <n v="0"/>
    <m/>
    <m/>
    <m/>
    <m/>
    <n v="0.5"/>
    <n v="62500"/>
    <m/>
    <m/>
    <m/>
    <m/>
    <m/>
    <n v="0"/>
    <m/>
    <m/>
    <m/>
    <m/>
    <m/>
    <n v="0"/>
    <m/>
    <m/>
    <m/>
    <m/>
    <n v="1"/>
    <n v="125000"/>
  </r>
  <r>
    <m/>
    <s v="M"/>
    <s v="M"/>
    <s v="MN"/>
    <n v="149"/>
    <s v="MN 149"/>
    <s v="6223-20"/>
    <x v="9"/>
    <m/>
    <s v="S"/>
    <s v="MNDOT"/>
    <n v="7"/>
    <s v="OVER MISSISSIPPI RIVER IN ST PAUL - REDECK &amp; APPROACH WORK ON BRIDGE #62090"/>
    <m/>
    <m/>
    <m/>
    <m/>
    <m/>
    <m/>
    <m/>
    <m/>
    <m/>
    <m/>
    <m/>
    <m/>
    <m/>
    <m/>
    <m/>
    <n v="14180000"/>
    <m/>
    <m/>
    <m/>
    <m/>
    <m/>
    <m/>
    <m/>
    <m/>
    <m/>
    <m/>
    <m/>
    <m/>
    <m/>
    <m/>
    <m/>
    <m/>
    <m/>
    <m/>
    <m/>
    <n v="0"/>
    <m/>
    <m/>
    <m/>
    <m/>
    <m/>
    <m/>
    <m/>
    <m/>
    <m/>
    <m/>
    <m/>
    <m/>
    <m/>
    <m/>
    <m/>
    <m/>
    <m/>
    <m/>
    <n v="0"/>
    <m/>
    <m/>
    <m/>
    <m/>
    <n v="0.9806762675158418"/>
    <n v="13905989.473374637"/>
    <m/>
    <m/>
    <n v="0"/>
    <m/>
    <m/>
    <m/>
    <m/>
    <m/>
    <n v="0"/>
    <m/>
    <n v="1"/>
    <m/>
    <m/>
    <m/>
    <n v="0"/>
    <m/>
    <m/>
    <m/>
    <m/>
    <n v="1.6381724839522528E-2"/>
    <n v="232292.85822442945"/>
    <m/>
    <m/>
    <m/>
    <m/>
    <m/>
    <n v="0"/>
    <m/>
    <m/>
    <m/>
    <m/>
    <n v="2.9420076446356616E-3"/>
    <n v="41717.668400933682"/>
    <m/>
    <m/>
    <m/>
    <m/>
    <m/>
    <n v="0"/>
    <m/>
    <m/>
    <m/>
    <m/>
    <m/>
    <n v="0"/>
    <m/>
    <m/>
    <m/>
    <m/>
    <n v="1"/>
    <n v="14180000"/>
  </r>
  <r>
    <m/>
    <s v="M"/>
    <s v="M"/>
    <s v="MN"/>
    <n v="280"/>
    <s v="MN 280"/>
    <s v="6241-102"/>
    <x v="2"/>
    <m/>
    <s v="S"/>
    <s v="MNDOT"/>
    <n v="7"/>
    <s v="FROM JUST S COMO IN LAUDERDALE TO I35W IN ROSEVILLE-MILL AND OVERLAY AND PARTIAL RECONSTRUCT"/>
    <m/>
    <m/>
    <m/>
    <m/>
    <m/>
    <m/>
    <m/>
    <m/>
    <m/>
    <m/>
    <m/>
    <m/>
    <m/>
    <m/>
    <m/>
    <n v="3830000"/>
    <m/>
    <m/>
    <m/>
    <m/>
    <m/>
    <m/>
    <m/>
    <m/>
    <m/>
    <m/>
    <m/>
    <m/>
    <m/>
    <m/>
    <m/>
    <m/>
    <m/>
    <m/>
    <m/>
    <n v="0"/>
    <m/>
    <m/>
    <m/>
    <m/>
    <m/>
    <m/>
    <m/>
    <m/>
    <m/>
    <m/>
    <m/>
    <m/>
    <m/>
    <m/>
    <m/>
    <m/>
    <m/>
    <n v="0.97904184698985752"/>
    <n v="3749730.2739711544"/>
    <m/>
    <m/>
    <m/>
    <m/>
    <m/>
    <n v="0"/>
    <m/>
    <n v="2.0958153010142481E-2"/>
    <n v="80269.726028845704"/>
    <s v="Drainage and culverts"/>
    <m/>
    <m/>
    <m/>
    <m/>
    <n v="0"/>
    <m/>
    <n v="1"/>
    <m/>
    <m/>
    <m/>
    <n v="0"/>
    <m/>
    <m/>
    <m/>
    <m/>
    <m/>
    <n v="0"/>
    <m/>
    <m/>
    <m/>
    <m/>
    <m/>
    <n v="0"/>
    <m/>
    <m/>
    <m/>
    <m/>
    <m/>
    <n v="0"/>
    <m/>
    <m/>
    <m/>
    <m/>
    <m/>
    <n v="0"/>
    <m/>
    <m/>
    <m/>
    <m/>
    <m/>
    <n v="0"/>
    <m/>
    <m/>
    <m/>
    <m/>
    <n v="1"/>
    <n v="3830000"/>
  </r>
  <r>
    <m/>
    <s v="M"/>
    <s v="M"/>
    <s v="US"/>
    <n v="52"/>
    <s v="US 52"/>
    <s v="6244-101"/>
    <x v="2"/>
    <m/>
    <s v="S"/>
    <s v="MNDOT"/>
    <n v="7"/>
    <s v="FROM PLATO BLVD TO I94 IN ST. PAUL - LANDSCAPING "/>
    <m/>
    <m/>
    <m/>
    <m/>
    <m/>
    <m/>
    <m/>
    <m/>
    <m/>
    <m/>
    <m/>
    <m/>
    <m/>
    <m/>
    <m/>
    <n v="300000"/>
    <m/>
    <m/>
    <m/>
    <m/>
    <m/>
    <m/>
    <m/>
    <m/>
    <m/>
    <m/>
    <m/>
    <m/>
    <m/>
    <m/>
    <m/>
    <m/>
    <m/>
    <m/>
    <m/>
    <n v="0"/>
    <m/>
    <m/>
    <m/>
    <m/>
    <m/>
    <m/>
    <m/>
    <m/>
    <m/>
    <m/>
    <m/>
    <m/>
    <m/>
    <m/>
    <m/>
    <m/>
    <m/>
    <m/>
    <n v="0"/>
    <m/>
    <m/>
    <m/>
    <m/>
    <m/>
    <n v="0"/>
    <m/>
    <n v="0.5"/>
    <n v="150000"/>
    <s v="Other structures"/>
    <m/>
    <m/>
    <m/>
    <m/>
    <n v="0"/>
    <m/>
    <n v="1"/>
    <m/>
    <m/>
    <m/>
    <n v="0"/>
    <m/>
    <m/>
    <m/>
    <m/>
    <m/>
    <n v="0"/>
    <m/>
    <m/>
    <m/>
    <m/>
    <m/>
    <n v="0"/>
    <m/>
    <m/>
    <m/>
    <m/>
    <m/>
    <n v="0"/>
    <m/>
    <m/>
    <m/>
    <m/>
    <n v="0.5"/>
    <n v="150000"/>
    <m/>
    <m/>
    <m/>
    <m/>
    <m/>
    <n v="0"/>
    <m/>
    <m/>
    <m/>
    <m/>
    <n v="1"/>
    <n v="300000"/>
  </r>
  <r>
    <m/>
    <s v="M"/>
    <s v="M"/>
    <s v="I"/>
    <s v="35E"/>
    <s v="I 35E"/>
    <s v="6280-367"/>
    <x v="0"/>
    <m/>
    <s v="S"/>
    <s v="MNDOT"/>
    <n v="7"/>
    <s v="**BR4M**FMP*FROM I94 IN ST. PAUL TO JUST NORTH OF LITTLE CANADA RD IN LITTLE CANADA - CONSTRUCT MNPASS LANE, REHAB PAVEMENT, REPLACE BRIDGES 6509, 6510, 6511, 6512, 6514, 6579, 9117, 9118, 9119, 9120 AND TMS "/>
    <m/>
    <m/>
    <m/>
    <m/>
    <m/>
    <m/>
    <m/>
    <m/>
    <m/>
    <m/>
    <m/>
    <m/>
    <m/>
    <m/>
    <m/>
    <n v="104750000"/>
    <m/>
    <m/>
    <m/>
    <m/>
    <m/>
    <m/>
    <m/>
    <m/>
    <m/>
    <m/>
    <m/>
    <m/>
    <m/>
    <m/>
    <m/>
    <m/>
    <m/>
    <m/>
    <m/>
    <n v="0"/>
    <m/>
    <m/>
    <m/>
    <m/>
    <m/>
    <m/>
    <m/>
    <m/>
    <m/>
    <m/>
    <m/>
    <m/>
    <m/>
    <m/>
    <m/>
    <m/>
    <m/>
    <n v="0.31130000000000002"/>
    <n v="32608675.000000004"/>
    <m/>
    <m/>
    <m/>
    <m/>
    <n v="0.1686"/>
    <n v="17660850"/>
    <m/>
    <n v="0.16765747016706442"/>
    <n v="17562119.999999996"/>
    <s v="Other structures"/>
    <m/>
    <m/>
    <m/>
    <n v="8.3425298329355604E-3"/>
    <n v="873880"/>
    <s v="Low cost high benefit"/>
    <m/>
    <m/>
    <m/>
    <m/>
    <n v="0"/>
    <m/>
    <m/>
    <m/>
    <m/>
    <n v="7.2300000000000003E-2"/>
    <n v="7573425"/>
    <m/>
    <m/>
    <m/>
    <m/>
    <m/>
    <n v="0"/>
    <m/>
    <m/>
    <m/>
    <m/>
    <m/>
    <n v="0"/>
    <m/>
    <m/>
    <m/>
    <m/>
    <m/>
    <n v="0"/>
    <m/>
    <m/>
    <m/>
    <m/>
    <n v="0.27179999999999999"/>
    <n v="28471050"/>
    <s v="Consultant services"/>
    <m/>
    <m/>
    <m/>
    <n v="1"/>
    <n v="104750000"/>
  </r>
  <r>
    <m/>
    <s v="M"/>
    <s v="M"/>
    <s v="I"/>
    <s v="35E"/>
    <s v="I 35E"/>
    <s v="6280-367B"/>
    <x v="1"/>
    <m/>
    <s v="S"/>
    <s v="MNDOT"/>
    <n v="7"/>
    <s v="FROM I94 IN ST PAUL TO JUST N OF LITTLE CANADA RD IN LITTLE CANADA - MNPASS OPERATION/INTEGRATION"/>
    <m/>
    <m/>
    <m/>
    <m/>
    <m/>
    <m/>
    <m/>
    <m/>
    <m/>
    <m/>
    <m/>
    <m/>
    <m/>
    <m/>
    <m/>
    <n v="1200000"/>
    <m/>
    <m/>
    <m/>
    <m/>
    <m/>
    <m/>
    <m/>
    <m/>
    <m/>
    <m/>
    <m/>
    <m/>
    <m/>
    <m/>
    <m/>
    <m/>
    <m/>
    <m/>
    <m/>
    <n v="0"/>
    <m/>
    <m/>
    <m/>
    <m/>
    <m/>
    <m/>
    <m/>
    <m/>
    <m/>
    <m/>
    <m/>
    <m/>
    <m/>
    <m/>
    <m/>
    <m/>
    <m/>
    <m/>
    <n v="0"/>
    <m/>
    <m/>
    <m/>
    <m/>
    <m/>
    <n v="0"/>
    <m/>
    <m/>
    <n v="0"/>
    <m/>
    <m/>
    <m/>
    <m/>
    <m/>
    <n v="0"/>
    <m/>
    <n v="1"/>
    <m/>
    <m/>
    <m/>
    <n v="0"/>
    <m/>
    <m/>
    <m/>
    <m/>
    <n v="1"/>
    <n v="1200000"/>
    <m/>
    <m/>
    <m/>
    <m/>
    <m/>
    <n v="0"/>
    <m/>
    <m/>
    <m/>
    <m/>
    <m/>
    <n v="0"/>
    <m/>
    <m/>
    <m/>
    <m/>
    <m/>
    <n v="0"/>
    <m/>
    <m/>
    <m/>
    <m/>
    <m/>
    <n v="0"/>
    <m/>
    <m/>
    <m/>
    <m/>
    <n v="1"/>
    <n v="1200000"/>
  </r>
  <r>
    <m/>
    <s v="M"/>
    <s v="M"/>
    <s v="I"/>
    <s v="35E"/>
    <s v="I 35E"/>
    <s v="6280-367CE"/>
    <x v="0"/>
    <m/>
    <s v="S"/>
    <s v="MNDOT"/>
    <n v="7"/>
    <s v="FROM I94 IN ST PAUL TO JUST N OF LITTLE CANADA RD IN LITTLE CANADA - MNPASS DESIGN AND CONSTRUCTION OVERSIGHT"/>
    <m/>
    <m/>
    <m/>
    <m/>
    <m/>
    <m/>
    <m/>
    <m/>
    <m/>
    <m/>
    <m/>
    <m/>
    <m/>
    <m/>
    <m/>
    <n v="4250000"/>
    <m/>
    <m/>
    <m/>
    <m/>
    <m/>
    <m/>
    <m/>
    <m/>
    <m/>
    <m/>
    <m/>
    <m/>
    <m/>
    <m/>
    <m/>
    <m/>
    <m/>
    <m/>
    <m/>
    <n v="0"/>
    <m/>
    <m/>
    <m/>
    <m/>
    <m/>
    <m/>
    <m/>
    <m/>
    <m/>
    <m/>
    <m/>
    <m/>
    <m/>
    <m/>
    <m/>
    <m/>
    <m/>
    <m/>
    <n v="0"/>
    <m/>
    <m/>
    <m/>
    <m/>
    <m/>
    <n v="0"/>
    <m/>
    <m/>
    <n v="0"/>
    <m/>
    <m/>
    <m/>
    <m/>
    <m/>
    <n v="0"/>
    <m/>
    <m/>
    <m/>
    <m/>
    <m/>
    <n v="0"/>
    <m/>
    <m/>
    <m/>
    <m/>
    <m/>
    <n v="0"/>
    <m/>
    <m/>
    <m/>
    <m/>
    <m/>
    <n v="0"/>
    <m/>
    <m/>
    <m/>
    <m/>
    <m/>
    <n v="0"/>
    <m/>
    <m/>
    <m/>
    <m/>
    <m/>
    <n v="0"/>
    <m/>
    <m/>
    <m/>
    <m/>
    <n v="1"/>
    <n v="4250000"/>
    <s v="Consultant services"/>
    <m/>
    <m/>
    <m/>
    <n v="1"/>
    <n v="4250000"/>
  </r>
  <r>
    <m/>
    <s v="M"/>
    <s v="M"/>
    <s v="I"/>
    <s v="35E"/>
    <s v="I 35E"/>
    <s v="6280-367STIP"/>
    <x v="0"/>
    <m/>
    <s v="S"/>
    <s v="MNDOT"/>
    <n v="7"/>
    <s v="FROM I94 IN ST PAUL TO JUST N OF LITTLE CANADA RD IN LITTLE CANADA - MNPASS STIPENDS"/>
    <m/>
    <m/>
    <m/>
    <m/>
    <m/>
    <m/>
    <m/>
    <m/>
    <m/>
    <m/>
    <m/>
    <m/>
    <m/>
    <m/>
    <m/>
    <n v="800000"/>
    <m/>
    <m/>
    <m/>
    <m/>
    <m/>
    <m/>
    <m/>
    <m/>
    <m/>
    <m/>
    <m/>
    <m/>
    <m/>
    <m/>
    <m/>
    <m/>
    <m/>
    <m/>
    <m/>
    <n v="0"/>
    <m/>
    <m/>
    <m/>
    <m/>
    <m/>
    <m/>
    <m/>
    <m/>
    <m/>
    <m/>
    <m/>
    <m/>
    <m/>
    <m/>
    <m/>
    <m/>
    <m/>
    <m/>
    <n v="0"/>
    <m/>
    <m/>
    <m/>
    <m/>
    <m/>
    <n v="0"/>
    <m/>
    <m/>
    <n v="0"/>
    <m/>
    <m/>
    <m/>
    <m/>
    <m/>
    <n v="0"/>
    <m/>
    <m/>
    <m/>
    <m/>
    <m/>
    <n v="0"/>
    <m/>
    <m/>
    <m/>
    <m/>
    <m/>
    <n v="0"/>
    <m/>
    <m/>
    <m/>
    <m/>
    <m/>
    <n v="0"/>
    <m/>
    <m/>
    <m/>
    <m/>
    <m/>
    <n v="0"/>
    <m/>
    <m/>
    <m/>
    <m/>
    <m/>
    <n v="0"/>
    <m/>
    <m/>
    <m/>
    <m/>
    <n v="1"/>
    <n v="800000"/>
    <s v="Construction incentives"/>
    <m/>
    <m/>
    <m/>
    <n v="1"/>
    <n v="800000"/>
  </r>
  <r>
    <m/>
    <s v="M"/>
    <s v="M"/>
    <s v="I"/>
    <s v="35E"/>
    <s v="I 35E"/>
    <s v="6280-369"/>
    <x v="2"/>
    <m/>
    <s v="S"/>
    <s v="MNDOT"/>
    <n v="7"/>
    <s v="FROM ST. CLAIR AVE TO RAMSEY ST/GRAND AVE IN ST. PAUL - REDECK BRIDGES 9519, 62802 AND 62803"/>
    <m/>
    <m/>
    <m/>
    <m/>
    <m/>
    <m/>
    <m/>
    <m/>
    <m/>
    <m/>
    <m/>
    <m/>
    <m/>
    <m/>
    <m/>
    <n v="1425000"/>
    <m/>
    <m/>
    <m/>
    <m/>
    <m/>
    <m/>
    <m/>
    <m/>
    <m/>
    <m/>
    <m/>
    <m/>
    <m/>
    <m/>
    <m/>
    <m/>
    <m/>
    <m/>
    <m/>
    <n v="0"/>
    <m/>
    <m/>
    <m/>
    <m/>
    <m/>
    <m/>
    <m/>
    <m/>
    <m/>
    <m/>
    <m/>
    <m/>
    <m/>
    <m/>
    <m/>
    <m/>
    <m/>
    <m/>
    <n v="0"/>
    <m/>
    <m/>
    <m/>
    <m/>
    <n v="0.97421994999764938"/>
    <n v="1388263.4287466505"/>
    <m/>
    <n v="5.6977138274111961E-3"/>
    <n v="8119.2422040609545"/>
    <s v="Guardrails and fencing"/>
    <m/>
    <m/>
    <m/>
    <m/>
    <n v="0"/>
    <m/>
    <n v="1"/>
    <m/>
    <m/>
    <m/>
    <n v="0"/>
    <m/>
    <m/>
    <m/>
    <m/>
    <n v="2.0082336174939461E-2"/>
    <n v="28617.329049288732"/>
    <m/>
    <m/>
    <m/>
    <m/>
    <m/>
    <n v="0"/>
    <m/>
    <m/>
    <m/>
    <m/>
    <m/>
    <n v="0"/>
    <m/>
    <m/>
    <m/>
    <m/>
    <m/>
    <n v="0"/>
    <m/>
    <m/>
    <m/>
    <m/>
    <m/>
    <n v="0"/>
    <m/>
    <m/>
    <m/>
    <m/>
    <n v="1"/>
    <n v="1425000.0000000002"/>
  </r>
  <r>
    <m/>
    <s v="M"/>
    <s v="M"/>
    <s v="I"/>
    <s v="35E"/>
    <s v="I 35E"/>
    <s v="6280-381"/>
    <x v="9"/>
    <m/>
    <s v="S"/>
    <s v="MNDOT"/>
    <n v="7"/>
    <s v="S OF UNIVERSITY AVE TO JUST N OF MARYLAND AVE IN ST PAUL-LANDSCAPING"/>
    <m/>
    <m/>
    <m/>
    <m/>
    <m/>
    <m/>
    <m/>
    <m/>
    <m/>
    <m/>
    <m/>
    <m/>
    <m/>
    <m/>
    <m/>
    <n v="300000"/>
    <m/>
    <m/>
    <m/>
    <m/>
    <m/>
    <m/>
    <m/>
    <m/>
    <m/>
    <m/>
    <m/>
    <m/>
    <m/>
    <m/>
    <m/>
    <m/>
    <m/>
    <m/>
    <m/>
    <n v="0"/>
    <m/>
    <m/>
    <m/>
    <m/>
    <m/>
    <m/>
    <m/>
    <m/>
    <m/>
    <m/>
    <m/>
    <m/>
    <m/>
    <m/>
    <m/>
    <m/>
    <m/>
    <m/>
    <n v="0"/>
    <m/>
    <m/>
    <m/>
    <m/>
    <m/>
    <n v="0"/>
    <m/>
    <n v="1"/>
    <n v="300000"/>
    <s v="Other structures"/>
    <m/>
    <m/>
    <m/>
    <m/>
    <n v="0"/>
    <m/>
    <n v="1"/>
    <m/>
    <m/>
    <m/>
    <n v="0"/>
    <m/>
    <m/>
    <m/>
    <m/>
    <m/>
    <n v="0"/>
    <m/>
    <m/>
    <m/>
    <m/>
    <m/>
    <n v="0"/>
    <m/>
    <m/>
    <m/>
    <m/>
    <m/>
    <n v="0"/>
    <m/>
    <m/>
    <m/>
    <m/>
    <m/>
    <n v="0"/>
    <m/>
    <m/>
    <m/>
    <m/>
    <m/>
    <n v="0"/>
    <m/>
    <m/>
    <m/>
    <m/>
    <n v="1"/>
    <n v="300000"/>
  </r>
  <r>
    <m/>
    <s v="M"/>
    <s v="M"/>
    <s v="I"/>
    <s v="35E"/>
    <s v="I 35E"/>
    <s v="6280-382"/>
    <x v="9"/>
    <m/>
    <s v="S"/>
    <s v="MNDOT"/>
    <n v="7"/>
    <s v="FROM I94 IN ST PAUL TO JUST N LITTLE CANADA RD IN LITTLE CANADA-LANDSCAPING"/>
    <m/>
    <m/>
    <m/>
    <m/>
    <m/>
    <m/>
    <m/>
    <m/>
    <m/>
    <m/>
    <m/>
    <m/>
    <m/>
    <m/>
    <m/>
    <n v="300000"/>
    <m/>
    <m/>
    <m/>
    <m/>
    <m/>
    <m/>
    <m/>
    <m/>
    <m/>
    <m/>
    <m/>
    <m/>
    <m/>
    <m/>
    <m/>
    <m/>
    <m/>
    <m/>
    <m/>
    <n v="0"/>
    <m/>
    <m/>
    <m/>
    <m/>
    <m/>
    <m/>
    <m/>
    <m/>
    <m/>
    <m/>
    <m/>
    <m/>
    <m/>
    <m/>
    <m/>
    <m/>
    <m/>
    <m/>
    <n v="0"/>
    <m/>
    <m/>
    <m/>
    <m/>
    <m/>
    <n v="0"/>
    <m/>
    <n v="1"/>
    <n v="300000"/>
    <s v="Other structures"/>
    <m/>
    <m/>
    <m/>
    <m/>
    <n v="0"/>
    <m/>
    <n v="1"/>
    <m/>
    <m/>
    <m/>
    <n v="0"/>
    <m/>
    <m/>
    <m/>
    <m/>
    <m/>
    <n v="0"/>
    <m/>
    <m/>
    <m/>
    <m/>
    <m/>
    <n v="0"/>
    <m/>
    <m/>
    <m/>
    <m/>
    <m/>
    <n v="0"/>
    <m/>
    <m/>
    <m/>
    <m/>
    <m/>
    <n v="0"/>
    <m/>
    <m/>
    <m/>
    <m/>
    <m/>
    <n v="0"/>
    <m/>
    <m/>
    <m/>
    <m/>
    <n v="1"/>
    <n v="300000"/>
  </r>
  <r>
    <m/>
    <s v="M"/>
    <s v="M"/>
    <s v="I"/>
    <s v="35E"/>
    <s v="I 35E"/>
    <s v="6281-19"/>
    <x v="1"/>
    <m/>
    <s v="S"/>
    <s v="MNDOT"/>
    <n v="7"/>
    <s v="FROM RAMSEY CR E IN VADNAIS HTS TO JUST S OF RAMSEY CSAH 96 IN WHITE BEAR LAKE-MILL &amp; OVERLAY, MILL &amp; CONCRETE UNBONDED OVERLAY, DRAINAGE, LOOP DETECTORS, GUARDRAIL, CONSTRUCT SLOPE, CPR AT RAMPS, MILL &amp; OVERLAY, CABLE MEDIAN BARRIER,TEMP BYPASS, &amp; RR AGREEMENT (TIED WITH 6281-25)"/>
    <m/>
    <m/>
    <m/>
    <m/>
    <m/>
    <m/>
    <m/>
    <m/>
    <m/>
    <m/>
    <m/>
    <m/>
    <m/>
    <m/>
    <m/>
    <n v="4940000"/>
    <m/>
    <m/>
    <m/>
    <m/>
    <m/>
    <m/>
    <m/>
    <m/>
    <m/>
    <m/>
    <m/>
    <m/>
    <m/>
    <m/>
    <m/>
    <m/>
    <m/>
    <m/>
    <m/>
    <n v="0"/>
    <m/>
    <m/>
    <m/>
    <m/>
    <m/>
    <m/>
    <m/>
    <m/>
    <m/>
    <m/>
    <m/>
    <m/>
    <m/>
    <m/>
    <m/>
    <m/>
    <m/>
    <n v="0.76724612064261899"/>
    <n v="3790195.8359745378"/>
    <m/>
    <m/>
    <m/>
    <m/>
    <m/>
    <n v="0"/>
    <m/>
    <n v="0.14322119893449992"/>
    <n v="707512.72273642954"/>
    <s v="Guardrails and fencing"/>
    <m/>
    <m/>
    <m/>
    <n v="7.1236549600000004E-2"/>
    <n v="351908.555024"/>
    <s v="Low cost high benefit"/>
    <n v="0.99999999999999956"/>
    <m/>
    <m/>
    <m/>
    <n v="0"/>
    <m/>
    <m/>
    <m/>
    <m/>
    <n v="1.8296130822880646E-2"/>
    <n v="90382.886265030393"/>
    <m/>
    <m/>
    <m/>
    <m/>
    <m/>
    <n v="0"/>
    <m/>
    <m/>
    <m/>
    <m/>
    <m/>
    <n v="0"/>
    <m/>
    <m/>
    <m/>
    <m/>
    <m/>
    <n v="0"/>
    <m/>
    <m/>
    <m/>
    <m/>
    <m/>
    <n v="0"/>
    <m/>
    <m/>
    <m/>
    <m/>
    <n v="0.99999999999999956"/>
    <n v="4939999.9999999972"/>
  </r>
  <r>
    <m/>
    <s v="M"/>
    <s v="M"/>
    <s v="I"/>
    <s v="35E"/>
    <s v="I 35E"/>
    <s v="6281-20"/>
    <x v="1"/>
    <m/>
    <s v="S"/>
    <s v="MNDOT"/>
    <n v="7"/>
    <s v="RAMSEY CSAH 96 OVER I35E IN WHITE BEAR LAKE-REDECK BRIDGE 62834, REPLACE APPROACH PANELS, DRAINAGE, REPLACE TRAFFIC SIGNALS, ADA PED FACILITIES"/>
    <m/>
    <m/>
    <m/>
    <m/>
    <m/>
    <m/>
    <m/>
    <m/>
    <m/>
    <m/>
    <m/>
    <m/>
    <m/>
    <m/>
    <m/>
    <n v="1825000"/>
    <m/>
    <m/>
    <m/>
    <m/>
    <m/>
    <m/>
    <m/>
    <m/>
    <m/>
    <m/>
    <m/>
    <m/>
    <m/>
    <m/>
    <m/>
    <m/>
    <m/>
    <m/>
    <m/>
    <n v="210000"/>
    <m/>
    <m/>
    <m/>
    <m/>
    <m/>
    <m/>
    <m/>
    <m/>
    <m/>
    <m/>
    <m/>
    <m/>
    <m/>
    <m/>
    <m/>
    <m/>
    <m/>
    <n v="6.5269722564180205E-2"/>
    <n v="105410.60194115104"/>
    <m/>
    <m/>
    <m/>
    <m/>
    <n v="0.65643535677373055"/>
    <n v="1060143.1011895749"/>
    <m/>
    <n v="0.18669479865440444"/>
    <n v="301512.09982686315"/>
    <s v="Signals"/>
    <m/>
    <m/>
    <m/>
    <m/>
    <n v="0"/>
    <m/>
    <n v="0.99999999999999978"/>
    <m/>
    <m/>
    <m/>
    <n v="0"/>
    <m/>
    <m/>
    <m/>
    <m/>
    <n v="2.2272985611431856E-4"/>
    <n v="359.70871762462446"/>
    <m/>
    <m/>
    <m/>
    <m/>
    <m/>
    <n v="0"/>
    <m/>
    <m/>
    <m/>
    <m/>
    <n v="9.1377392151570411E-2"/>
    <n v="147574.48832478622"/>
    <m/>
    <m/>
    <m/>
    <m/>
    <m/>
    <n v="0"/>
    <m/>
    <m/>
    <m/>
    <m/>
    <m/>
    <n v="0"/>
    <m/>
    <m/>
    <m/>
    <m/>
    <n v="0.99999999999999978"/>
    <n v="1615000.0000000002"/>
  </r>
  <r>
    <m/>
    <s v="M"/>
    <s v="M"/>
    <s v="I"/>
    <s v="35E"/>
    <s v="I 35E"/>
    <s v="6281-25"/>
    <x v="1"/>
    <m/>
    <s v="S"/>
    <s v="MNDOT"/>
    <n v="7"/>
    <s v="OVER GOOSE LAKE RD AND BNSF RR IN VADNAIS HEIGHTS-REPLACE BRIDGES 9567 (NEW 62729) AND 9568 (NEW 62730) INCLUDING REPLACEMENT AND PROFILE ADJUSTMENTS OF PAVEMENT ON BOTH SIDES OF BRIDGE, GUARDRAIL, DRAINAGE, TMS (TIED WITH 6281-19)"/>
    <m/>
    <m/>
    <m/>
    <m/>
    <m/>
    <m/>
    <m/>
    <m/>
    <m/>
    <m/>
    <m/>
    <m/>
    <m/>
    <m/>
    <m/>
    <n v="9475000"/>
    <m/>
    <m/>
    <m/>
    <m/>
    <m/>
    <m/>
    <m/>
    <m/>
    <m/>
    <m/>
    <m/>
    <m/>
    <m/>
    <m/>
    <m/>
    <m/>
    <m/>
    <m/>
    <m/>
    <n v="0"/>
    <m/>
    <m/>
    <m/>
    <m/>
    <m/>
    <m/>
    <m/>
    <m/>
    <m/>
    <m/>
    <m/>
    <m/>
    <m/>
    <m/>
    <m/>
    <m/>
    <m/>
    <n v="0.2206471230127417"/>
    <n v="2090631.4905457275"/>
    <m/>
    <m/>
    <m/>
    <m/>
    <n v="0.71932255685236424"/>
    <n v="6815581.2261761511"/>
    <m/>
    <n v="1.8697099825576356E-2"/>
    <n v="177155.02084733598"/>
    <s v="Drainage and culverts"/>
    <m/>
    <m/>
    <m/>
    <n v="5.0930479357300124E-3"/>
    <n v="48256.629191041866"/>
    <s v="Low cost high benefit"/>
    <n v="1"/>
    <m/>
    <m/>
    <m/>
    <n v="0"/>
    <m/>
    <m/>
    <m/>
    <m/>
    <n v="1.7126727544103911E-3"/>
    <n v="16227.574348038455"/>
    <m/>
    <m/>
    <m/>
    <m/>
    <m/>
    <n v="0"/>
    <m/>
    <m/>
    <m/>
    <m/>
    <m/>
    <n v="0"/>
    <m/>
    <m/>
    <m/>
    <m/>
    <m/>
    <n v="0"/>
    <m/>
    <m/>
    <m/>
    <m/>
    <n v="3.4527499619177331E-2"/>
    <n v="327148.05889170518"/>
    <s v="Supplemental agreements"/>
    <m/>
    <m/>
    <m/>
    <n v="1"/>
    <n v="9474999.9999999981"/>
  </r>
  <r>
    <m/>
    <s v="M"/>
    <s v="M"/>
    <s v="I"/>
    <s v="35E"/>
    <s v="I 35E"/>
    <s v="6281-43"/>
    <x v="0"/>
    <m/>
    <s v="S"/>
    <s v="MNDOT"/>
    <n v="7"/>
    <s v="**BP08**AT RAMSEY COUNTY ROAD E IN VADNAIS HEIGHTS-PARK AND RIDE (CHP 152 TRANSIT ADVANTAGE BONDS)"/>
    <m/>
    <m/>
    <m/>
    <m/>
    <m/>
    <m/>
    <m/>
    <m/>
    <m/>
    <m/>
    <m/>
    <m/>
    <m/>
    <m/>
    <m/>
    <n v="1844673"/>
    <m/>
    <m/>
    <m/>
    <m/>
    <m/>
    <m/>
    <m/>
    <m/>
    <m/>
    <m/>
    <m/>
    <m/>
    <m/>
    <m/>
    <m/>
    <m/>
    <m/>
    <m/>
    <m/>
    <n v="0"/>
    <m/>
    <m/>
    <m/>
    <m/>
    <m/>
    <m/>
    <m/>
    <m/>
    <m/>
    <m/>
    <m/>
    <m/>
    <m/>
    <m/>
    <m/>
    <m/>
    <m/>
    <n v="0.105"/>
    <n v="193690.66499999998"/>
    <m/>
    <m/>
    <m/>
    <m/>
    <m/>
    <n v="0"/>
    <m/>
    <m/>
    <n v="0"/>
    <m/>
    <m/>
    <m/>
    <m/>
    <m/>
    <n v="0"/>
    <m/>
    <m/>
    <m/>
    <m/>
    <m/>
    <n v="0"/>
    <m/>
    <m/>
    <m/>
    <m/>
    <n v="0.875"/>
    <n v="1614088.875"/>
    <m/>
    <m/>
    <m/>
    <m/>
    <m/>
    <n v="0"/>
    <m/>
    <m/>
    <m/>
    <m/>
    <n v="0.02"/>
    <n v="36893.46"/>
    <m/>
    <m/>
    <m/>
    <m/>
    <m/>
    <n v="0"/>
    <m/>
    <m/>
    <m/>
    <m/>
    <m/>
    <n v="0"/>
    <m/>
    <m/>
    <m/>
    <m/>
    <n v="1"/>
    <n v="1844673"/>
  </r>
  <r>
    <m/>
    <s v="M"/>
    <s v="M"/>
    <s v="I"/>
    <s v="35E"/>
    <s v="I 35E"/>
    <s v="6281-44"/>
    <x v="1"/>
    <m/>
    <s v="S"/>
    <s v="MNDOT"/>
    <n v="7"/>
    <s v="SB FROM RAMSEY CR J TO RAMSEY CSAH 96 N WHITE BEAR LAKE-SIGNS AND SHOULDERING FOR BUS ONLY SHOULDER"/>
    <m/>
    <m/>
    <m/>
    <m/>
    <m/>
    <m/>
    <m/>
    <m/>
    <m/>
    <m/>
    <m/>
    <m/>
    <m/>
    <m/>
    <m/>
    <n v="10000"/>
    <m/>
    <m/>
    <m/>
    <m/>
    <m/>
    <m/>
    <m/>
    <m/>
    <m/>
    <m/>
    <m/>
    <m/>
    <m/>
    <m/>
    <m/>
    <m/>
    <m/>
    <m/>
    <m/>
    <n v="0"/>
    <m/>
    <m/>
    <m/>
    <m/>
    <m/>
    <m/>
    <m/>
    <m/>
    <m/>
    <m/>
    <m/>
    <m/>
    <m/>
    <m/>
    <m/>
    <m/>
    <m/>
    <n v="0.62501214653580794"/>
    <n v="6250.1214653580791"/>
    <m/>
    <m/>
    <m/>
    <m/>
    <m/>
    <n v="0"/>
    <m/>
    <m/>
    <n v="0"/>
    <m/>
    <m/>
    <m/>
    <m/>
    <m/>
    <n v="0"/>
    <m/>
    <n v="1"/>
    <m/>
    <m/>
    <m/>
    <n v="0"/>
    <m/>
    <m/>
    <m/>
    <m/>
    <n v="0.374987853464192"/>
    <n v="3749.8785346419199"/>
    <m/>
    <m/>
    <m/>
    <m/>
    <m/>
    <n v="0"/>
    <m/>
    <m/>
    <m/>
    <m/>
    <m/>
    <n v="0"/>
    <m/>
    <m/>
    <m/>
    <m/>
    <m/>
    <n v="0"/>
    <m/>
    <m/>
    <m/>
    <m/>
    <m/>
    <n v="0"/>
    <m/>
    <m/>
    <m/>
    <m/>
    <n v="1"/>
    <n v="10000"/>
  </r>
  <r>
    <m/>
    <s v="M"/>
    <s v="M"/>
    <s v="I"/>
    <s v="94"/>
    <s v="I 94"/>
    <s v="6282-190"/>
    <x v="1"/>
    <m/>
    <s v="S"/>
    <s v="MNDOT"/>
    <n v="7"/>
    <s v="ON SOUTH SIDE  FROM PRIOR AVE TO FAIRVIEW AVE IN ST PAUL-NOISE WALL"/>
    <m/>
    <m/>
    <m/>
    <m/>
    <m/>
    <m/>
    <m/>
    <m/>
    <m/>
    <m/>
    <m/>
    <m/>
    <m/>
    <m/>
    <m/>
    <n v="990000"/>
    <m/>
    <m/>
    <m/>
    <m/>
    <m/>
    <m/>
    <m/>
    <m/>
    <m/>
    <m/>
    <m/>
    <m/>
    <m/>
    <m/>
    <m/>
    <m/>
    <m/>
    <m/>
    <m/>
    <n v="290000"/>
    <m/>
    <m/>
    <m/>
    <m/>
    <m/>
    <m/>
    <m/>
    <m/>
    <m/>
    <m/>
    <m/>
    <m/>
    <m/>
    <m/>
    <m/>
    <m/>
    <m/>
    <m/>
    <n v="0"/>
    <m/>
    <m/>
    <m/>
    <m/>
    <m/>
    <n v="0"/>
    <m/>
    <n v="0.55000000000000004"/>
    <n v="385000.00000000006"/>
    <s v="Other structures"/>
    <m/>
    <m/>
    <m/>
    <m/>
    <n v="0"/>
    <m/>
    <n v="1"/>
    <m/>
    <m/>
    <m/>
    <n v="0"/>
    <m/>
    <m/>
    <m/>
    <m/>
    <m/>
    <n v="0"/>
    <m/>
    <m/>
    <m/>
    <m/>
    <m/>
    <n v="0"/>
    <m/>
    <m/>
    <m/>
    <m/>
    <m/>
    <n v="0"/>
    <m/>
    <m/>
    <m/>
    <m/>
    <n v="0.45"/>
    <n v="315000"/>
    <m/>
    <m/>
    <m/>
    <m/>
    <m/>
    <n v="0"/>
    <m/>
    <m/>
    <m/>
    <m/>
    <n v="1"/>
    <n v="700000"/>
  </r>
  <r>
    <m/>
    <s v="M"/>
    <s v="M"/>
    <s v="I"/>
    <n v="94"/>
    <s v="I 94"/>
    <s v="6282-200"/>
    <x v="1"/>
    <m/>
    <s v="S"/>
    <s v="MNDOT"/>
    <n v="7"/>
    <s v="AT MACKUBIN STREET IN ST. PAUL-REPLACE PEDESTRIAN BRIDGE #9737, SIDEWALK, FENCING, GUARDRAIL, PED RAMPS, TMS"/>
    <m/>
    <m/>
    <m/>
    <m/>
    <m/>
    <m/>
    <m/>
    <m/>
    <m/>
    <m/>
    <m/>
    <m/>
    <m/>
    <m/>
    <m/>
    <n v="1510000"/>
    <m/>
    <m/>
    <m/>
    <m/>
    <m/>
    <m/>
    <m/>
    <m/>
    <m/>
    <m/>
    <m/>
    <m/>
    <m/>
    <m/>
    <m/>
    <m/>
    <m/>
    <m/>
    <m/>
    <n v="0"/>
    <m/>
    <m/>
    <m/>
    <m/>
    <m/>
    <m/>
    <m/>
    <m/>
    <m/>
    <m/>
    <m/>
    <m/>
    <m/>
    <m/>
    <m/>
    <m/>
    <m/>
    <m/>
    <n v="0"/>
    <m/>
    <m/>
    <m/>
    <m/>
    <n v="0.91600587583133897"/>
    <n v="1383168.8725053219"/>
    <m/>
    <n v="8.5958538035941119E-3"/>
    <n v="12979.73924342711"/>
    <s v="Guardrails and fencing"/>
    <m/>
    <m/>
    <m/>
    <m/>
    <n v="0"/>
    <m/>
    <n v="1.0000000000000002"/>
    <m/>
    <m/>
    <m/>
    <n v="0"/>
    <m/>
    <m/>
    <m/>
    <m/>
    <n v="3.9398270365067149E-2"/>
    <n v="59491.388251251396"/>
    <m/>
    <m/>
    <m/>
    <m/>
    <m/>
    <n v="0"/>
    <m/>
    <m/>
    <m/>
    <m/>
    <n v="3.5999999999999997E-2"/>
    <n v="54359.999999999993"/>
    <m/>
    <m/>
    <m/>
    <m/>
    <m/>
    <n v="0"/>
    <m/>
    <m/>
    <m/>
    <m/>
    <m/>
    <n v="0"/>
    <m/>
    <m/>
    <m/>
    <m/>
    <n v="1.0000000000000002"/>
    <n v="1510000.0000000002"/>
  </r>
  <r>
    <m/>
    <s v="M"/>
    <s v="M"/>
    <s v="I"/>
    <n v="94"/>
    <s v="I 94"/>
    <s v="6282-201"/>
    <x v="2"/>
    <m/>
    <s v="S"/>
    <s v="MNDOT"/>
    <n v="7"/>
    <s v="AT GROTTO ST N IN ST. PAUL-REPLACE PED BRIDGE 9773"/>
    <m/>
    <m/>
    <m/>
    <m/>
    <m/>
    <m/>
    <m/>
    <m/>
    <m/>
    <m/>
    <m/>
    <m/>
    <m/>
    <m/>
    <m/>
    <n v="1900000"/>
    <m/>
    <m/>
    <m/>
    <m/>
    <m/>
    <m/>
    <m/>
    <m/>
    <m/>
    <m/>
    <m/>
    <m/>
    <m/>
    <m/>
    <m/>
    <m/>
    <m/>
    <m/>
    <m/>
    <n v="0"/>
    <m/>
    <m/>
    <m/>
    <m/>
    <m/>
    <m/>
    <m/>
    <m/>
    <m/>
    <m/>
    <m/>
    <m/>
    <m/>
    <m/>
    <m/>
    <m/>
    <m/>
    <m/>
    <n v="0"/>
    <m/>
    <m/>
    <m/>
    <m/>
    <n v="0.59160494241399852"/>
    <n v="1124049.3905865971"/>
    <m/>
    <n v="0.37451609723771734"/>
    <n v="711580.58475166291"/>
    <s v="Other structures"/>
    <m/>
    <m/>
    <m/>
    <m/>
    <n v="0"/>
    <m/>
    <n v="1"/>
    <m/>
    <m/>
    <m/>
    <n v="0"/>
    <m/>
    <m/>
    <m/>
    <m/>
    <n v="3.0127796465150614E-2"/>
    <n v="57242.81328378617"/>
    <m/>
    <m/>
    <m/>
    <m/>
    <m/>
    <n v="0"/>
    <m/>
    <m/>
    <m/>
    <m/>
    <n v="3.7511638831335507E-3"/>
    <n v="7127.2113779537467"/>
    <m/>
    <m/>
    <m/>
    <m/>
    <m/>
    <n v="0"/>
    <m/>
    <m/>
    <m/>
    <m/>
    <m/>
    <n v="0"/>
    <m/>
    <m/>
    <m/>
    <m/>
    <n v="1"/>
    <n v="1900000"/>
  </r>
  <r>
    <m/>
    <s v="M"/>
    <s v="M"/>
    <s v="I"/>
    <n v="94"/>
    <s v="I 94"/>
    <s v="6282-203"/>
    <x v="9"/>
    <m/>
    <s v="S"/>
    <s v="MNDOT"/>
    <n v="7"/>
    <s v="ON S SIDE OF I-94, FROM SNELLING AVE N TO PASCAL ST N IN ST PAUL-NOISE WALL "/>
    <m/>
    <m/>
    <m/>
    <m/>
    <m/>
    <m/>
    <m/>
    <m/>
    <m/>
    <m/>
    <m/>
    <m/>
    <m/>
    <m/>
    <m/>
    <n v="630000"/>
    <m/>
    <m/>
    <m/>
    <m/>
    <m/>
    <m/>
    <m/>
    <m/>
    <m/>
    <m/>
    <m/>
    <m/>
    <m/>
    <m/>
    <m/>
    <m/>
    <m/>
    <m/>
    <m/>
    <n v="65000"/>
    <m/>
    <m/>
    <m/>
    <m/>
    <m/>
    <m/>
    <m/>
    <m/>
    <m/>
    <m/>
    <m/>
    <m/>
    <m/>
    <m/>
    <m/>
    <m/>
    <m/>
    <m/>
    <n v="0"/>
    <m/>
    <m/>
    <m/>
    <m/>
    <m/>
    <n v="0"/>
    <m/>
    <n v="1"/>
    <n v="565000"/>
    <s v="Other structures"/>
    <m/>
    <m/>
    <m/>
    <m/>
    <n v="0"/>
    <m/>
    <n v="1"/>
    <m/>
    <m/>
    <m/>
    <n v="0"/>
    <m/>
    <m/>
    <m/>
    <m/>
    <m/>
    <n v="0"/>
    <m/>
    <m/>
    <m/>
    <m/>
    <m/>
    <n v="0"/>
    <m/>
    <m/>
    <m/>
    <m/>
    <m/>
    <n v="0"/>
    <m/>
    <m/>
    <m/>
    <m/>
    <m/>
    <n v="0"/>
    <m/>
    <m/>
    <m/>
    <m/>
    <m/>
    <n v="0"/>
    <m/>
    <m/>
    <m/>
    <m/>
    <n v="1"/>
    <n v="565000"/>
  </r>
  <r>
    <m/>
    <n v="6"/>
    <n v="6"/>
    <s v="MN"/>
    <n v="999"/>
    <s v="MN 999"/>
    <s v="8806-MA-18"/>
    <x v="3"/>
    <m/>
    <s v="S"/>
    <s v="MNDOT"/>
    <m/>
    <s v="DISTRICTWIDE SETASIDES - MISCELLANEOUS AGREEMENTS - 2018"/>
    <m/>
    <m/>
    <n v="0"/>
    <m/>
    <s v="DISTRICTWIDE"/>
    <s v="MA"/>
    <s v="1-M  "/>
    <s v="1-M "/>
    <m/>
    <s v="SETA - SET ASIDE"/>
    <s v="MISCELLANEOUS"/>
    <s v="SF  "/>
    <s v="SF"/>
    <m/>
    <m/>
    <n v="100000"/>
    <n v="0"/>
    <n v="0"/>
    <n v="0"/>
    <n v="0"/>
    <n v="0"/>
    <n v="0"/>
    <n v="0"/>
    <n v="0"/>
    <n v="0"/>
    <n v="0"/>
    <n v="0"/>
    <n v="0"/>
    <n v="0"/>
    <n v="0"/>
    <n v="0"/>
    <n v="100000"/>
    <n v="0"/>
    <n v="100000"/>
    <n v="0"/>
    <n v="0"/>
    <n v="100000"/>
    <m/>
    <m/>
    <n v="2018"/>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n v="6"/>
    <n v="6"/>
    <s v="MN"/>
    <n v="999"/>
    <s v="MN 999"/>
    <s v="8806-MA-19"/>
    <x v="4"/>
    <m/>
    <s v="S"/>
    <s v="MNDOT"/>
    <m/>
    <s v="DISTRICTWIDE SETASIDES - MISCELLANEOUS AGREEMENTS - 2019"/>
    <m/>
    <m/>
    <n v="0"/>
    <m/>
    <s v="DISTRICTWIDE"/>
    <s v="MA"/>
    <s v="1-M  "/>
    <s v="1-M "/>
    <m/>
    <s v="SETA - SET ASIDE"/>
    <s v="MISCELLANEOUS"/>
    <s v="SF  "/>
    <s v="SF"/>
    <m/>
    <m/>
    <n v="100000"/>
    <n v="0"/>
    <n v="0"/>
    <n v="0"/>
    <n v="0"/>
    <n v="0"/>
    <n v="0"/>
    <n v="0"/>
    <n v="0"/>
    <n v="0"/>
    <n v="0"/>
    <n v="0"/>
    <n v="0"/>
    <n v="0"/>
    <n v="0"/>
    <n v="0"/>
    <n v="100000"/>
    <n v="0"/>
    <n v="100000"/>
    <n v="0"/>
    <n v="0"/>
    <n v="100000"/>
    <m/>
    <m/>
    <n v="2019"/>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n v="6"/>
    <n v="6"/>
    <s v="MN"/>
    <n v="999"/>
    <s v="MN 999"/>
    <s v="8806-MA-20"/>
    <x v="5"/>
    <m/>
    <s v="S"/>
    <s v="MNDOT"/>
    <m/>
    <s v="DISTRICTWIDE SETASIDES - MISCELLANEOUS AGREEMENTS - 2020"/>
    <m/>
    <m/>
    <n v="0"/>
    <m/>
    <s v="DISTRICTWIDE"/>
    <s v="MA"/>
    <s v="1-M  "/>
    <s v="1-M "/>
    <m/>
    <s v="SETA - SET ASIDE"/>
    <s v="MISCELLANEOUS"/>
    <s v="SF  "/>
    <s v="SF"/>
    <m/>
    <m/>
    <n v="100000"/>
    <n v="0"/>
    <n v="0"/>
    <n v="0"/>
    <n v="0"/>
    <n v="0"/>
    <n v="0"/>
    <n v="0"/>
    <n v="0"/>
    <n v="0"/>
    <n v="0"/>
    <n v="0"/>
    <n v="0"/>
    <n v="0"/>
    <n v="0"/>
    <n v="0"/>
    <n v="100000"/>
    <n v="0"/>
    <n v="100000"/>
    <n v="0"/>
    <n v="0"/>
    <n v="100000"/>
    <m/>
    <m/>
    <n v="2020"/>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n v="6"/>
    <n v="6"/>
    <s v="MN"/>
    <n v="999"/>
    <s v="MN 999"/>
    <s v="8806-MA-21"/>
    <x v="6"/>
    <m/>
    <s v="S"/>
    <s v="MNDOT"/>
    <m/>
    <s v="DISTRICTWIDE SETASIDES - MISCELLANEOUS AGREEMENTS - 2021"/>
    <m/>
    <m/>
    <n v="0"/>
    <m/>
    <s v="DISTRICTWIDE"/>
    <s v="MA"/>
    <s v="1-M  "/>
    <s v="1-M "/>
    <m/>
    <s v="SETA - SET ASIDE"/>
    <s v="MISCELLANEOUS"/>
    <s v="SF  "/>
    <s v="SF"/>
    <m/>
    <m/>
    <n v="100000"/>
    <n v="0"/>
    <n v="0"/>
    <n v="0"/>
    <n v="0"/>
    <n v="0"/>
    <n v="0"/>
    <n v="0"/>
    <n v="0"/>
    <n v="0"/>
    <n v="0"/>
    <n v="0"/>
    <n v="0"/>
    <n v="0"/>
    <n v="0"/>
    <n v="0"/>
    <n v="100000"/>
    <n v="0"/>
    <n v="100000"/>
    <n v="0"/>
    <n v="0"/>
    <n v="100000"/>
    <m/>
    <m/>
    <n v="2021"/>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n v="6"/>
    <n v="6"/>
    <s v="MN"/>
    <n v="999"/>
    <s v="MN 999"/>
    <s v="8806-MA-22"/>
    <x v="7"/>
    <m/>
    <s v="S"/>
    <s v="MNDOT"/>
    <m/>
    <s v="DISTRICTWIDE SETASIDES - MISCELLANEOUS AGREEMENTS - 2022"/>
    <m/>
    <m/>
    <n v="0"/>
    <m/>
    <s v="DISTRICTWIDE"/>
    <s v="MA"/>
    <s v="1-M  "/>
    <s v="1-M "/>
    <m/>
    <s v="SETA - SET ASIDE"/>
    <s v="MISCELLANEOUS"/>
    <s v="SF  "/>
    <s v="SF"/>
    <m/>
    <m/>
    <n v="100000"/>
    <n v="0"/>
    <n v="0"/>
    <n v="0"/>
    <n v="0"/>
    <n v="0"/>
    <n v="0"/>
    <n v="0"/>
    <n v="0"/>
    <n v="0"/>
    <n v="0"/>
    <n v="0"/>
    <n v="0"/>
    <n v="0"/>
    <n v="0"/>
    <n v="0"/>
    <n v="100000"/>
    <n v="0"/>
    <n v="100000"/>
    <n v="0"/>
    <n v="0"/>
    <n v="100000"/>
    <m/>
    <m/>
    <n v="2022"/>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n v="6"/>
    <n v="6"/>
    <s v="MN"/>
    <n v="999"/>
    <s v="MN 999"/>
    <s v="8806-MA-23"/>
    <x v="8"/>
    <m/>
    <s v="S"/>
    <s v="MNDOT"/>
    <m/>
    <s v="DISTRICTWIDE SETASIDES - MISCELLANEOUS AGREEMENTS - 2023"/>
    <m/>
    <m/>
    <n v="0"/>
    <m/>
    <s v="DISTRICTWIDE"/>
    <s v="MA"/>
    <s v="1-M  "/>
    <s v="1-M "/>
    <m/>
    <s v="SETA - SET ASIDE"/>
    <s v="MISCELLANEOUS"/>
    <s v="SF  "/>
    <s v="SF"/>
    <m/>
    <m/>
    <n v="100000"/>
    <n v="0"/>
    <n v="0"/>
    <n v="0"/>
    <n v="0"/>
    <n v="0"/>
    <n v="0"/>
    <n v="0"/>
    <n v="0"/>
    <n v="0"/>
    <n v="0"/>
    <n v="0"/>
    <n v="0"/>
    <n v="0"/>
    <n v="0"/>
    <n v="0"/>
    <n v="100000"/>
    <n v="0"/>
    <n v="100000"/>
    <n v="0"/>
    <n v="0"/>
    <n v="100000"/>
    <m/>
    <m/>
    <n v="2023"/>
    <m/>
    <m/>
    <m/>
    <m/>
    <m/>
    <m/>
    <m/>
    <m/>
    <m/>
    <m/>
    <m/>
    <m/>
    <m/>
    <n v="0.82099999999999995"/>
    <n v="82100"/>
    <m/>
    <m/>
    <m/>
    <m/>
    <m/>
    <n v="0"/>
    <m/>
    <n v="0.115"/>
    <n v="11500"/>
    <m/>
    <m/>
    <m/>
    <m/>
    <n v="3.2000000000000001E-2"/>
    <n v="3200"/>
    <m/>
    <m/>
    <m/>
    <m/>
    <m/>
    <n v="0"/>
    <m/>
    <m/>
    <m/>
    <m/>
    <m/>
    <n v="0"/>
    <m/>
    <m/>
    <m/>
    <m/>
    <n v="2.3E-2"/>
    <n v="2300"/>
    <m/>
    <m/>
    <m/>
    <m/>
    <n v="8.9999999999999993E-3"/>
    <n v="899.99999999999989"/>
    <m/>
    <m/>
    <m/>
    <m/>
    <m/>
    <n v="0"/>
    <m/>
    <m/>
    <m/>
    <m/>
    <m/>
    <n v="0"/>
    <m/>
    <m/>
    <m/>
    <m/>
    <n v="1"/>
    <n v="100000"/>
  </r>
  <r>
    <m/>
    <s v="M"/>
    <s v="M"/>
    <s v="I"/>
    <n v="94"/>
    <s v="I 94"/>
    <s v="6282-204"/>
    <x v="2"/>
    <m/>
    <s v="S"/>
    <s v="MNDOT"/>
    <n v="7"/>
    <s v="FROM JUST E OF DALE ST TO JUST W OF PELHAM BLVD IN ST PAUL - REPAIR BRIDGES 9379, 9381, 9452, 9457, 9663, REDECK BRIDGES 9383, 62813, 62845 AND MILL AND OVERLAY BRIDGE 9387"/>
    <m/>
    <m/>
    <m/>
    <m/>
    <m/>
    <m/>
    <m/>
    <m/>
    <m/>
    <m/>
    <m/>
    <m/>
    <m/>
    <m/>
    <m/>
    <n v="6685000"/>
    <m/>
    <m/>
    <m/>
    <m/>
    <m/>
    <m/>
    <m/>
    <m/>
    <m/>
    <m/>
    <m/>
    <m/>
    <m/>
    <m/>
    <m/>
    <m/>
    <m/>
    <m/>
    <m/>
    <n v="0"/>
    <m/>
    <m/>
    <m/>
    <m/>
    <m/>
    <m/>
    <m/>
    <m/>
    <m/>
    <m/>
    <m/>
    <m/>
    <m/>
    <m/>
    <m/>
    <m/>
    <m/>
    <m/>
    <n v="0"/>
    <m/>
    <m/>
    <m/>
    <m/>
    <n v="0.97256240673328309"/>
    <n v="6501579.6890119975"/>
    <m/>
    <n v="1.5889605405241314E-2"/>
    <n v="106222.01213403819"/>
    <s v="Guardrails and fencing"/>
    <m/>
    <m/>
    <m/>
    <m/>
    <n v="0"/>
    <m/>
    <n v="1"/>
    <m/>
    <m/>
    <m/>
    <n v="0"/>
    <m/>
    <m/>
    <m/>
    <m/>
    <m/>
    <n v="0"/>
    <m/>
    <m/>
    <m/>
    <m/>
    <m/>
    <n v="0"/>
    <m/>
    <m/>
    <m/>
    <m/>
    <n v="6.1470234131517226E-3"/>
    <n v="41092.851516919269"/>
    <m/>
    <m/>
    <m/>
    <m/>
    <m/>
    <n v="0"/>
    <m/>
    <m/>
    <m/>
    <m/>
    <n v="5.4009644483238644E-3"/>
    <n v="36105.447337045036"/>
    <s v="Supplemental agreements"/>
    <m/>
    <m/>
    <m/>
    <n v="1"/>
    <n v="6685000"/>
  </r>
  <r>
    <m/>
    <s v="M"/>
    <s v="M"/>
    <s v="I"/>
    <n v="94"/>
    <s v="I 94"/>
    <s v="6283-175"/>
    <x v="2"/>
    <m/>
    <s v="S"/>
    <s v="MNDOT"/>
    <n v="7"/>
    <s v="EB I94 FROM 7TH ST EXIT TO MOUNDS BLVD IN ST PAUL-ADD AUXILLIARY LANE, NOISEWALL, DRAINAGE, POND, TMS, SIGNING, LIGHTING, GUARDRAIL"/>
    <m/>
    <m/>
    <m/>
    <m/>
    <m/>
    <m/>
    <m/>
    <m/>
    <m/>
    <m/>
    <m/>
    <m/>
    <m/>
    <m/>
    <m/>
    <n v="3460000"/>
    <m/>
    <m/>
    <m/>
    <m/>
    <m/>
    <m/>
    <m/>
    <m/>
    <m/>
    <m/>
    <m/>
    <m/>
    <m/>
    <m/>
    <m/>
    <m/>
    <m/>
    <m/>
    <m/>
    <n v="0"/>
    <m/>
    <m/>
    <m/>
    <m/>
    <m/>
    <m/>
    <m/>
    <m/>
    <m/>
    <m/>
    <m/>
    <m/>
    <m/>
    <m/>
    <m/>
    <m/>
    <m/>
    <n v="2.1653545581759207E-2"/>
    <n v="74921.267712886853"/>
    <m/>
    <m/>
    <m/>
    <m/>
    <m/>
    <n v="0"/>
    <m/>
    <n v="0.43983685020008068"/>
    <n v="1521835.5016922792"/>
    <s v="Drainage and culverts"/>
    <m/>
    <m/>
    <m/>
    <n v="2.2314561123565099E-2"/>
    <n v="77208.38148753524"/>
    <s v="Low cost high benefit"/>
    <n v="0.99999999999999978"/>
    <m/>
    <m/>
    <m/>
    <n v="0"/>
    <m/>
    <m/>
    <m/>
    <m/>
    <n v="0.51619504309459485"/>
    <n v="1786034.8491072983"/>
    <m/>
    <m/>
    <m/>
    <m/>
    <m/>
    <n v="0"/>
    <m/>
    <m/>
    <m/>
    <m/>
    <m/>
    <n v="0"/>
    <m/>
    <m/>
    <m/>
    <m/>
    <m/>
    <n v="0"/>
    <m/>
    <m/>
    <m/>
    <m/>
    <m/>
    <n v="0"/>
    <m/>
    <m/>
    <m/>
    <m/>
    <n v="0.99999999999999978"/>
    <n v="3460000"/>
  </r>
  <r>
    <m/>
    <s v="M"/>
    <s v="M"/>
    <s v="I"/>
    <n v="94"/>
    <s v="I 94"/>
    <s v="6283-234"/>
    <x v="2"/>
    <m/>
    <s v="S"/>
    <s v="MNDOT"/>
    <n v="7"/>
    <s v="FROM JUST E MOUNDS BLVD IN ST PAUL TO E OF MN120 IN WOODBURY AND ON US61 FROM JUST N BURNS AVE TO W JCT MN5 IN ST PAUL- UNBONDED CONCRETE OVERLAY, REPAIR BRIDGES 62706, 62861, 62862, 62838 AND 62870, DRAINAGE, SIGNALS, LIGHTING, SIGNING, GUARDRAIL, TMS AND ADA"/>
    <m/>
    <m/>
    <m/>
    <m/>
    <m/>
    <m/>
    <m/>
    <m/>
    <m/>
    <m/>
    <m/>
    <m/>
    <m/>
    <m/>
    <m/>
    <n v="32520000"/>
    <m/>
    <m/>
    <m/>
    <m/>
    <m/>
    <m/>
    <m/>
    <m/>
    <m/>
    <m/>
    <m/>
    <m/>
    <m/>
    <m/>
    <m/>
    <m/>
    <m/>
    <m/>
    <m/>
    <n v="0"/>
    <m/>
    <m/>
    <m/>
    <m/>
    <m/>
    <m/>
    <m/>
    <m/>
    <m/>
    <m/>
    <m/>
    <m/>
    <m/>
    <m/>
    <m/>
    <m/>
    <m/>
    <n v="0.93866523202458785"/>
    <n v="30525393.345439598"/>
    <m/>
    <m/>
    <m/>
    <m/>
    <n v="1.1772767987750865E-2"/>
    <n v="382850.41496165813"/>
    <m/>
    <n v="2.6802394517712377E-2"/>
    <n v="871613.86971600645"/>
    <s v="Drainage and culverts"/>
    <m/>
    <m/>
    <m/>
    <n v="1.8456364145235701E-2"/>
    <n v="600200.96200306504"/>
    <s v="Low cost high benefit"/>
    <n v="1"/>
    <m/>
    <m/>
    <m/>
    <n v="0"/>
    <m/>
    <m/>
    <m/>
    <m/>
    <n v="3.2801487946385139E-3"/>
    <n v="106670.43880164447"/>
    <m/>
    <m/>
    <m/>
    <m/>
    <m/>
    <n v="0"/>
    <m/>
    <m/>
    <m/>
    <m/>
    <n v="1.0230925300746749E-3"/>
    <n v="33270.969078028429"/>
    <m/>
    <m/>
    <m/>
    <m/>
    <m/>
    <n v="0"/>
    <m/>
    <m/>
    <m/>
    <m/>
    <m/>
    <n v="0"/>
    <m/>
    <m/>
    <m/>
    <m/>
    <n v="1"/>
    <n v="32520000"/>
  </r>
  <r>
    <m/>
    <s v="M"/>
    <s v="M"/>
    <s v="I"/>
    <s v="35W"/>
    <s v="I 35W"/>
    <s v="6284-157"/>
    <x v="0"/>
    <m/>
    <s v="S"/>
    <s v="MNDOT"/>
    <n v="7"/>
    <s v="AT RAMSEY CSAH 96 (CTY RD G) OVER I35W IN ARDEN HILLS/NEW BRIGHTON-REDECK BRIDGE 9577, APPROACH PANEL WORK, GUARDRAIL"/>
    <m/>
    <m/>
    <m/>
    <m/>
    <m/>
    <m/>
    <m/>
    <m/>
    <m/>
    <m/>
    <m/>
    <m/>
    <m/>
    <m/>
    <m/>
    <n v="890000"/>
    <m/>
    <m/>
    <m/>
    <m/>
    <m/>
    <m/>
    <m/>
    <m/>
    <m/>
    <m/>
    <m/>
    <m/>
    <m/>
    <m/>
    <m/>
    <m/>
    <m/>
    <m/>
    <m/>
    <n v="0"/>
    <m/>
    <m/>
    <m/>
    <m/>
    <m/>
    <m/>
    <m/>
    <m/>
    <m/>
    <m/>
    <m/>
    <m/>
    <m/>
    <m/>
    <m/>
    <m/>
    <m/>
    <m/>
    <n v="0"/>
    <m/>
    <m/>
    <m/>
    <m/>
    <n v="0.94195055322155641"/>
    <n v="838335.99236718519"/>
    <m/>
    <n v="5.8049446778443599E-2"/>
    <n v="51664.007632814806"/>
    <s v="Guardrails and fencing"/>
    <m/>
    <m/>
    <m/>
    <m/>
    <n v="0"/>
    <m/>
    <n v="1"/>
    <m/>
    <m/>
    <m/>
    <n v="0"/>
    <m/>
    <m/>
    <m/>
    <m/>
    <m/>
    <n v="0"/>
    <m/>
    <m/>
    <m/>
    <m/>
    <m/>
    <n v="0"/>
    <m/>
    <m/>
    <m/>
    <m/>
    <m/>
    <n v="0"/>
    <m/>
    <m/>
    <m/>
    <m/>
    <m/>
    <n v="0"/>
    <m/>
    <m/>
    <m/>
    <m/>
    <m/>
    <n v="0"/>
    <m/>
    <m/>
    <m/>
    <m/>
    <n v="1"/>
    <n v="890000"/>
  </r>
  <r>
    <m/>
    <s v="M"/>
    <s v="M"/>
    <s v="I"/>
    <s v="35W"/>
    <s v="I 35W"/>
    <s v="6284-162"/>
    <x v="1"/>
    <m/>
    <s v="S"/>
    <s v="MNDOT"/>
    <n v="7"/>
    <s v="AT RAMSEY COUNTY RD H  (T.C. ARSENAL ENTRANCE) IN ARDEN HILLS - REPLACE BRIDGE #9582 AND RAMP RECONSTRUCTION"/>
    <m/>
    <m/>
    <m/>
    <m/>
    <m/>
    <m/>
    <m/>
    <m/>
    <m/>
    <m/>
    <m/>
    <m/>
    <m/>
    <m/>
    <m/>
    <n v="6470000"/>
    <m/>
    <m/>
    <m/>
    <m/>
    <m/>
    <m/>
    <m/>
    <m/>
    <m/>
    <m/>
    <m/>
    <m/>
    <m/>
    <m/>
    <m/>
    <m/>
    <m/>
    <m/>
    <m/>
    <n v="0"/>
    <m/>
    <m/>
    <m/>
    <m/>
    <m/>
    <m/>
    <m/>
    <m/>
    <m/>
    <m/>
    <m/>
    <m/>
    <m/>
    <m/>
    <m/>
    <m/>
    <m/>
    <n v="0.41096772727631048"/>
    <n v="2658961.1954777287"/>
    <m/>
    <m/>
    <m/>
    <m/>
    <n v="0.58903227272368952"/>
    <n v="3811038.8045222713"/>
    <m/>
    <m/>
    <n v="0"/>
    <m/>
    <m/>
    <m/>
    <m/>
    <m/>
    <n v="0"/>
    <m/>
    <n v="1"/>
    <m/>
    <m/>
    <m/>
    <n v="0"/>
    <m/>
    <m/>
    <m/>
    <m/>
    <m/>
    <n v="0"/>
    <m/>
    <m/>
    <m/>
    <m/>
    <m/>
    <n v="0"/>
    <m/>
    <m/>
    <m/>
    <m/>
    <m/>
    <n v="0"/>
    <m/>
    <m/>
    <m/>
    <m/>
    <m/>
    <n v="0"/>
    <m/>
    <m/>
    <m/>
    <m/>
    <m/>
    <n v="0"/>
    <m/>
    <m/>
    <m/>
    <m/>
    <n v="1"/>
    <n v="6470000"/>
  </r>
  <r>
    <m/>
    <s v="M"/>
    <s v="M"/>
    <s v="I"/>
    <s v="35W"/>
    <s v="I 35W"/>
    <s v="6284-163"/>
    <x v="2"/>
    <m/>
    <s v="S"/>
    <s v="MNDOT"/>
    <n v="7"/>
    <s v="FROM JUST S OF I694 IN NEW BRIGHTON TO JUST S OF RAMSEY CR E2 IN ARDEN HILLS - REPLACE BRIDGES 9570 &amp; 9599 AND APPROACHES, GUARDRAIL, RETAINING WALL AND PONDING"/>
    <m/>
    <m/>
    <m/>
    <m/>
    <m/>
    <m/>
    <m/>
    <m/>
    <m/>
    <m/>
    <m/>
    <m/>
    <m/>
    <m/>
    <m/>
    <n v="10705000"/>
    <m/>
    <m/>
    <m/>
    <m/>
    <m/>
    <m/>
    <m/>
    <m/>
    <m/>
    <m/>
    <m/>
    <m/>
    <m/>
    <m/>
    <m/>
    <m/>
    <m/>
    <m/>
    <m/>
    <n v="0"/>
    <m/>
    <m/>
    <m/>
    <m/>
    <m/>
    <m/>
    <m/>
    <m/>
    <m/>
    <m/>
    <m/>
    <m/>
    <m/>
    <m/>
    <m/>
    <m/>
    <m/>
    <n v="0.25995961431068842"/>
    <n v="2782867.6711959196"/>
    <m/>
    <m/>
    <m/>
    <m/>
    <n v="0.61401231711210935"/>
    <n v="6573001.8546851305"/>
    <m/>
    <n v="0.11354093899343302"/>
    <n v="1215455.7519247006"/>
    <s v="Other structures"/>
    <m/>
    <m/>
    <m/>
    <m/>
    <n v="0"/>
    <m/>
    <n v="1"/>
    <m/>
    <m/>
    <m/>
    <n v="0"/>
    <m/>
    <m/>
    <m/>
    <m/>
    <n v="1.2487129583769198E-2"/>
    <n v="133674.72219424925"/>
    <m/>
    <m/>
    <m/>
    <m/>
    <m/>
    <n v="0"/>
    <m/>
    <m/>
    <m/>
    <m/>
    <m/>
    <n v="0"/>
    <m/>
    <m/>
    <m/>
    <m/>
    <m/>
    <n v="0"/>
    <m/>
    <m/>
    <m/>
    <m/>
    <m/>
    <n v="0"/>
    <m/>
    <m/>
    <m/>
    <m/>
    <n v="1"/>
    <n v="10705000"/>
  </r>
  <r>
    <m/>
    <s v="M"/>
    <s v="M"/>
    <s v="I"/>
    <s v="35W"/>
    <s v="I 35W"/>
    <s v="6284-166"/>
    <x v="2"/>
    <m/>
    <s v="S"/>
    <s v="MNDOT"/>
    <n v="7"/>
    <s v="FROM JCT MN36 IN ROSEVILLE TO JUST N I694 IN ARDEN HILLS/NEW BRIGHTON- MILL AND OVERLAY, DRAINAGE, GUARDRAIL, SIGNING, AUXILLIARY LANES"/>
    <m/>
    <m/>
    <m/>
    <m/>
    <m/>
    <m/>
    <m/>
    <m/>
    <m/>
    <m/>
    <m/>
    <m/>
    <m/>
    <m/>
    <m/>
    <n v="10580000"/>
    <m/>
    <m/>
    <m/>
    <m/>
    <m/>
    <m/>
    <m/>
    <m/>
    <m/>
    <m/>
    <m/>
    <m/>
    <m/>
    <m/>
    <m/>
    <m/>
    <m/>
    <m/>
    <m/>
    <n v="0"/>
    <m/>
    <m/>
    <m/>
    <m/>
    <m/>
    <m/>
    <m/>
    <m/>
    <m/>
    <m/>
    <m/>
    <m/>
    <m/>
    <m/>
    <m/>
    <m/>
    <m/>
    <n v="0.67653996296107966"/>
    <n v="7157792.8081282228"/>
    <m/>
    <m/>
    <m/>
    <m/>
    <m/>
    <n v="0"/>
    <m/>
    <n v="0.25207127033818383"/>
    <n v="2666914.0401779851"/>
    <s v="Drainage and culverts"/>
    <m/>
    <m/>
    <m/>
    <m/>
    <n v="0"/>
    <m/>
    <n v="1"/>
    <m/>
    <m/>
    <m/>
    <n v="0"/>
    <m/>
    <m/>
    <m/>
    <m/>
    <n v="5.2874410385717802E-2"/>
    <n v="559411.26188089431"/>
    <m/>
    <m/>
    <m/>
    <m/>
    <m/>
    <n v="0"/>
    <m/>
    <m/>
    <m/>
    <m/>
    <n v="1.8514356315018722E-2"/>
    <n v="195881.88981289807"/>
    <m/>
    <m/>
    <m/>
    <m/>
    <m/>
    <n v="0"/>
    <m/>
    <m/>
    <m/>
    <m/>
    <m/>
    <n v="0"/>
    <m/>
    <m/>
    <m/>
    <m/>
    <n v="1"/>
    <n v="10580000.000000002"/>
  </r>
  <r>
    <m/>
    <s v="M"/>
    <s v="M"/>
    <s v="I"/>
    <s v="35W"/>
    <s v="I 35W"/>
    <s v="6284-170"/>
    <x v="1"/>
    <m/>
    <s v="S"/>
    <s v="MNDOT"/>
    <n v="7"/>
    <s v="FROM MN36 IN ROSEVILLE TO US10 IN MOUNDS VIEW-INSTALL ITS, INCLUDING VEHICLE DETECTION, FIBER, REPLACE SHELTERS &amp; ELIMINATE COPPER"/>
    <m/>
    <m/>
    <m/>
    <m/>
    <m/>
    <m/>
    <m/>
    <m/>
    <m/>
    <m/>
    <m/>
    <m/>
    <m/>
    <m/>
    <m/>
    <n v="1000000"/>
    <m/>
    <m/>
    <m/>
    <m/>
    <m/>
    <m/>
    <m/>
    <m/>
    <m/>
    <m/>
    <m/>
    <m/>
    <m/>
    <m/>
    <m/>
    <m/>
    <m/>
    <m/>
    <m/>
    <n v="0"/>
    <m/>
    <m/>
    <m/>
    <m/>
    <m/>
    <m/>
    <m/>
    <m/>
    <m/>
    <m/>
    <m/>
    <m/>
    <m/>
    <m/>
    <m/>
    <m/>
    <m/>
    <m/>
    <n v="0"/>
    <m/>
    <m/>
    <m/>
    <m/>
    <m/>
    <n v="0"/>
    <m/>
    <n v="1"/>
    <n v="1000000"/>
    <s v="Other traffic devices"/>
    <m/>
    <m/>
    <m/>
    <m/>
    <n v="0"/>
    <m/>
    <n v="1"/>
    <m/>
    <m/>
    <m/>
    <n v="0"/>
    <m/>
    <m/>
    <m/>
    <m/>
    <m/>
    <n v="0"/>
    <m/>
    <m/>
    <m/>
    <m/>
    <m/>
    <n v="0"/>
    <m/>
    <m/>
    <m/>
    <m/>
    <m/>
    <n v="0"/>
    <m/>
    <m/>
    <m/>
    <m/>
    <m/>
    <n v="0"/>
    <m/>
    <m/>
    <m/>
    <m/>
    <m/>
    <n v="0"/>
    <m/>
    <m/>
    <m/>
    <m/>
    <n v="1"/>
    <n v="1000000"/>
  </r>
  <r>
    <m/>
    <s v="M"/>
    <s v="M"/>
    <s v="I"/>
    <n v="694"/>
    <s v="I 694"/>
    <s v="6285-148"/>
    <x v="1"/>
    <m/>
    <s v="S"/>
    <s v="MNDOT"/>
    <n v="7"/>
    <s v="US10 SB TO EB LEFT ENTRANCE TO I694 AND MERGE TO SNELLING AND SB HAMLINE TO EB I694 IN ARDEN HILLS - LANDSCAPING"/>
    <m/>
    <m/>
    <m/>
    <m/>
    <m/>
    <m/>
    <m/>
    <m/>
    <m/>
    <m/>
    <m/>
    <m/>
    <m/>
    <m/>
    <m/>
    <n v="200000"/>
    <m/>
    <m/>
    <m/>
    <m/>
    <m/>
    <m/>
    <m/>
    <m/>
    <m/>
    <m/>
    <m/>
    <m/>
    <m/>
    <m/>
    <m/>
    <m/>
    <m/>
    <m/>
    <m/>
    <n v="0"/>
    <m/>
    <m/>
    <m/>
    <m/>
    <m/>
    <m/>
    <m/>
    <m/>
    <m/>
    <m/>
    <m/>
    <m/>
    <m/>
    <m/>
    <m/>
    <m/>
    <m/>
    <m/>
    <n v="0"/>
    <m/>
    <m/>
    <m/>
    <m/>
    <m/>
    <n v="0"/>
    <m/>
    <m/>
    <n v="0"/>
    <m/>
    <m/>
    <m/>
    <m/>
    <m/>
    <n v="0"/>
    <m/>
    <n v="1"/>
    <m/>
    <m/>
    <m/>
    <n v="0"/>
    <m/>
    <m/>
    <m/>
    <m/>
    <m/>
    <n v="0"/>
    <m/>
    <m/>
    <m/>
    <m/>
    <m/>
    <n v="0"/>
    <m/>
    <m/>
    <m/>
    <m/>
    <m/>
    <n v="0"/>
    <m/>
    <m/>
    <m/>
    <m/>
    <n v="1"/>
    <n v="200000"/>
    <m/>
    <m/>
    <m/>
    <m/>
    <m/>
    <n v="0"/>
    <m/>
    <m/>
    <m/>
    <m/>
    <n v="1"/>
    <n v="200000"/>
  </r>
  <r>
    <m/>
    <s v="M"/>
    <s v="M"/>
    <s v="I"/>
    <n v="694"/>
    <s v="I 694"/>
    <s v="6285-149"/>
    <x v="0"/>
    <m/>
    <s v="S"/>
    <s v="MNDOT"/>
    <n v="7"/>
    <s v="I694 EB RAMP TO SB I35E IN LITTLE CANADA - REPAIR SHOULDER SETTLEMENT AREA AND SLOPE STABILITY PROBLEM"/>
    <m/>
    <m/>
    <m/>
    <m/>
    <m/>
    <m/>
    <m/>
    <m/>
    <m/>
    <m/>
    <m/>
    <m/>
    <m/>
    <m/>
    <m/>
    <n v="1055000"/>
    <m/>
    <m/>
    <m/>
    <m/>
    <m/>
    <m/>
    <m/>
    <m/>
    <m/>
    <m/>
    <m/>
    <m/>
    <m/>
    <m/>
    <m/>
    <m/>
    <m/>
    <m/>
    <m/>
    <n v="0"/>
    <m/>
    <m/>
    <m/>
    <m/>
    <m/>
    <m/>
    <m/>
    <m/>
    <m/>
    <m/>
    <m/>
    <m/>
    <m/>
    <m/>
    <m/>
    <m/>
    <m/>
    <n v="0.79105725031341412"/>
    <n v="834565.39908065193"/>
    <m/>
    <m/>
    <m/>
    <m/>
    <m/>
    <n v="0"/>
    <m/>
    <m/>
    <n v="0"/>
    <m/>
    <m/>
    <m/>
    <m/>
    <m/>
    <n v="0"/>
    <m/>
    <n v="1"/>
    <m/>
    <m/>
    <m/>
    <n v="0"/>
    <m/>
    <m/>
    <m/>
    <m/>
    <m/>
    <n v="0"/>
    <m/>
    <m/>
    <m/>
    <m/>
    <m/>
    <n v="0"/>
    <m/>
    <m/>
    <m/>
    <m/>
    <m/>
    <n v="0"/>
    <m/>
    <m/>
    <m/>
    <m/>
    <m/>
    <n v="0"/>
    <m/>
    <m/>
    <m/>
    <m/>
    <n v="0.20894274968658588"/>
    <n v="220434.6009193481"/>
    <s v="Right of way"/>
    <m/>
    <m/>
    <m/>
    <n v="1"/>
    <n v="1055000"/>
  </r>
  <r>
    <m/>
    <s v="M"/>
    <s v="M"/>
    <s v="I"/>
    <n v="694"/>
    <s v="I 694"/>
    <s v="6285-154"/>
    <x v="0"/>
    <m/>
    <s v="S"/>
    <s v="MNDOT"/>
    <n v="7"/>
    <s v="AT LEXINGTON AVENUE IN ARDEN HILLS/SHOREVIEW - RIGHT TURN LANES AND SIGNAL MODIFICATION"/>
    <m/>
    <m/>
    <m/>
    <m/>
    <m/>
    <m/>
    <m/>
    <m/>
    <m/>
    <m/>
    <m/>
    <m/>
    <m/>
    <m/>
    <m/>
    <n v="252212"/>
    <m/>
    <m/>
    <m/>
    <m/>
    <m/>
    <m/>
    <m/>
    <m/>
    <m/>
    <m/>
    <m/>
    <m/>
    <m/>
    <m/>
    <m/>
    <m/>
    <m/>
    <m/>
    <m/>
    <n v="0"/>
    <m/>
    <m/>
    <m/>
    <m/>
    <m/>
    <m/>
    <m/>
    <m/>
    <m/>
    <m/>
    <m/>
    <m/>
    <m/>
    <m/>
    <m/>
    <m/>
    <m/>
    <m/>
    <n v="0"/>
    <m/>
    <m/>
    <m/>
    <m/>
    <m/>
    <n v="0"/>
    <m/>
    <m/>
    <n v="0"/>
    <m/>
    <m/>
    <m/>
    <m/>
    <n v="1"/>
    <n v="252212"/>
    <s v="Low cost high benefit"/>
    <n v="1"/>
    <m/>
    <m/>
    <m/>
    <n v="0"/>
    <m/>
    <m/>
    <m/>
    <m/>
    <m/>
    <n v="0"/>
    <m/>
    <m/>
    <m/>
    <m/>
    <m/>
    <n v="0"/>
    <m/>
    <m/>
    <m/>
    <m/>
    <m/>
    <n v="0"/>
    <m/>
    <m/>
    <m/>
    <m/>
    <m/>
    <n v="0"/>
    <m/>
    <m/>
    <m/>
    <m/>
    <m/>
    <n v="0"/>
    <m/>
    <m/>
    <m/>
    <m/>
    <n v="1"/>
    <n v="252212"/>
  </r>
  <r>
    <m/>
    <n v="2"/>
    <n v="2"/>
    <s v="US"/>
    <n v="59"/>
    <s v="US 59"/>
    <s v="6303-37"/>
    <x v="0"/>
    <s v="2014-14"/>
    <s v="S"/>
    <s v="MNDOT"/>
    <m/>
    <s v="US59, NEAR PLUMMER - UPGRADE GATES"/>
    <s v="340+00.455"/>
    <s v="340+00.455"/>
    <n v="0"/>
    <m/>
    <s v="RED LAKE"/>
    <s v="SR"/>
    <s v=" "/>
    <m/>
    <m/>
    <s v="TRCD - TRAFFIC CONTROL DEVICES"/>
    <s v="RAILROAD SIGNALS"/>
    <s v="RRS  "/>
    <s v="RRS"/>
    <m/>
    <m/>
    <n v="250000"/>
    <n v="0"/>
    <n v="0"/>
    <n v="0"/>
    <n v="250000"/>
    <n v="250000"/>
    <n v="0"/>
    <n v="0"/>
    <n v="0"/>
    <n v="0"/>
    <n v="0"/>
    <n v="0"/>
    <n v="0"/>
    <n v="0"/>
    <n v="0"/>
    <n v="0"/>
    <n v="0"/>
    <n v="0"/>
    <n v="0"/>
    <n v="0"/>
    <n v="0"/>
    <n v="250000"/>
    <n v="304000"/>
    <n v="0"/>
    <n v="2014"/>
    <m/>
    <s v="100% Federally funded"/>
    <m/>
    <m/>
    <m/>
    <m/>
    <s v="NO"/>
    <s v="NO"/>
    <s v="7th District"/>
    <s v="NO"/>
    <s v="NO"/>
    <s v="NO"/>
    <s v="NO"/>
    <n v="0"/>
    <n v="0"/>
    <m/>
    <m/>
    <m/>
    <m/>
    <n v="0"/>
    <n v="0"/>
    <m/>
    <n v="1"/>
    <n v="250000"/>
    <m/>
    <m/>
    <m/>
    <m/>
    <n v="0"/>
    <n v="0"/>
    <m/>
    <m/>
    <m/>
    <m/>
    <n v="0"/>
    <n v="0"/>
    <m/>
    <m/>
    <m/>
    <m/>
    <n v="0"/>
    <n v="0"/>
    <m/>
    <m/>
    <m/>
    <m/>
    <n v="0"/>
    <n v="0"/>
    <m/>
    <m/>
    <m/>
    <m/>
    <n v="0"/>
    <n v="0"/>
    <m/>
    <m/>
    <m/>
    <m/>
    <n v="0"/>
    <n v="0"/>
    <m/>
    <m/>
    <m/>
    <m/>
    <n v="0"/>
    <n v="0"/>
    <m/>
    <m/>
    <m/>
    <m/>
    <n v="1"/>
    <n v="250000"/>
  </r>
  <r>
    <m/>
    <n v="2"/>
    <n v="2"/>
    <s v="US"/>
    <n v="59"/>
    <s v="US 59"/>
    <s v="6303-38"/>
    <x v="1"/>
    <s v="2015-26"/>
    <s v="S"/>
    <s v="MNDOT"/>
    <m/>
    <s v="5.0 MI S OF PLUMMER, REPL BR #5819 &amp; APPROACHES"/>
    <s v="336+00.364"/>
    <s v="336+00.364"/>
    <n v="0"/>
    <m/>
    <s v="RED LAKE"/>
    <s v="BR"/>
    <s v="1-B "/>
    <s v="1-B"/>
    <m/>
    <s v="BRPC - BRIDGE REPLACEMENT OR CONSTRUCTION"/>
    <s v="BRIDGE REPLACEMENT"/>
    <s v="NHPP  "/>
    <s v="NHPP"/>
    <m/>
    <m/>
    <n v="1000000"/>
    <n v="0"/>
    <n v="0"/>
    <n v="800000"/>
    <n v="0"/>
    <n v="800000"/>
    <n v="0"/>
    <n v="0"/>
    <n v="0"/>
    <n v="0"/>
    <n v="0"/>
    <n v="0"/>
    <n v="0"/>
    <n v="0"/>
    <n v="0"/>
    <n v="0"/>
    <n v="200000"/>
    <n v="0"/>
    <n v="200000"/>
    <n v="0"/>
    <n v="0"/>
    <n v="1000000"/>
    <n v="11345835"/>
    <n v="1250600"/>
    <n v="2015"/>
    <m/>
    <m/>
    <m/>
    <m/>
    <m/>
    <m/>
    <s v="NO"/>
    <s v="NO"/>
    <s v="7th District"/>
    <s v="NO"/>
    <s v="NO"/>
    <s v="Yes"/>
    <s v="NO"/>
    <n v="0"/>
    <n v="0"/>
    <m/>
    <m/>
    <m/>
    <m/>
    <n v="0.92900000000000005"/>
    <n v="929000"/>
    <m/>
    <n v="0"/>
    <n v="0"/>
    <m/>
    <m/>
    <m/>
    <m/>
    <n v="0"/>
    <n v="0"/>
    <m/>
    <m/>
    <m/>
    <m/>
    <n v="0"/>
    <n v="0"/>
    <m/>
    <m/>
    <m/>
    <m/>
    <n v="0"/>
    <n v="0"/>
    <m/>
    <m/>
    <m/>
    <m/>
    <n v="3.5000000000000003E-2"/>
    <n v="35000"/>
    <m/>
    <m/>
    <m/>
    <m/>
    <n v="3.6000000000000004E-2"/>
    <n v="36000.000000000007"/>
    <m/>
    <m/>
    <m/>
    <m/>
    <n v="0"/>
    <n v="0"/>
    <m/>
    <m/>
    <m/>
    <m/>
    <n v="0"/>
    <n v="0"/>
    <m/>
    <m/>
    <m/>
    <m/>
    <n v="1"/>
    <n v="1000000"/>
  </r>
  <r>
    <m/>
    <n v="2"/>
    <n v="2"/>
    <s v="MN"/>
    <n v="92"/>
    <s v="MN 92"/>
    <s v="6304-13"/>
    <x v="0"/>
    <s v="2014-S08"/>
    <s v="S"/>
    <s v="MNDOT"/>
    <m/>
    <s v="FROM MN32 TO US59, RESURFACING &amp; W OF BROOKS, REPL BR #6830 WITH BR #63003 &amp; APPROACHES"/>
    <s v="000+00.000"/>
    <s v="012+00.992"/>
    <n v="13"/>
    <m/>
    <s v="RED LAKE"/>
    <s v="RS"/>
    <s v="1-B "/>
    <s v="1-B"/>
    <m/>
    <s v="PVTR - PAVEMENT RESURFACE AND REHABILITATION"/>
    <s v="MILL AND OVERLAY"/>
    <s v="STP&lt;5K SF "/>
    <s v="STP&lt;5K"/>
    <s v="SF"/>
    <m/>
    <n v="4150000"/>
    <n v="0"/>
    <n v="0"/>
    <n v="2954400"/>
    <n v="0"/>
    <n v="2954400"/>
    <n v="0"/>
    <n v="0"/>
    <n v="0"/>
    <n v="0"/>
    <n v="0"/>
    <n v="0"/>
    <n v="0"/>
    <n v="0"/>
    <n v="0"/>
    <n v="0"/>
    <n v="1195600"/>
    <n v="0"/>
    <n v="1195600"/>
    <n v="0"/>
    <n v="0"/>
    <n v="4150000"/>
    <n v="20977363"/>
    <n v="13570894"/>
    <n v="2014"/>
    <m/>
    <s v="SM $738,600_x000a_SF $457,000_x000a_Total State $1,195,600"/>
    <m/>
    <m/>
    <m/>
    <m/>
    <s v="NO"/>
    <s v="NO"/>
    <s v="7th District"/>
    <s v="NO"/>
    <s v="NO"/>
    <s v="Yes"/>
    <s v="NO"/>
    <n v="0.621"/>
    <n v="2577150"/>
    <m/>
    <m/>
    <m/>
    <m/>
    <n v="0.2"/>
    <n v="830000"/>
    <m/>
    <n v="0.115"/>
    <n v="477250"/>
    <m/>
    <m/>
    <m/>
    <m/>
    <n v="3.2000000000000001E-2"/>
    <n v="132800"/>
    <m/>
    <m/>
    <m/>
    <m/>
    <n v="0"/>
    <n v="0"/>
    <m/>
    <m/>
    <m/>
    <m/>
    <n v="0"/>
    <n v="0"/>
    <m/>
    <m/>
    <m/>
    <m/>
    <n v="2.3E-2"/>
    <n v="95450"/>
    <m/>
    <m/>
    <m/>
    <m/>
    <n v="9.0000000000000011E-3"/>
    <n v="37350.000000000007"/>
    <m/>
    <m/>
    <m/>
    <m/>
    <n v="0"/>
    <n v="0"/>
    <m/>
    <m/>
    <m/>
    <m/>
    <n v="0"/>
    <n v="0"/>
    <m/>
    <m/>
    <m/>
    <m/>
    <n v="1"/>
    <n v="4150000"/>
  </r>
  <r>
    <m/>
    <n v="8"/>
    <n v="8"/>
    <s v="MN"/>
    <n v="19"/>
    <s v="MN 19"/>
    <s v="6403-34"/>
    <x v="9"/>
    <m/>
    <s v="S"/>
    <s v="MNDOT"/>
    <m/>
    <s v="W. JCT MN 67 TO REDWOOD FALLS, MILL &amp; OVERLAY"/>
    <n v="57.36"/>
    <n v="71.921999999999997"/>
    <n v="14.6"/>
    <m/>
    <s v="REDWOOD"/>
    <s v="RS"/>
    <m/>
    <m/>
    <m/>
    <s v="PVTR - PAVEMENT RESURFACE AND REHABILITATION"/>
    <s v="MILL AND OVERLAY"/>
    <s v="NHPP  "/>
    <s v="NHPP"/>
    <m/>
    <m/>
    <n v="5000000"/>
    <n v="0"/>
    <n v="0"/>
    <n v="4000000"/>
    <n v="0"/>
    <n v="4000000"/>
    <n v="0"/>
    <n v="0"/>
    <n v="0"/>
    <n v="0"/>
    <n v="0"/>
    <n v="0"/>
    <n v="0"/>
    <n v="0"/>
    <n v="0"/>
    <n v="0"/>
    <n v="1000000"/>
    <n v="0"/>
    <n v="1000000"/>
    <n v="0"/>
    <n v="0"/>
    <n v="5000000"/>
    <n v="9928000"/>
    <n v="2492000"/>
    <n v="2017"/>
    <m/>
    <m/>
    <m/>
    <m/>
    <m/>
    <s v="NO"/>
    <s v="NO"/>
    <s v="NO"/>
    <s v="7th District"/>
    <s v="NO"/>
    <s v="NO"/>
    <s v="Yes"/>
    <s v="NO"/>
    <n v="0.88"/>
    <n v="4400000"/>
    <s v="Mill and/or overlay"/>
    <n v="1"/>
    <m/>
    <m/>
    <m/>
    <n v="0"/>
    <m/>
    <n v="0.12"/>
    <n v="600000"/>
    <s v="Drainage and culverts"/>
    <n v="0.5"/>
    <s v="Pavement markings"/>
    <n v="0.5"/>
    <m/>
    <n v="0"/>
    <m/>
    <m/>
    <m/>
    <m/>
    <m/>
    <n v="0"/>
    <m/>
    <m/>
    <m/>
    <m/>
    <m/>
    <n v="0"/>
    <m/>
    <m/>
    <m/>
    <m/>
    <m/>
    <n v="0"/>
    <m/>
    <m/>
    <m/>
    <m/>
    <m/>
    <n v="0"/>
    <m/>
    <m/>
    <m/>
    <m/>
    <m/>
    <n v="0"/>
    <m/>
    <m/>
    <m/>
    <m/>
    <m/>
    <n v="0"/>
    <m/>
    <m/>
    <m/>
    <m/>
    <n v="1"/>
    <n v="5000000"/>
  </r>
  <r>
    <m/>
    <n v="8"/>
    <n v="8"/>
    <s v="US"/>
    <n v="71"/>
    <s v="US 71"/>
    <s v="6405-64"/>
    <x v="1"/>
    <m/>
    <s v="S"/>
    <s v="MNDOT"/>
    <m/>
    <s v="US 14 TO S. OF 11TH STREET (REDWOOD FALLS), MILL &amp; OVERLAY"/>
    <n v="54.271000000000001"/>
    <n v="74.69"/>
    <n v="20.399999999999999"/>
    <m/>
    <s v="REDWOOD"/>
    <s v="RS"/>
    <s v=" "/>
    <m/>
    <m/>
    <s v="PVTR - PAVEMENT RESURFACE AND REHABILITATION"/>
    <s v="BITUMINOUS OVERLAY"/>
    <s v="NHPP  "/>
    <s v="NHPP"/>
    <m/>
    <m/>
    <n v="3900000"/>
    <n v="0"/>
    <n v="0"/>
    <n v="3120000"/>
    <n v="0"/>
    <n v="3120000"/>
    <n v="0"/>
    <n v="0"/>
    <n v="0"/>
    <n v="0"/>
    <n v="0"/>
    <n v="0"/>
    <n v="0"/>
    <n v="0"/>
    <n v="0"/>
    <n v="0"/>
    <n v="780000"/>
    <n v="0"/>
    <n v="780000"/>
    <n v="0"/>
    <n v="0"/>
    <n v="3900000"/>
    <n v="24662563"/>
    <n v="8399500"/>
    <n v="2015"/>
    <m/>
    <m/>
    <s v="Do Not Know"/>
    <m/>
    <m/>
    <s v="NO"/>
    <s v="NO"/>
    <s v="NO"/>
    <s v="7th District"/>
    <s v="NO"/>
    <s v="NO"/>
    <s v="Yes"/>
    <s v="NO"/>
    <n v="0.81"/>
    <n v="3159000"/>
    <s v="Mill and/or overlay"/>
    <n v="1"/>
    <m/>
    <m/>
    <m/>
    <n v="0"/>
    <m/>
    <n v="0.19"/>
    <n v="741000"/>
    <s v="Guardrails and fencing"/>
    <n v="0.5"/>
    <s v="Drainage and culverts"/>
    <n v="0.5"/>
    <m/>
    <n v="0"/>
    <m/>
    <m/>
    <m/>
    <m/>
    <m/>
    <n v="0"/>
    <m/>
    <m/>
    <m/>
    <m/>
    <m/>
    <n v="0"/>
    <m/>
    <m/>
    <m/>
    <m/>
    <m/>
    <n v="0"/>
    <m/>
    <m/>
    <m/>
    <m/>
    <m/>
    <n v="0"/>
    <m/>
    <m/>
    <m/>
    <m/>
    <m/>
    <n v="0"/>
    <m/>
    <m/>
    <m/>
    <m/>
    <m/>
    <n v="0"/>
    <m/>
    <m/>
    <m/>
    <m/>
    <n v="1"/>
    <n v="3900000"/>
  </r>
  <r>
    <m/>
    <n v="8"/>
    <n v="8"/>
    <s v="MN"/>
    <n v="68"/>
    <s v="MN 68"/>
    <s v="6407-31"/>
    <x v="2"/>
    <m/>
    <s v="S"/>
    <s v="MNDOT"/>
    <m/>
    <s v="E. JCT MN 19 TO S. OF REDWOOD CSAH 32, OVERLAY"/>
    <s v="51..055"/>
    <n v="54.17"/>
    <n v="3.1"/>
    <m/>
    <s v="REDWOOD"/>
    <s v="RS"/>
    <s v=" "/>
    <m/>
    <m/>
    <s v="PVTR - PAVEMENT RESURFACE AND REHABILITATION"/>
    <s v="BITUMINOUS OVERLAY"/>
    <s v="STP 5K &gt;  "/>
    <s v="STP 5K &gt;"/>
    <m/>
    <m/>
    <n v="600000"/>
    <n v="0"/>
    <n v="0"/>
    <n v="480000"/>
    <n v="0"/>
    <n v="480000"/>
    <n v="0"/>
    <n v="0"/>
    <n v="0"/>
    <n v="0"/>
    <n v="0"/>
    <n v="0"/>
    <n v="0"/>
    <n v="0"/>
    <n v="0"/>
    <n v="0"/>
    <n v="120000"/>
    <n v="0"/>
    <n v="120000"/>
    <n v="0"/>
    <n v="0"/>
    <n v="600000"/>
    <n v="22286734"/>
    <n v="4180000"/>
    <n v="2016"/>
    <m/>
    <m/>
    <m/>
    <m/>
    <m/>
    <s v="NO"/>
    <s v="YES"/>
    <s v="NO"/>
    <s v="7th District"/>
    <s v="NO"/>
    <s v="NO"/>
    <s v="Yes"/>
    <s v="NO"/>
    <n v="0.86"/>
    <n v="516000"/>
    <s v="Mill and/or overlay"/>
    <n v="1"/>
    <m/>
    <m/>
    <m/>
    <n v="0"/>
    <m/>
    <n v="0.05"/>
    <n v="30000"/>
    <s v="Pavement markings"/>
    <n v="1"/>
    <m/>
    <m/>
    <m/>
    <n v="0"/>
    <m/>
    <m/>
    <m/>
    <m/>
    <m/>
    <n v="0"/>
    <m/>
    <m/>
    <m/>
    <m/>
    <m/>
    <n v="0"/>
    <m/>
    <m/>
    <m/>
    <m/>
    <m/>
    <n v="0"/>
    <m/>
    <m/>
    <m/>
    <m/>
    <n v="0.09"/>
    <n v="54000"/>
    <s v="ADA improvements - curb"/>
    <n v="1"/>
    <m/>
    <m/>
    <m/>
    <n v="0"/>
    <m/>
    <m/>
    <m/>
    <m/>
    <m/>
    <n v="0"/>
    <m/>
    <m/>
    <m/>
    <m/>
    <n v="1"/>
    <n v="600000"/>
  </r>
  <r>
    <m/>
    <n v="8"/>
    <n v="8"/>
    <s v="MN"/>
    <n v="19"/>
    <s v="MN 19"/>
    <s v="6506-37"/>
    <x v="2"/>
    <m/>
    <s v="S"/>
    <s v="MNDOT"/>
    <m/>
    <s v="E. OF US 71 TO MN 4 (FAIRFAX), OVERLAY IN RURAL AND MILL &amp; OVERLAY IN URBANS"/>
    <n v="78.846000000000004"/>
    <n v="92.983000000000004"/>
    <n v="14.1"/>
    <m/>
    <s v="RENVILLE"/>
    <s v="RS"/>
    <s v=" "/>
    <m/>
    <m/>
    <s v="PVTR - PAVEMENT RESURFACE AND REHABILITATION"/>
    <s v="SURFACING"/>
    <s v="STP 5K &gt;  "/>
    <s v="STP 5K &gt;"/>
    <m/>
    <m/>
    <n v="2600000"/>
    <n v="0"/>
    <n v="0"/>
    <n v="2080000"/>
    <n v="0"/>
    <n v="2080000"/>
    <n v="0"/>
    <n v="0"/>
    <n v="0"/>
    <n v="0"/>
    <n v="0"/>
    <n v="0"/>
    <n v="0"/>
    <n v="0"/>
    <n v="0"/>
    <n v="0"/>
    <n v="520000"/>
    <n v="0"/>
    <n v="520000"/>
    <n v="0"/>
    <n v="0"/>
    <n v="2600000"/>
    <n v="14651134"/>
    <n v="2260000"/>
    <n v="2016"/>
    <m/>
    <m/>
    <m/>
    <m/>
    <m/>
    <s v="NO"/>
    <s v="YES"/>
    <s v="NO"/>
    <s v="7th District"/>
    <s v="NO"/>
    <s v="NO"/>
    <s v="Yes"/>
    <s v="NO"/>
    <n v="0.87"/>
    <n v="2262000"/>
    <s v="Mill and/or overlay"/>
    <n v="1"/>
    <m/>
    <m/>
    <m/>
    <n v="0"/>
    <m/>
    <n v="0.05"/>
    <n v="130000"/>
    <s v="Pavement markings"/>
    <n v="1"/>
    <m/>
    <m/>
    <m/>
    <n v="0"/>
    <m/>
    <m/>
    <m/>
    <m/>
    <m/>
    <n v="0"/>
    <m/>
    <m/>
    <m/>
    <m/>
    <m/>
    <n v="0"/>
    <m/>
    <m/>
    <m/>
    <m/>
    <m/>
    <n v="0"/>
    <m/>
    <m/>
    <m/>
    <m/>
    <n v="0.08"/>
    <n v="208000"/>
    <s v="ADA improvements - curb"/>
    <n v="1"/>
    <m/>
    <m/>
    <m/>
    <n v="0"/>
    <m/>
    <m/>
    <m/>
    <m/>
    <m/>
    <n v="0"/>
    <m/>
    <m/>
    <m/>
    <m/>
    <n v="1"/>
    <n v="2600000"/>
  </r>
  <r>
    <m/>
    <n v="8"/>
    <n v="8"/>
    <s v="US"/>
    <n v="212"/>
    <s v="US 212"/>
    <s v="6510-64"/>
    <x v="0"/>
    <m/>
    <s v="S"/>
    <s v="MNDOT"/>
    <m/>
    <s v="**ELLA &amp; BR4M** E. OF DANUBE TO E. JCT US 71, MILL &amp; OVERLAY"/>
    <n v="71.796000000000006"/>
    <n v="76.716999999999999"/>
    <n v="4.9000000000000004"/>
    <m/>
    <s v="RENVILLE"/>
    <s v="RS"/>
    <s v=" "/>
    <m/>
    <m/>
    <s v="PVTR - PAVEMENT RESURFACE AND REHABILITATION"/>
    <s v="SURFACING"/>
    <s v="NHPP  "/>
    <s v="NHPP"/>
    <m/>
    <m/>
    <n v="1805582"/>
    <n v="0"/>
    <n v="0"/>
    <n v="1626400"/>
    <n v="0"/>
    <n v="1626400"/>
    <n v="0"/>
    <n v="0"/>
    <n v="0"/>
    <n v="0"/>
    <n v="0"/>
    <n v="0"/>
    <n v="0"/>
    <n v="0"/>
    <n v="0"/>
    <n v="0"/>
    <n v="406600"/>
    <n v="0"/>
    <n v="406600"/>
    <n v="0"/>
    <n v="0"/>
    <n v="2033000"/>
    <n v="32211308"/>
    <n v="9268600"/>
    <n v="2014"/>
    <m/>
    <m/>
    <s v="BR4M"/>
    <m/>
    <m/>
    <s v="NO"/>
    <s v="NO"/>
    <s v="NO"/>
    <s v="7th District"/>
    <s v="YES"/>
    <s v="NO"/>
    <s v="Yes"/>
    <s v="NO"/>
    <n v="0.92"/>
    <n v="1661135.4400000002"/>
    <s v="Mill and/or overlay"/>
    <n v="1"/>
    <m/>
    <m/>
    <m/>
    <n v="0"/>
    <m/>
    <n v="0.05"/>
    <n v="90279.1"/>
    <s v="Drainage and culverts"/>
    <n v="0.6"/>
    <s v="Pavement markings"/>
    <n v="0.4"/>
    <n v="0.03"/>
    <n v="54167.46"/>
    <s v="Low cost high benefit"/>
    <n v="1"/>
    <m/>
    <m/>
    <m/>
    <n v="0"/>
    <m/>
    <m/>
    <m/>
    <m/>
    <m/>
    <n v="0"/>
    <m/>
    <m/>
    <m/>
    <m/>
    <m/>
    <n v="0"/>
    <m/>
    <m/>
    <m/>
    <m/>
    <m/>
    <n v="0"/>
    <m/>
    <m/>
    <m/>
    <m/>
    <m/>
    <n v="0"/>
    <m/>
    <m/>
    <m/>
    <m/>
    <m/>
    <n v="0"/>
    <m/>
    <m/>
    <m/>
    <m/>
    <n v="1"/>
    <n v="1805582.0000000002"/>
  </r>
  <r>
    <m/>
    <n v="6"/>
    <n v="6"/>
    <s v="MN"/>
    <n v="19"/>
    <s v="MN 19"/>
    <s v="6604-15"/>
    <x v="1"/>
    <m/>
    <s v="S"/>
    <s v="MNDOT"/>
    <m/>
    <s v="NEAR CARLTON COLLEGE IN NORTHFIELD, REHAB HISTORIC STONE ARCH BRIDGE 8096"/>
    <s v="177+00.048"/>
    <s v="077+00.048"/>
    <n v="0"/>
    <s v="NORTHFIELD"/>
    <s v="RICE"/>
    <s v="BI"/>
    <s v="1-B "/>
    <s v="1-B"/>
    <m/>
    <s v="BHHR - BRIDGE REHABILITATION"/>
    <s v="BRIDGE REPAIR"/>
    <s v="SF  "/>
    <s v="SF"/>
    <m/>
    <m/>
    <n v="500000"/>
    <n v="0"/>
    <n v="0"/>
    <n v="0"/>
    <n v="0"/>
    <n v="0"/>
    <n v="0"/>
    <n v="0"/>
    <n v="0"/>
    <n v="0"/>
    <n v="0"/>
    <n v="0"/>
    <n v="0"/>
    <n v="0"/>
    <n v="0"/>
    <n v="0"/>
    <n v="500000"/>
    <n v="0"/>
    <n v="500000"/>
    <n v="0"/>
    <n v="0"/>
    <n v="500000"/>
    <n v="19439168"/>
    <n v="1681800"/>
    <n v="2015"/>
    <m/>
    <n v="69.099999999999994"/>
    <m/>
    <m/>
    <m/>
    <m/>
    <s v="NO"/>
    <s v="NO"/>
    <s v="2nd District"/>
    <s v="NO"/>
    <s v="NO"/>
    <s v="Yes"/>
    <s v="NO"/>
    <m/>
    <n v="0"/>
    <m/>
    <m/>
    <m/>
    <m/>
    <n v="0.92900000000000005"/>
    <n v="464500"/>
    <m/>
    <m/>
    <n v="0"/>
    <m/>
    <m/>
    <m/>
    <m/>
    <m/>
    <n v="0"/>
    <m/>
    <m/>
    <m/>
    <m/>
    <m/>
    <n v="0"/>
    <m/>
    <m/>
    <m/>
    <m/>
    <m/>
    <n v="0"/>
    <m/>
    <m/>
    <m/>
    <m/>
    <n v="3.5000000000000003E-2"/>
    <n v="17500"/>
    <m/>
    <m/>
    <m/>
    <m/>
    <n v="3.5999999999999997E-2"/>
    <n v="18000"/>
    <m/>
    <m/>
    <m/>
    <m/>
    <m/>
    <n v="0"/>
    <m/>
    <m/>
    <m/>
    <m/>
    <m/>
    <n v="0"/>
    <m/>
    <m/>
    <m/>
    <m/>
    <n v="1"/>
    <n v="500000"/>
  </r>
  <r>
    <m/>
    <s v="C"/>
    <s v="C"/>
    <s v="MN"/>
    <n v="999"/>
    <s v="MN999"/>
    <m/>
    <x v="5"/>
    <m/>
    <m/>
    <m/>
    <m/>
    <s v="CIMS SETASIDE"/>
    <m/>
    <m/>
    <m/>
    <m/>
    <m/>
    <m/>
    <s v=""/>
    <m/>
    <m/>
    <m/>
    <m/>
    <s v=""/>
    <m/>
    <m/>
    <m/>
    <n v="20000000"/>
    <m/>
    <m/>
    <m/>
    <m/>
    <n v="0"/>
    <m/>
    <m/>
    <m/>
    <n v="0"/>
    <m/>
    <m/>
    <m/>
    <n v="0"/>
    <m/>
    <m/>
    <m/>
    <m/>
    <n v="0"/>
    <m/>
    <n v="20000000"/>
    <n v="20000000"/>
    <n v="482982921.85000002"/>
    <n v="210969840.63"/>
    <n v="2020"/>
    <m/>
    <m/>
    <m/>
    <m/>
    <m/>
    <m/>
    <m/>
    <m/>
    <m/>
    <m/>
    <m/>
    <m/>
    <m/>
    <m/>
    <n v="0"/>
    <m/>
    <m/>
    <m/>
    <m/>
    <m/>
    <n v="0"/>
    <m/>
    <m/>
    <n v="0"/>
    <m/>
    <m/>
    <m/>
    <m/>
    <m/>
    <n v="0"/>
    <m/>
    <m/>
    <m/>
    <m/>
    <m/>
    <n v="0"/>
    <m/>
    <m/>
    <m/>
    <m/>
    <m/>
    <n v="0"/>
    <m/>
    <m/>
    <m/>
    <m/>
    <m/>
    <n v="0"/>
    <m/>
    <m/>
    <m/>
    <m/>
    <m/>
    <n v="0"/>
    <m/>
    <m/>
    <m/>
    <m/>
    <n v="1"/>
    <n v="20000000"/>
    <m/>
    <m/>
    <m/>
    <m/>
    <m/>
    <n v="0"/>
    <m/>
    <m/>
    <m/>
    <m/>
    <n v="1"/>
    <n v="20000000"/>
  </r>
  <r>
    <m/>
    <s v="C"/>
    <s v="C"/>
    <s v="MN"/>
    <n v="999"/>
    <s v="MN999"/>
    <m/>
    <x v="6"/>
    <m/>
    <m/>
    <m/>
    <m/>
    <s v="CIMS SETASIDE"/>
    <m/>
    <m/>
    <m/>
    <m/>
    <m/>
    <m/>
    <s v=""/>
    <m/>
    <m/>
    <m/>
    <m/>
    <s v=""/>
    <m/>
    <m/>
    <m/>
    <n v="20000000"/>
    <m/>
    <m/>
    <m/>
    <m/>
    <n v="0"/>
    <m/>
    <m/>
    <m/>
    <n v="0"/>
    <m/>
    <m/>
    <m/>
    <n v="0"/>
    <m/>
    <m/>
    <m/>
    <m/>
    <n v="0"/>
    <m/>
    <n v="20000000"/>
    <n v="20000000"/>
    <n v="482982921.85000002"/>
    <n v="210969840.63"/>
    <n v="2021"/>
    <m/>
    <m/>
    <m/>
    <m/>
    <m/>
    <m/>
    <m/>
    <m/>
    <m/>
    <m/>
    <m/>
    <m/>
    <m/>
    <n v="0"/>
    <n v="0"/>
    <m/>
    <m/>
    <m/>
    <m/>
    <m/>
    <n v="0"/>
    <m/>
    <m/>
    <n v="0"/>
    <m/>
    <m/>
    <m/>
    <m/>
    <m/>
    <n v="0"/>
    <m/>
    <m/>
    <m/>
    <m/>
    <m/>
    <n v="0"/>
    <m/>
    <m/>
    <m/>
    <m/>
    <m/>
    <n v="0"/>
    <m/>
    <m/>
    <m/>
    <m/>
    <m/>
    <n v="0"/>
    <m/>
    <m/>
    <m/>
    <m/>
    <m/>
    <n v="0"/>
    <m/>
    <m/>
    <m/>
    <m/>
    <n v="1"/>
    <n v="20000000"/>
    <m/>
    <m/>
    <m/>
    <m/>
    <m/>
    <n v="0"/>
    <m/>
    <m/>
    <m/>
    <m/>
    <n v="1"/>
    <n v="20000000"/>
  </r>
  <r>
    <m/>
    <s v="C"/>
    <s v="C"/>
    <s v="MN"/>
    <n v="999"/>
    <s v="MN999"/>
    <m/>
    <x v="7"/>
    <m/>
    <m/>
    <m/>
    <m/>
    <s v="CIMS SETASIDE"/>
    <m/>
    <m/>
    <m/>
    <m/>
    <m/>
    <m/>
    <s v=""/>
    <m/>
    <m/>
    <m/>
    <m/>
    <s v=""/>
    <m/>
    <m/>
    <m/>
    <n v="20000000"/>
    <m/>
    <m/>
    <m/>
    <m/>
    <n v="0"/>
    <m/>
    <m/>
    <m/>
    <n v="0"/>
    <m/>
    <m/>
    <m/>
    <n v="0"/>
    <m/>
    <m/>
    <m/>
    <m/>
    <n v="0"/>
    <m/>
    <n v="20000000"/>
    <n v="20000000"/>
    <n v="482982921.85000002"/>
    <n v="210969840.63"/>
    <n v="2022"/>
    <m/>
    <m/>
    <m/>
    <m/>
    <m/>
    <m/>
    <m/>
    <m/>
    <m/>
    <m/>
    <m/>
    <m/>
    <m/>
    <n v="0"/>
    <n v="0"/>
    <m/>
    <m/>
    <m/>
    <m/>
    <m/>
    <n v="0"/>
    <m/>
    <m/>
    <n v="0"/>
    <m/>
    <m/>
    <m/>
    <m/>
    <m/>
    <n v="0"/>
    <m/>
    <m/>
    <m/>
    <m/>
    <m/>
    <n v="0"/>
    <m/>
    <m/>
    <m/>
    <m/>
    <m/>
    <n v="0"/>
    <m/>
    <m/>
    <m/>
    <m/>
    <m/>
    <n v="0"/>
    <m/>
    <m/>
    <m/>
    <m/>
    <m/>
    <n v="0"/>
    <m/>
    <m/>
    <m/>
    <m/>
    <n v="1"/>
    <n v="20000000"/>
    <m/>
    <m/>
    <m/>
    <m/>
    <m/>
    <n v="0"/>
    <m/>
    <m/>
    <m/>
    <m/>
    <n v="1"/>
    <n v="20000000"/>
  </r>
  <r>
    <m/>
    <s v="C"/>
    <s v="C"/>
    <s v="MN"/>
    <n v="999"/>
    <s v="MN999"/>
    <m/>
    <x v="8"/>
    <m/>
    <m/>
    <m/>
    <m/>
    <s v="CIMS SETASIDE"/>
    <m/>
    <m/>
    <m/>
    <m/>
    <m/>
    <m/>
    <s v=""/>
    <m/>
    <m/>
    <m/>
    <m/>
    <s v=""/>
    <m/>
    <m/>
    <m/>
    <n v="20000000"/>
    <m/>
    <m/>
    <m/>
    <m/>
    <n v="0"/>
    <m/>
    <m/>
    <m/>
    <n v="0"/>
    <m/>
    <m/>
    <m/>
    <n v="0"/>
    <m/>
    <m/>
    <m/>
    <m/>
    <n v="0"/>
    <m/>
    <n v="20000000"/>
    <n v="20000000"/>
    <n v="482982921.85000002"/>
    <n v="210969840.63"/>
    <n v="2023"/>
    <m/>
    <m/>
    <m/>
    <m/>
    <m/>
    <m/>
    <m/>
    <m/>
    <m/>
    <m/>
    <m/>
    <m/>
    <m/>
    <n v="0"/>
    <n v="0"/>
    <m/>
    <m/>
    <m/>
    <m/>
    <m/>
    <n v="0"/>
    <m/>
    <m/>
    <n v="0"/>
    <m/>
    <m/>
    <m/>
    <m/>
    <m/>
    <n v="0"/>
    <m/>
    <m/>
    <m/>
    <m/>
    <m/>
    <n v="0"/>
    <m/>
    <m/>
    <m/>
    <m/>
    <m/>
    <n v="0"/>
    <m/>
    <m/>
    <m/>
    <m/>
    <m/>
    <n v="0"/>
    <m/>
    <m/>
    <m/>
    <m/>
    <m/>
    <n v="0"/>
    <m/>
    <m/>
    <m/>
    <m/>
    <n v="1"/>
    <n v="20000000"/>
    <m/>
    <m/>
    <m/>
    <m/>
    <m/>
    <n v="0"/>
    <m/>
    <m/>
    <m/>
    <m/>
    <n v="1"/>
    <n v="20000000"/>
  </r>
  <r>
    <m/>
    <n v="6"/>
    <n v="6"/>
    <s v="MN"/>
    <n v="3"/>
    <s v="MN 3"/>
    <s v="6612-97AC"/>
    <x v="0"/>
    <m/>
    <s v="S"/>
    <s v="MNDOT"/>
    <m/>
    <s v="**AC** FROM FARIBAULT TO NORTHFIELD, MEDIUM BITUMINOUS OVERLAY (AC PAYBACK 1 OF 1)"/>
    <s v="000+00.00"/>
    <s v="012+00.591"/>
    <n v="12.61"/>
    <m/>
    <s v="RICE"/>
    <s v="RS"/>
    <s v="1-P "/>
    <s v="1-P"/>
    <m/>
    <s v="PVTR - PAVEMENT RESURFACE AND REHABILITATION"/>
    <s v="MILL AND OVERLAY"/>
    <s v="STP 5K - 200K  "/>
    <s v="STP 5K - 200K"/>
    <m/>
    <m/>
    <n v="3748000"/>
    <n v="0"/>
    <n v="0"/>
    <n v="0"/>
    <n v="0"/>
    <n v="0"/>
    <n v="0"/>
    <n v="0"/>
    <n v="0"/>
    <n v="0"/>
    <n v="0"/>
    <n v="3748000"/>
    <n v="0"/>
    <n v="3748000"/>
    <n v="0"/>
    <n v="0"/>
    <n v="0"/>
    <n v="0"/>
    <n v="0"/>
    <n v="0"/>
    <n v="0"/>
    <n v="0"/>
    <n v="18054571"/>
    <n v="0"/>
    <n v="2014"/>
    <m/>
    <m/>
    <m/>
    <m/>
    <m/>
    <m/>
    <s v="NO"/>
    <s v="NO"/>
    <s v="2nd District"/>
    <s v="NO"/>
    <s v="NO"/>
    <s v="Yes"/>
    <s v="NO"/>
    <n v="0.82099999999999995"/>
    <n v="3077108"/>
    <m/>
    <m/>
    <m/>
    <m/>
    <m/>
    <n v="0"/>
    <m/>
    <n v="0.115"/>
    <n v="431020"/>
    <m/>
    <m/>
    <m/>
    <m/>
    <n v="3.2000000000000001E-2"/>
    <n v="119936"/>
    <m/>
    <m/>
    <m/>
    <m/>
    <m/>
    <n v="0"/>
    <m/>
    <m/>
    <m/>
    <m/>
    <m/>
    <n v="0"/>
    <m/>
    <m/>
    <m/>
    <m/>
    <n v="2.3E-2"/>
    <n v="86204"/>
    <m/>
    <m/>
    <m/>
    <m/>
    <n v="8.9999999999999993E-3"/>
    <n v="33732"/>
    <m/>
    <m/>
    <m/>
    <m/>
    <m/>
    <n v="0"/>
    <m/>
    <m/>
    <m/>
    <m/>
    <m/>
    <n v="0"/>
    <m/>
    <m/>
    <m/>
    <m/>
    <n v="1"/>
    <n v="3748000"/>
  </r>
  <r>
    <m/>
    <n v="7"/>
    <n v="7"/>
    <s v="I"/>
    <n v="90"/>
    <s v="I 90"/>
    <s v="6780-105"/>
    <x v="9"/>
    <m/>
    <s v="S"/>
    <s v="MNDOT"/>
    <m/>
    <s v="2.9 ME E OF JCT TH 23, REPLACE BR#9689 &amp; BR#9690"/>
    <m/>
    <m/>
    <n v="0"/>
    <m/>
    <s v="ROCK"/>
    <s v="BR"/>
    <m/>
    <m/>
    <m/>
    <s v="BRPC - BRIDGE REPLACEMENT OR CONSTRUCTION"/>
    <s v="BRIDGE REPLACEMENT"/>
    <s v="NHPP  "/>
    <s v="NHPP"/>
    <m/>
    <m/>
    <n v="2100000"/>
    <n v="0"/>
    <n v="0"/>
    <n v="1890000"/>
    <n v="0"/>
    <n v="1890000"/>
    <n v="0"/>
    <n v="0"/>
    <n v="0"/>
    <n v="0"/>
    <n v="0"/>
    <n v="0"/>
    <n v="0"/>
    <n v="0"/>
    <n v="0"/>
    <n v="0"/>
    <n v="210000"/>
    <n v="0"/>
    <n v="210000"/>
    <n v="0"/>
    <n v="0"/>
    <n v="2100000"/>
    <n v="23767600"/>
    <n v="2157200"/>
    <n v="2017"/>
    <m/>
    <m/>
    <m/>
    <m/>
    <m/>
    <m/>
    <m/>
    <s v="NO"/>
    <m/>
    <s v="NO"/>
    <s v="NO"/>
    <s v="Yes"/>
    <s v="NO"/>
    <m/>
    <n v="0"/>
    <m/>
    <m/>
    <m/>
    <m/>
    <n v="0.92900000000000005"/>
    <n v="1950900"/>
    <m/>
    <m/>
    <n v="0"/>
    <m/>
    <m/>
    <m/>
    <m/>
    <m/>
    <n v="0"/>
    <m/>
    <m/>
    <m/>
    <m/>
    <m/>
    <n v="0"/>
    <m/>
    <m/>
    <m/>
    <m/>
    <m/>
    <n v="0"/>
    <m/>
    <m/>
    <m/>
    <m/>
    <n v="3.5000000000000003E-2"/>
    <n v="73500"/>
    <m/>
    <m/>
    <m/>
    <m/>
    <n v="3.5999999999999997E-2"/>
    <n v="75600"/>
    <m/>
    <m/>
    <m/>
    <m/>
    <m/>
    <n v="0"/>
    <m/>
    <m/>
    <m/>
    <m/>
    <m/>
    <n v="0"/>
    <m/>
    <m/>
    <m/>
    <m/>
    <n v="1"/>
    <n v="2100000"/>
  </r>
  <r>
    <m/>
    <n v="2"/>
    <n v="2"/>
    <s v="MN"/>
    <n v="11"/>
    <s v="MN 11"/>
    <s v="6802-27"/>
    <x v="1"/>
    <s v="2015-23"/>
    <s v="S"/>
    <s v="MNDOT"/>
    <m/>
    <s v="FROM ROSEAU CSAH 15 TO E MN89 IN ROSEAU, BITUMINOUS RECLAIM &amp; EXTEND ONE END OF BR 58X06"/>
    <s v="067+00.688"/>
    <s v="070+00.706"/>
    <n v="3"/>
    <s v="ROSEAU"/>
    <s v="ROSEAU"/>
    <s v="RD"/>
    <s v="1-P "/>
    <s v="1-P"/>
    <m/>
    <s v="GSBR - GRADE, SURFACE AND BRIDGE"/>
    <s v="BITUMINOUS RECLAMATION"/>
    <s v="NHPP  "/>
    <s v="NHPP"/>
    <m/>
    <m/>
    <n v="2300000"/>
    <n v="0"/>
    <n v="0"/>
    <n v="1840000"/>
    <n v="0"/>
    <n v="1840000"/>
    <n v="0"/>
    <n v="0"/>
    <n v="0"/>
    <n v="0"/>
    <n v="0"/>
    <n v="0"/>
    <n v="0"/>
    <n v="0"/>
    <n v="0"/>
    <n v="0"/>
    <n v="460000"/>
    <n v="0"/>
    <n v="460000"/>
    <n v="0"/>
    <n v="0"/>
    <n v="2300000"/>
    <n v="9585835"/>
    <n v="810600"/>
    <n v="2015"/>
    <m/>
    <m/>
    <m/>
    <m/>
    <m/>
    <m/>
    <s v="NO"/>
    <s v="YES"/>
    <s v="7th District"/>
    <s v="YES"/>
    <s v="NO"/>
    <s v="Yes"/>
    <s v="NO"/>
    <n v="0.82099999999999995"/>
    <n v="1888300"/>
    <m/>
    <m/>
    <m/>
    <m/>
    <n v="0"/>
    <n v="0"/>
    <m/>
    <n v="0.115"/>
    <n v="264500"/>
    <m/>
    <m/>
    <m/>
    <m/>
    <n v="3.2000000000000001E-2"/>
    <n v="73600"/>
    <m/>
    <m/>
    <m/>
    <m/>
    <n v="0"/>
    <n v="0"/>
    <m/>
    <m/>
    <m/>
    <m/>
    <n v="0"/>
    <n v="0"/>
    <m/>
    <m/>
    <m/>
    <m/>
    <n v="2.3E-2"/>
    <n v="52900"/>
    <m/>
    <m/>
    <m/>
    <m/>
    <n v="9.0000000000000011E-3"/>
    <n v="20700.000000000004"/>
    <m/>
    <m/>
    <m/>
    <m/>
    <n v="0"/>
    <n v="0"/>
    <m/>
    <m/>
    <m/>
    <m/>
    <n v="0"/>
    <n v="0"/>
    <m/>
    <m/>
    <m/>
    <m/>
    <n v="1"/>
    <n v="2300000"/>
  </r>
  <r>
    <m/>
    <n v="2"/>
    <n v="2"/>
    <s v="MN"/>
    <n v="11"/>
    <s v="MN 11"/>
    <s v="6803-40"/>
    <x v="1"/>
    <s v="2015-S09"/>
    <s v="S"/>
    <s v="MNDOT"/>
    <m/>
    <s v="AT INTERSECTION OF TH 11 &amp; LAKE ST IN WARROAD - SIGNAL REPLACEMENT"/>
    <s v="092+00.524"/>
    <s v="092+00.524"/>
    <n v="0"/>
    <s v="WARROAD"/>
    <s v="ROSEAU"/>
    <s v="SC"/>
    <s v="7-O-C "/>
    <s v="7-O-C"/>
    <m/>
    <s v="TRCD - TRAFFIC CONTROL DEVICES"/>
    <s v="TRAFFIC SIGNAL REVISION"/>
    <s v="SF LF "/>
    <s v="SF"/>
    <s v="LF"/>
    <m/>
    <n v="250000"/>
    <n v="0"/>
    <n v="0"/>
    <n v="0"/>
    <n v="0"/>
    <n v="0"/>
    <n v="0"/>
    <n v="0"/>
    <n v="0"/>
    <n v="0"/>
    <n v="0"/>
    <n v="0"/>
    <n v="0"/>
    <n v="0"/>
    <n v="0"/>
    <n v="0"/>
    <n v="167500"/>
    <n v="0"/>
    <n v="167500"/>
    <n v="0"/>
    <n v="82500"/>
    <n v="250000"/>
    <n v="24551482"/>
    <n v="14175394"/>
    <n v="2015"/>
    <m/>
    <m/>
    <m/>
    <n v="82500"/>
    <m/>
    <m/>
    <s v="NO"/>
    <s v="NO"/>
    <s v="7th District"/>
    <s v="NO"/>
    <s v="NO"/>
    <s v="Yes"/>
    <s v="NO"/>
    <n v="0"/>
    <n v="0"/>
    <m/>
    <m/>
    <m/>
    <m/>
    <n v="0"/>
    <n v="0"/>
    <m/>
    <n v="1"/>
    <n v="167500"/>
    <m/>
    <m/>
    <m/>
    <m/>
    <n v="0"/>
    <n v="0"/>
    <m/>
    <m/>
    <m/>
    <m/>
    <n v="0"/>
    <n v="0"/>
    <m/>
    <m/>
    <m/>
    <m/>
    <n v="0"/>
    <n v="0"/>
    <m/>
    <m/>
    <m/>
    <m/>
    <n v="0"/>
    <n v="0"/>
    <m/>
    <m/>
    <m/>
    <m/>
    <n v="0"/>
    <n v="0"/>
    <m/>
    <m/>
    <m/>
    <m/>
    <n v="0"/>
    <n v="0"/>
    <m/>
    <m/>
    <m/>
    <m/>
    <n v="0"/>
    <n v="0"/>
    <m/>
    <m/>
    <m/>
    <m/>
    <n v="1"/>
    <n v="167500"/>
  </r>
  <r>
    <m/>
    <s v="C"/>
    <s v="C"/>
    <s v="MN"/>
    <n v="999"/>
    <s v="MN999"/>
    <m/>
    <x v="7"/>
    <m/>
    <m/>
    <m/>
    <m/>
    <s v="RCIP SETASIDE"/>
    <m/>
    <m/>
    <m/>
    <m/>
    <m/>
    <m/>
    <s v=""/>
    <m/>
    <m/>
    <m/>
    <m/>
    <s v=""/>
    <m/>
    <m/>
    <m/>
    <n v="15000000"/>
    <m/>
    <m/>
    <m/>
    <m/>
    <n v="0"/>
    <m/>
    <m/>
    <m/>
    <n v="0"/>
    <m/>
    <m/>
    <m/>
    <n v="0"/>
    <m/>
    <m/>
    <m/>
    <m/>
    <n v="0"/>
    <m/>
    <n v="15000000"/>
    <n v="15000000"/>
    <n v="490460921.85000002"/>
    <n v="211807340.63"/>
    <n v="2022"/>
    <m/>
    <m/>
    <m/>
    <m/>
    <m/>
    <m/>
    <m/>
    <m/>
    <m/>
    <m/>
    <m/>
    <m/>
    <m/>
    <n v="0"/>
    <n v="0"/>
    <m/>
    <m/>
    <m/>
    <m/>
    <m/>
    <n v="0"/>
    <m/>
    <m/>
    <n v="0"/>
    <m/>
    <m/>
    <m/>
    <m/>
    <m/>
    <n v="0"/>
    <m/>
    <m/>
    <m/>
    <m/>
    <m/>
    <n v="0"/>
    <m/>
    <m/>
    <m/>
    <m/>
    <m/>
    <n v="0"/>
    <m/>
    <m/>
    <m/>
    <m/>
    <m/>
    <n v="0"/>
    <m/>
    <m/>
    <m/>
    <m/>
    <m/>
    <n v="0"/>
    <m/>
    <m/>
    <m/>
    <m/>
    <n v="1"/>
    <n v="15000000"/>
    <m/>
    <m/>
    <m/>
    <m/>
    <m/>
    <n v="0"/>
    <m/>
    <m/>
    <m/>
    <m/>
    <n v="1"/>
    <n v="15000000"/>
  </r>
  <r>
    <m/>
    <s v="C"/>
    <s v="C"/>
    <s v="MN"/>
    <n v="999"/>
    <s v="MN999"/>
    <m/>
    <x v="8"/>
    <m/>
    <m/>
    <m/>
    <m/>
    <s v="RCIP SETASIDE"/>
    <m/>
    <m/>
    <m/>
    <m/>
    <m/>
    <m/>
    <s v=""/>
    <m/>
    <m/>
    <m/>
    <m/>
    <s v=""/>
    <m/>
    <m/>
    <m/>
    <n v="15000000"/>
    <m/>
    <m/>
    <m/>
    <m/>
    <n v="0"/>
    <m/>
    <m/>
    <m/>
    <n v="0"/>
    <m/>
    <m/>
    <m/>
    <n v="0"/>
    <m/>
    <m/>
    <m/>
    <m/>
    <n v="0"/>
    <m/>
    <n v="15000000"/>
    <n v="15000000"/>
    <n v="490460921.85000002"/>
    <n v="211807340.63"/>
    <n v="2023"/>
    <m/>
    <m/>
    <m/>
    <m/>
    <m/>
    <m/>
    <m/>
    <m/>
    <m/>
    <m/>
    <m/>
    <m/>
    <m/>
    <n v="0"/>
    <n v="0"/>
    <m/>
    <m/>
    <m/>
    <m/>
    <m/>
    <n v="0"/>
    <m/>
    <m/>
    <n v="0"/>
    <m/>
    <m/>
    <m/>
    <m/>
    <m/>
    <n v="0"/>
    <m/>
    <m/>
    <m/>
    <m/>
    <m/>
    <n v="0"/>
    <m/>
    <m/>
    <m/>
    <m/>
    <m/>
    <n v="0"/>
    <m/>
    <m/>
    <m/>
    <m/>
    <m/>
    <n v="0"/>
    <m/>
    <m/>
    <m/>
    <m/>
    <m/>
    <n v="0"/>
    <m/>
    <m/>
    <m/>
    <m/>
    <n v="1"/>
    <n v="15000000"/>
    <m/>
    <m/>
    <m/>
    <m/>
    <m/>
    <n v="0"/>
    <m/>
    <m/>
    <m/>
    <m/>
    <n v="1"/>
    <n v="15000000"/>
  </r>
  <r>
    <m/>
    <n v="2"/>
    <n v="2"/>
    <s v="MN"/>
    <n v="310"/>
    <s v="MN 310"/>
    <s v="6809-16AC"/>
    <x v="0"/>
    <s v="2014-28"/>
    <s v="S"/>
    <s v="MNDOT"/>
    <m/>
    <s v="**FMP**AC** MN11 TO THE CANADIAN BORDER, RESURFACING (AC PAYBACK 1 OF 1)"/>
    <s v="000+00.000"/>
    <s v="010+00.484"/>
    <n v="10.5"/>
    <m/>
    <s v="ROSEAU"/>
    <s v="RS"/>
    <s v="1-P "/>
    <s v="1-P"/>
    <m/>
    <s v="PVTR - PAVEMENT RESURFACE AND REHABILITATION"/>
    <s v="MILL AND INLAY"/>
    <s v="STP&lt;5K  "/>
    <s v="STP&lt;5K"/>
    <m/>
    <m/>
    <n v="2288000"/>
    <n v="0"/>
    <n v="0"/>
    <n v="0"/>
    <n v="0"/>
    <n v="0"/>
    <n v="0"/>
    <n v="0"/>
    <n v="0"/>
    <n v="0"/>
    <n v="0"/>
    <n v="2288000"/>
    <n v="0"/>
    <n v="2288000"/>
    <n v="0"/>
    <n v="0"/>
    <n v="0"/>
    <n v="0"/>
    <n v="0"/>
    <n v="0"/>
    <n v="0"/>
    <n v="0"/>
    <n v="17705316"/>
    <n v="3840000"/>
    <n v="2014"/>
    <m/>
    <m/>
    <s v="FMP"/>
    <m/>
    <m/>
    <m/>
    <s v="NO"/>
    <s v="NO"/>
    <s v="7th District"/>
    <s v="NO"/>
    <s v="NO"/>
    <s v="NO"/>
    <s v="NO"/>
    <n v="0.82099999999999995"/>
    <n v="1878448"/>
    <m/>
    <m/>
    <m/>
    <m/>
    <n v="0"/>
    <n v="0"/>
    <m/>
    <n v="0.115"/>
    <n v="263120"/>
    <m/>
    <m/>
    <m/>
    <m/>
    <n v="3.2000000000000001E-2"/>
    <n v="73216"/>
    <m/>
    <m/>
    <m/>
    <m/>
    <n v="0"/>
    <n v="0"/>
    <m/>
    <m/>
    <m/>
    <m/>
    <n v="0"/>
    <n v="0"/>
    <m/>
    <m/>
    <m/>
    <m/>
    <n v="2.3E-2"/>
    <n v="52624"/>
    <m/>
    <m/>
    <m/>
    <m/>
    <n v="9.0000000000000011E-3"/>
    <n v="20592.000000000004"/>
    <m/>
    <m/>
    <m/>
    <m/>
    <n v="0"/>
    <n v="0"/>
    <m/>
    <m/>
    <m/>
    <m/>
    <n v="0"/>
    <n v="0"/>
    <m/>
    <m/>
    <m/>
    <m/>
    <n v="1"/>
    <n v="2288000"/>
  </r>
  <r>
    <m/>
    <n v="1"/>
    <n v="1"/>
    <s v="MN"/>
    <n v="1"/>
    <s v="MN 1"/>
    <s v="6904-46"/>
    <x v="1"/>
    <m/>
    <s v="S"/>
    <s v="MNDOT"/>
    <m/>
    <s v="**MN202** **AB** 0.1 MI W OF THE SIX MILE LAKE RD TO 0.1MI E. OF BRADACH ROAD (EAGLES NEST LAKE AREA) RECONSTRUCTION &amp; PASSING LANE "/>
    <s v="269+00.220"/>
    <s v="274+00.896"/>
    <n v="5.7"/>
    <m/>
    <s v="ST. LOUIS"/>
    <s v="RC"/>
    <s v="CIP "/>
    <s v="CIP"/>
    <m/>
    <s v="GRSU - GRADE AND SURFACE"/>
    <s v="GRADE AND SURFACE"/>
    <s v="DEMO  "/>
    <s v="DEMO"/>
    <m/>
    <m/>
    <n v="19170921.25"/>
    <n v="11440000"/>
    <n v="0"/>
    <n v="0"/>
    <n v="0"/>
    <n v="11440000"/>
    <n v="0"/>
    <n v="0"/>
    <n v="0"/>
    <n v="0"/>
    <n v="0"/>
    <n v="0"/>
    <n v="0"/>
    <n v="0"/>
    <n v="0"/>
    <n v="0"/>
    <n v="2860000"/>
    <n v="0"/>
    <n v="2860000"/>
    <n v="0"/>
    <n v="0"/>
    <n v="14300000"/>
    <n v="20850612"/>
    <n v="6610000"/>
    <n v="2015"/>
    <m/>
    <m/>
    <s v="HPP"/>
    <m/>
    <m/>
    <s v="YES"/>
    <s v="NO"/>
    <s v="YES"/>
    <s v="8th District"/>
    <s v="NO"/>
    <s v="NO"/>
    <s v="Yes"/>
    <s v="NO"/>
    <n v="0.26600000000000001"/>
    <n v="5099465.0525000002"/>
    <s v="Reclamation"/>
    <m/>
    <m/>
    <m/>
    <m/>
    <n v="0"/>
    <m/>
    <n v="0.09"/>
    <n v="1725382.9124999999"/>
    <s v="Drainage and culverts"/>
    <m/>
    <m/>
    <m/>
    <m/>
    <n v="0"/>
    <m/>
    <m/>
    <m/>
    <m/>
    <m/>
    <n v="0"/>
    <m/>
    <m/>
    <m/>
    <m/>
    <m/>
    <n v="0"/>
    <m/>
    <m/>
    <m/>
    <m/>
    <m/>
    <n v="0"/>
    <m/>
    <m/>
    <m/>
    <m/>
    <m/>
    <n v="0"/>
    <m/>
    <m/>
    <m/>
    <m/>
    <n v="0.64400000000000002"/>
    <n v="12346073.285"/>
    <m/>
    <m/>
    <m/>
    <m/>
    <m/>
    <n v="0"/>
    <m/>
    <m/>
    <m/>
    <m/>
    <n v="1"/>
    <n v="19170921.25"/>
  </r>
  <r>
    <m/>
    <n v="1"/>
    <n v="1"/>
    <s v="MN"/>
    <n v="1"/>
    <s v="MN 1"/>
    <s v="6904-49"/>
    <x v="0"/>
    <m/>
    <s v="S"/>
    <s v="MNDOT"/>
    <m/>
    <s v="**ELLA** FR. ALDER ST.IN TOWER TO 0.1 MI. W. OF SIX MI.RD &amp; FR. 0.1MI. E. OF BRADACH RD. TO 0.17 MI. W. OF 3RD AV. W. &amp; FR. E. JCT TH 169 TO LK. CO. LINE &amp; FR LK CO. LINE TO E. OF HALFWAY RD. &amp; REPLACE BR# 9682(ASSOC. SP 3801-93, 6905-20 &amp; 6904-(69X14) "/>
    <s v="263+00.674"/>
    <s v="296+00.449"/>
    <n v="25.5"/>
    <m/>
    <s v="ST. LOUIS"/>
    <s v="RS"/>
    <s v="1-P "/>
    <s v="1-P"/>
    <m/>
    <s v="PVTR - PAVEMENT RESURFACE AND REHABILITATION"/>
    <s v="MILL AND OVERLAY"/>
    <s v="STP5K  "/>
    <s v="STP5K"/>
    <m/>
    <m/>
    <n v="9300000"/>
    <n v="0"/>
    <n v="0"/>
    <n v="7440000"/>
    <n v="0"/>
    <n v="7440000"/>
    <n v="0"/>
    <n v="0"/>
    <n v="0"/>
    <n v="0"/>
    <n v="0"/>
    <n v="0"/>
    <n v="0"/>
    <n v="0"/>
    <n v="0"/>
    <n v="0"/>
    <n v="1860000"/>
    <n v="0"/>
    <n v="1860000"/>
    <n v="0"/>
    <n v="0"/>
    <n v="9300000"/>
    <n v="29845530"/>
    <n v="4002996"/>
    <n v="2014"/>
    <m/>
    <m/>
    <m/>
    <m/>
    <m/>
    <s v="NO"/>
    <s v="NO"/>
    <s v="NO"/>
    <s v="8th District"/>
    <s v="NO"/>
    <s v="NO"/>
    <s v="Yes"/>
    <s v="NO"/>
    <n v="0.8"/>
    <n v="7440000"/>
    <s v="Mill and/or overlay"/>
    <n v="0.4"/>
    <s v="Reclamation"/>
    <n v="0.4"/>
    <n v="0.08"/>
    <n v="744000"/>
    <s v="Improvement - Major rehabilitation or replacement"/>
    <n v="0.11"/>
    <n v="1023000"/>
    <s v="Drainage and culverts"/>
    <m/>
    <m/>
    <m/>
    <n v="0.01"/>
    <n v="93000"/>
    <s v="Low cost high benefit"/>
    <m/>
    <m/>
    <m/>
    <m/>
    <n v="0"/>
    <m/>
    <m/>
    <m/>
    <m/>
    <m/>
    <n v="0"/>
    <m/>
    <m/>
    <m/>
    <m/>
    <m/>
    <n v="0"/>
    <m/>
    <m/>
    <m/>
    <m/>
    <m/>
    <n v="0"/>
    <m/>
    <m/>
    <m/>
    <m/>
    <m/>
    <n v="0"/>
    <m/>
    <m/>
    <m/>
    <m/>
    <m/>
    <n v="0"/>
    <m/>
    <m/>
    <m/>
    <m/>
    <n v="1"/>
    <n v="9300000"/>
  </r>
  <r>
    <m/>
    <n v="1"/>
    <n v="1"/>
    <s v="MN"/>
    <n v="23"/>
    <s v="MN 23"/>
    <s v="6910-89"/>
    <x v="2"/>
    <m/>
    <s v="S"/>
    <s v="MNDOT"/>
    <n v="1"/>
    <s v="**ELLA**0.28 MI. E. BECKS RD TO POLK STREET IN WEST DULUTH. MILL &amp; OVERLAY (ASSOC. 6910-88544A (Kingsbury CR.)"/>
    <s v="340+00.343"/>
    <s v="345+00.020"/>
    <n v="4.7"/>
    <s v="DULUTH"/>
    <s v="ST. LOUIS"/>
    <s v="BR"/>
    <s v="1-P "/>
    <s v="1-P"/>
    <m/>
    <s v="PVTR - PAVEMENT RESURFACE AND REHABILITATION"/>
    <s v="BRIDGE REPLACEMENT"/>
    <s v="STP 5K - 200K  "/>
    <s v="STP 5K - 200K"/>
    <m/>
    <m/>
    <n v="11400000"/>
    <n v="0"/>
    <n v="0"/>
    <n v="9120000"/>
    <n v="0"/>
    <n v="9120000"/>
    <n v="0"/>
    <n v="0"/>
    <n v="0"/>
    <n v="0"/>
    <n v="0"/>
    <n v="0"/>
    <n v="0"/>
    <n v="0"/>
    <n v="0"/>
    <n v="0"/>
    <n v="2280000"/>
    <n v="0"/>
    <n v="2280000"/>
    <n v="0"/>
    <n v="0"/>
    <n v="11400000"/>
    <n v="47430696"/>
    <n v="7427000"/>
    <n v="2016"/>
    <m/>
    <m/>
    <m/>
    <m/>
    <m/>
    <s v="NO"/>
    <s v="NO"/>
    <s v="NO"/>
    <s v="8th District"/>
    <s v="YES"/>
    <s v="NO"/>
    <s v="Yes"/>
    <s v="NO"/>
    <n v="0.184"/>
    <n v="2097600"/>
    <s v="Mill and/or overlay"/>
    <m/>
    <m/>
    <m/>
    <n v="0.14299999999999999"/>
    <n v="1630199.9999999998"/>
    <s v="Improvement - Major rehabilitation or replacement"/>
    <n v="0.57699999999999996"/>
    <n v="6577799.9999999991"/>
    <s v="Drainage and culverts"/>
    <m/>
    <s v="Signals"/>
    <m/>
    <m/>
    <n v="0"/>
    <m/>
    <m/>
    <m/>
    <m/>
    <m/>
    <n v="0"/>
    <m/>
    <m/>
    <m/>
    <m/>
    <m/>
    <n v="0"/>
    <m/>
    <m/>
    <m/>
    <m/>
    <m/>
    <n v="0"/>
    <m/>
    <m/>
    <m/>
    <m/>
    <n v="9.6000000000000002E-2"/>
    <n v="1094400"/>
    <s v="ADA improvements - curb"/>
    <m/>
    <s v="ADA improvements - APS"/>
    <m/>
    <m/>
    <n v="0"/>
    <m/>
    <m/>
    <m/>
    <m/>
    <m/>
    <n v="0"/>
    <m/>
    <m/>
    <m/>
    <m/>
    <n v="0.99999999999999989"/>
    <n v="11400000"/>
  </r>
  <r>
    <m/>
    <n v="1"/>
    <n v="1"/>
    <s v="MN"/>
    <n v="23"/>
    <s v="MN 23"/>
    <s v="6910-92"/>
    <x v="2"/>
    <m/>
    <s v="S"/>
    <s v="MNDOT"/>
    <n v="1"/>
    <s v=" TH 23 IN DULUTH, MISSION CREEK BRIDGE# 5757 WORK AND GRADING."/>
    <s v="336+00.186"/>
    <s v="336+00.186"/>
    <n v="0"/>
    <s v="DULUTH"/>
    <s v="ST. LOUIS"/>
    <s v="BR"/>
    <s v=" "/>
    <m/>
    <m/>
    <s v="BRPC - BRIDGE REPLACEMENT OR CONSTRUCTION"/>
    <s v="GRADE AND BRIDGE"/>
    <s v="SF  "/>
    <s v="SF"/>
    <m/>
    <m/>
    <n v="2500000"/>
    <n v="0"/>
    <n v="0"/>
    <n v="0"/>
    <n v="0"/>
    <n v="0"/>
    <n v="0"/>
    <n v="0"/>
    <n v="0"/>
    <n v="0"/>
    <n v="0"/>
    <n v="0"/>
    <n v="0"/>
    <n v="0"/>
    <n v="0"/>
    <n v="0"/>
    <n v="2500000"/>
    <n v="0"/>
    <n v="2500000"/>
    <m/>
    <n v="0"/>
    <n v="2500000"/>
    <n v="89548308"/>
    <n v="41692500"/>
    <n v="2016"/>
    <m/>
    <s v="THIS PROJECT WAS ORIGINALY A PERMANENT FLOOD REPAIR, NOW IN REGULAR PROGRAM WITH BOND FUNDS"/>
    <m/>
    <m/>
    <m/>
    <s v="YES"/>
    <s v="NO"/>
    <s v="NO"/>
    <s v="8th District"/>
    <s v="NO"/>
    <s v="NO"/>
    <s v="Yes"/>
    <s v="NO"/>
    <m/>
    <n v="0"/>
    <m/>
    <m/>
    <m/>
    <m/>
    <n v="0.95"/>
    <n v="2375000"/>
    <s v="Improvement - Major rehabilitation or replacement"/>
    <m/>
    <n v="0"/>
    <m/>
    <m/>
    <m/>
    <m/>
    <m/>
    <n v="0"/>
    <m/>
    <m/>
    <m/>
    <m/>
    <m/>
    <n v="0"/>
    <m/>
    <m/>
    <m/>
    <m/>
    <m/>
    <n v="0"/>
    <m/>
    <m/>
    <m/>
    <m/>
    <m/>
    <n v="0"/>
    <m/>
    <m/>
    <m/>
    <m/>
    <n v="0.05"/>
    <n v="125000"/>
    <m/>
    <m/>
    <m/>
    <m/>
    <m/>
    <n v="0"/>
    <m/>
    <m/>
    <m/>
    <m/>
    <m/>
    <n v="0"/>
    <m/>
    <m/>
    <m/>
    <m/>
    <n v="1"/>
    <n v="2500000"/>
  </r>
  <r>
    <m/>
    <n v="1"/>
    <n v="1"/>
    <s v="US"/>
    <n v="53"/>
    <s v="US 53"/>
    <s v="6915-133"/>
    <x v="2"/>
    <m/>
    <s v="S"/>
    <s v="MNDOT"/>
    <n v="1"/>
    <s v="US 53 (TRINITY RD) 0.422 MI N. JCT ANDERSON RD TO E JCT MN TH 194 EB (ASSOC. 6933-90), MILL AND OVERLAY"/>
    <s v="005+00.291"/>
    <s v="005+00.639"/>
    <n v="0.35"/>
    <m/>
    <s v="ST. LOUIS"/>
    <s v="RS"/>
    <s v="1-P "/>
    <s v="1-P"/>
    <m/>
    <s v="PVTR - PAVEMENT RESURFACE AND REHABILITATION"/>
    <s v="MILL AND OVERLAY"/>
    <s v="NHPP  "/>
    <s v="NHPP"/>
    <m/>
    <m/>
    <n v="1000000"/>
    <n v="0"/>
    <n v="0"/>
    <n v="800000"/>
    <n v="0"/>
    <n v="800000"/>
    <n v="0"/>
    <n v="0"/>
    <n v="0"/>
    <n v="0"/>
    <n v="0"/>
    <n v="0"/>
    <n v="0"/>
    <n v="0"/>
    <n v="0"/>
    <n v="0"/>
    <n v="200000"/>
    <n v="0"/>
    <n v="200000"/>
    <n v="0"/>
    <n v="0"/>
    <n v="1000000"/>
    <n v="35878696"/>
    <n v="4370000"/>
    <n v="2016"/>
    <m/>
    <m/>
    <m/>
    <m/>
    <m/>
    <s v="NO"/>
    <s v="NO"/>
    <s v="NO"/>
    <s v="8th District"/>
    <s v="NO"/>
    <s v="NO"/>
    <s v="Yes"/>
    <s v="NO"/>
    <n v="0.99"/>
    <n v="990000"/>
    <m/>
    <m/>
    <m/>
    <m/>
    <m/>
    <n v="0"/>
    <m/>
    <n v="0.01"/>
    <n v="10000"/>
    <m/>
    <m/>
    <m/>
    <m/>
    <m/>
    <n v="0"/>
    <m/>
    <m/>
    <m/>
    <m/>
    <m/>
    <n v="0"/>
    <m/>
    <m/>
    <m/>
    <m/>
    <m/>
    <n v="0"/>
    <m/>
    <m/>
    <m/>
    <m/>
    <m/>
    <n v="0"/>
    <m/>
    <m/>
    <m/>
    <m/>
    <m/>
    <n v="0"/>
    <m/>
    <m/>
    <m/>
    <m/>
    <m/>
    <n v="0"/>
    <m/>
    <m/>
    <m/>
    <m/>
    <m/>
    <n v="0"/>
    <m/>
    <m/>
    <m/>
    <m/>
    <n v="1"/>
    <n v="1000000"/>
  </r>
  <r>
    <m/>
    <n v="1"/>
    <n v="1"/>
    <s v="US"/>
    <n v="53"/>
    <s v="US 53"/>
    <s v="6917-140"/>
    <x v="9"/>
    <m/>
    <s v="S"/>
    <s v="MNDOT"/>
    <m/>
    <s v="NB US 53 ONLY 1.275 MI N JCT CSAH 47 SWAN LAKE RD. TO 0.280 MI S JCT CR. 737-HARRIS RD, MILL AND OVERLAY"/>
    <s v="25+00.726"/>
    <s v="29+00.719"/>
    <n v="4"/>
    <m/>
    <s v="ST. LOUIS"/>
    <s v="RS"/>
    <s v="1-P "/>
    <s v="1-P"/>
    <m/>
    <s v="PVTR - PAVEMENT RESURFACE AND REHABILITATION"/>
    <s v="MILL AND OVERLAY"/>
    <s v="NHPP  "/>
    <s v="NHPP"/>
    <m/>
    <m/>
    <n v="1500000"/>
    <n v="0"/>
    <n v="0"/>
    <n v="1200000"/>
    <n v="0"/>
    <n v="1200000"/>
    <n v="0"/>
    <n v="0"/>
    <n v="0"/>
    <n v="0"/>
    <n v="0"/>
    <n v="0"/>
    <n v="0"/>
    <n v="0"/>
    <n v="0"/>
    <n v="0"/>
    <n v="300000"/>
    <n v="0"/>
    <n v="300000"/>
    <n v="0"/>
    <n v="0"/>
    <n v="1500000"/>
    <n v="17088500"/>
    <n v="2230900"/>
    <n v="2017"/>
    <m/>
    <m/>
    <m/>
    <m/>
    <m/>
    <s v="NO"/>
    <s v="NO"/>
    <s v="NO"/>
    <s v="8th District"/>
    <s v="NO"/>
    <s v="NO"/>
    <s v="Yes"/>
    <s v="NO"/>
    <n v="0.98"/>
    <n v="1470000"/>
    <s v="Mill and/or overlay"/>
    <m/>
    <m/>
    <m/>
    <m/>
    <n v="0"/>
    <m/>
    <n v="0.02"/>
    <n v="30000"/>
    <m/>
    <m/>
    <m/>
    <m/>
    <m/>
    <n v="0"/>
    <m/>
    <m/>
    <m/>
    <m/>
    <m/>
    <n v="0"/>
    <m/>
    <m/>
    <m/>
    <m/>
    <m/>
    <n v="0"/>
    <m/>
    <m/>
    <m/>
    <m/>
    <m/>
    <n v="0"/>
    <m/>
    <m/>
    <m/>
    <m/>
    <m/>
    <n v="0"/>
    <m/>
    <m/>
    <m/>
    <m/>
    <m/>
    <n v="0"/>
    <m/>
    <m/>
    <m/>
    <m/>
    <m/>
    <n v="0"/>
    <m/>
    <m/>
    <m/>
    <m/>
    <n v="1"/>
    <n v="1500000"/>
  </r>
  <r>
    <m/>
    <n v="1"/>
    <n v="1"/>
    <s v="US"/>
    <n v="53"/>
    <s v="US 53"/>
    <s v="6917-142"/>
    <x v="9"/>
    <m/>
    <s v="S"/>
    <s v="MNDOT"/>
    <m/>
    <s v="NB US 53 SOUTH OF JCT TH 37 , LYON SPRING AREA"/>
    <s v="48+00.109"/>
    <s v="54+00.536"/>
    <n v="6.4"/>
    <m/>
    <s v="ST. LOUIS"/>
    <s v="RD"/>
    <m/>
    <m/>
    <m/>
    <s v="PVTR - PAVEMENT RESURFACE AND REHABILITATION"/>
    <m/>
    <s v="NHPP  "/>
    <s v="NHPP"/>
    <m/>
    <m/>
    <n v="6500000"/>
    <m/>
    <m/>
    <n v="5200000"/>
    <m/>
    <n v="5200000"/>
    <m/>
    <m/>
    <m/>
    <n v="0"/>
    <m/>
    <m/>
    <m/>
    <n v="0"/>
    <m/>
    <m/>
    <n v="1300000"/>
    <m/>
    <n v="1300000"/>
    <m/>
    <n v="0"/>
    <n v="6500000"/>
    <n v="15888500"/>
    <n v="1930900"/>
    <n v="2017"/>
    <m/>
    <m/>
    <m/>
    <m/>
    <m/>
    <s v="YES"/>
    <s v="NO"/>
    <s v="NO"/>
    <s v="8th District"/>
    <s v="NO"/>
    <s v="NO"/>
    <s v="Yes"/>
    <s v="NO"/>
    <n v="0.98"/>
    <n v="6370000"/>
    <s v="Reclamation"/>
    <m/>
    <m/>
    <m/>
    <m/>
    <n v="0"/>
    <m/>
    <n v="0.02"/>
    <n v="130000"/>
    <m/>
    <m/>
    <m/>
    <m/>
    <m/>
    <n v="0"/>
    <m/>
    <m/>
    <m/>
    <m/>
    <m/>
    <n v="0"/>
    <m/>
    <m/>
    <m/>
    <m/>
    <m/>
    <n v="0"/>
    <m/>
    <m/>
    <m/>
    <m/>
    <m/>
    <n v="0"/>
    <m/>
    <m/>
    <m/>
    <m/>
    <m/>
    <n v="0"/>
    <m/>
    <m/>
    <m/>
    <m/>
    <m/>
    <n v="0"/>
    <m/>
    <m/>
    <m/>
    <m/>
    <m/>
    <n v="0"/>
    <m/>
    <m/>
    <m/>
    <m/>
    <n v="1"/>
    <n v="6500000"/>
  </r>
  <r>
    <m/>
    <n v="1"/>
    <n v="1"/>
    <s v="US"/>
    <n v="53"/>
    <s v="US 53"/>
    <s v="6918-80"/>
    <x v="1"/>
    <m/>
    <s v="S"/>
    <s v="MNDOT"/>
    <m/>
    <s v="**AB**Chap 152** BETWEEN EVELETH AND VIRGINIA, RELOCATE TH 53 AWAY FROM UNITED TACONITE OPERATIONS (ALTERNATE BID)"/>
    <n v="0"/>
    <n v="0"/>
    <n v="4.7"/>
    <s v="VIRGINIA"/>
    <s v="ST. LOUIS"/>
    <s v="MC"/>
    <s v="1-M "/>
    <s v="1-M"/>
    <m/>
    <s v="GSBR - GRADE, SURFACE AND BRIDGE"/>
    <s v="GRADE AND BRIDGE"/>
    <s v="BF  "/>
    <s v="BF"/>
    <m/>
    <m/>
    <n v="60000000"/>
    <n v="0"/>
    <n v="0"/>
    <n v="0"/>
    <n v="0"/>
    <n v="0"/>
    <n v="0"/>
    <n v="0"/>
    <n v="0"/>
    <n v="0"/>
    <n v="0"/>
    <n v="0"/>
    <n v="0"/>
    <n v="0"/>
    <n v="0"/>
    <n v="0"/>
    <n v="0"/>
    <n v="0"/>
    <n v="0"/>
    <n v="60000000"/>
    <n v="0"/>
    <n v="60000000"/>
    <n v="20850612"/>
    <n v="3750000"/>
    <n v="2015"/>
    <m/>
    <m/>
    <m/>
    <m/>
    <m/>
    <s v="YES"/>
    <s v="NO"/>
    <s v="YES"/>
    <s v="8th District"/>
    <s v="NO"/>
    <s v="NO"/>
    <s v="NO"/>
    <s v="NO"/>
    <n v="0.42"/>
    <n v="25200000"/>
    <s v="Reconstruction"/>
    <m/>
    <m/>
    <m/>
    <n v="0.5"/>
    <n v="30000000"/>
    <s v="Improvement - Major rehabilitation or replacement"/>
    <n v="0.08"/>
    <n v="4800000"/>
    <m/>
    <m/>
    <m/>
    <m/>
    <m/>
    <n v="0"/>
    <m/>
    <m/>
    <m/>
    <m/>
    <m/>
    <n v="0"/>
    <m/>
    <m/>
    <m/>
    <m/>
    <m/>
    <n v="0"/>
    <m/>
    <m/>
    <m/>
    <m/>
    <m/>
    <n v="0"/>
    <m/>
    <m/>
    <m/>
    <m/>
    <m/>
    <n v="0"/>
    <m/>
    <m/>
    <m/>
    <m/>
    <m/>
    <n v="0"/>
    <m/>
    <m/>
    <m/>
    <m/>
    <m/>
    <n v="0"/>
    <m/>
    <m/>
    <m/>
    <m/>
    <n v="0.99999999999999989"/>
    <n v="60000000"/>
  </r>
  <r>
    <m/>
    <n v="1"/>
    <n v="1"/>
    <s v="US"/>
    <n v="53"/>
    <s v="US 53"/>
    <s v="6918-81"/>
    <x v="9"/>
    <m/>
    <s v="S"/>
    <s v="MNDOT"/>
    <m/>
    <s v=" IN VIRGINIA. FROM N. JCT TH 37 TO 0.04 MI. N. JCT VERMILLION DR, MILL AND OVERLAY"/>
    <s v="60+00.320"/>
    <s v="62+00.502"/>
    <n v="2.2000000000000002"/>
    <m/>
    <s v="ST. LOUIS"/>
    <s v="RS"/>
    <m/>
    <m/>
    <m/>
    <s v="PVTR - PAVEMENT RESURFACE AND REHABILITATION"/>
    <s v="CULVERT"/>
    <s v="NHPP  "/>
    <s v="NHPP"/>
    <m/>
    <m/>
    <n v="1300000"/>
    <n v="0"/>
    <n v="0"/>
    <n v="1040000"/>
    <n v="0"/>
    <n v="1040000"/>
    <n v="0"/>
    <n v="0"/>
    <n v="0"/>
    <n v="0"/>
    <n v="0"/>
    <n v="0"/>
    <n v="0"/>
    <n v="0"/>
    <n v="0"/>
    <n v="0"/>
    <n v="260000"/>
    <n v="0"/>
    <n v="260000"/>
    <n v="0"/>
    <n v="0"/>
    <n v="1300000"/>
    <n v="18128500"/>
    <n v="2490900"/>
    <n v="2017"/>
    <m/>
    <m/>
    <m/>
    <m/>
    <m/>
    <s v="NO"/>
    <s v="NO"/>
    <s v="NO"/>
    <s v="8th District"/>
    <s v="NO"/>
    <s v="NO"/>
    <s v="Yes"/>
    <s v="NO"/>
    <n v="0.83"/>
    <n v="1079000"/>
    <s v="Mill and/or overlay"/>
    <m/>
    <m/>
    <m/>
    <m/>
    <n v="0"/>
    <m/>
    <n v="0.17"/>
    <n v="221000.00000000003"/>
    <s v="Drainage and culverts"/>
    <m/>
    <m/>
    <m/>
    <m/>
    <n v="0"/>
    <m/>
    <m/>
    <m/>
    <m/>
    <m/>
    <n v="0"/>
    <m/>
    <m/>
    <m/>
    <m/>
    <m/>
    <n v="0"/>
    <m/>
    <m/>
    <m/>
    <m/>
    <m/>
    <n v="0"/>
    <m/>
    <m/>
    <m/>
    <m/>
    <m/>
    <n v="0"/>
    <m/>
    <m/>
    <m/>
    <m/>
    <m/>
    <n v="0"/>
    <m/>
    <m/>
    <m/>
    <m/>
    <m/>
    <n v="0"/>
    <m/>
    <m/>
    <m/>
    <m/>
    <n v="1"/>
    <n v="1300000"/>
  </r>
  <r>
    <m/>
    <n v="1"/>
    <n v="1"/>
    <s v="MN"/>
    <n v="61"/>
    <s v="MN 61"/>
    <s v="6925-134"/>
    <x v="0"/>
    <m/>
    <s v="S"/>
    <s v="MNDOT"/>
    <n v="1"/>
    <s v="ADA PED RAMP IMPROVEMENT FROM 32ND AVE E TO 59TH AVE E"/>
    <s v="002+00.019"/>
    <s v="004+00.675"/>
    <n v="2.6560000000000001"/>
    <s v="DULUTH"/>
    <s v="ST. LOUIS"/>
    <s v="EN"/>
    <s v="7-O-P "/>
    <s v="7-O-P"/>
    <m/>
    <s v="SETA - SET ASIDE"/>
    <s v="PED./BIKE IMPROVEMENT"/>
    <s v="TAP 5K - 200K  "/>
    <s v="TAP 5K - 200K"/>
    <m/>
    <m/>
    <n v="262500"/>
    <n v="0"/>
    <n v="0"/>
    <n v="210000"/>
    <n v="0"/>
    <n v="210000"/>
    <n v="0"/>
    <n v="0"/>
    <n v="0"/>
    <n v="0"/>
    <n v="0"/>
    <n v="0"/>
    <n v="0"/>
    <n v="0"/>
    <n v="0"/>
    <n v="0"/>
    <n v="52500"/>
    <n v="0"/>
    <n v="52500"/>
    <n v="0"/>
    <n v="0"/>
    <n v="262500"/>
    <n v="35655530"/>
    <n v="5624496"/>
    <n v="2014"/>
    <m/>
    <m/>
    <s v="ADA"/>
    <m/>
    <m/>
    <s v="NO"/>
    <s v="Yes"/>
    <s v="NO"/>
    <s v="8th District"/>
    <s v="NO"/>
    <s v="NO"/>
    <s v="Yes"/>
    <s v="NO"/>
    <m/>
    <n v="0"/>
    <m/>
    <m/>
    <m/>
    <m/>
    <m/>
    <n v="0"/>
    <m/>
    <m/>
    <n v="0"/>
    <m/>
    <m/>
    <m/>
    <m/>
    <m/>
    <n v="0"/>
    <m/>
    <m/>
    <m/>
    <m/>
    <m/>
    <n v="0"/>
    <m/>
    <m/>
    <m/>
    <m/>
    <m/>
    <n v="0"/>
    <m/>
    <m/>
    <m/>
    <m/>
    <m/>
    <n v="0"/>
    <m/>
    <m/>
    <m/>
    <m/>
    <n v="1"/>
    <n v="262500"/>
    <m/>
    <m/>
    <m/>
    <m/>
    <m/>
    <n v="0"/>
    <m/>
    <m/>
    <m/>
    <m/>
    <m/>
    <n v="0"/>
    <m/>
    <m/>
    <m/>
    <m/>
    <n v="1"/>
    <n v="262500"/>
  </r>
  <r>
    <m/>
    <n v="1"/>
    <n v="1"/>
    <s v="MN"/>
    <n v="61"/>
    <s v="MN 61"/>
    <s v="6925-135"/>
    <x v="2"/>
    <m/>
    <s v="S"/>
    <s v="MNDOT"/>
    <n v="1"/>
    <s v="IN DULUTH, 61ST AVE E. TO 0.12 MI N SUPERIOR ST,MILL AND OVERLAY"/>
    <s v="4+00.738"/>
    <s v="5+00.818"/>
    <n v="1.1000000000000001"/>
    <s v="DULUTH"/>
    <s v="ST. LOUIS"/>
    <s v="RS"/>
    <m/>
    <m/>
    <m/>
    <s v="PVTR - PAVEMENT RESURFACE AND REHABILITATION"/>
    <m/>
    <s v="NHPP  "/>
    <s v="NHPP"/>
    <m/>
    <m/>
    <n v="560000"/>
    <m/>
    <m/>
    <n v="448000"/>
    <m/>
    <n v="448000"/>
    <m/>
    <m/>
    <m/>
    <n v="0"/>
    <m/>
    <m/>
    <m/>
    <n v="0"/>
    <m/>
    <m/>
    <n v="112000"/>
    <m/>
    <n v="112000"/>
    <m/>
    <n v="0"/>
    <n v="560000"/>
    <n v="48921896"/>
    <n v="11152182"/>
    <n v="2016"/>
    <m/>
    <s v="$560,000 MAP 21"/>
    <m/>
    <m/>
    <m/>
    <s v="NO"/>
    <s v="NO"/>
    <s v="NO"/>
    <s v="8th District"/>
    <s v="NO"/>
    <s v="NO"/>
    <s v="Yes"/>
    <s v="NO"/>
    <n v="0.98"/>
    <n v="548800"/>
    <s v="Mill and/or overlay"/>
    <m/>
    <m/>
    <m/>
    <m/>
    <n v="0"/>
    <m/>
    <n v="0.02"/>
    <n v="11200"/>
    <s v="Pavement markings"/>
    <m/>
    <m/>
    <m/>
    <m/>
    <n v="0"/>
    <m/>
    <m/>
    <m/>
    <m/>
    <m/>
    <n v="0"/>
    <m/>
    <m/>
    <m/>
    <m/>
    <m/>
    <n v="0"/>
    <m/>
    <m/>
    <m/>
    <m/>
    <m/>
    <n v="0"/>
    <m/>
    <m/>
    <m/>
    <m/>
    <m/>
    <n v="0"/>
    <m/>
    <m/>
    <m/>
    <m/>
    <m/>
    <n v="0"/>
    <m/>
    <m/>
    <m/>
    <m/>
    <m/>
    <n v="0"/>
    <m/>
    <m/>
    <m/>
    <m/>
    <n v="1"/>
    <n v="560000"/>
  </r>
  <r>
    <m/>
    <n v="1"/>
    <n v="1"/>
    <s v="MN"/>
    <n v="73"/>
    <s v="MN 73"/>
    <s v="6929-18"/>
    <x v="1"/>
    <m/>
    <s v="S"/>
    <s v="MNDOT"/>
    <m/>
    <s v="**ELLA**REPLACE BRIDGE #9260, 10 MILES SOUTH OF JCT TH 169 (ASSOC. 69072)"/>
    <s v="68+00.761"/>
    <s v="69+00.762"/>
    <n v="0"/>
    <m/>
    <s v="ST. LOUIS"/>
    <s v="BR"/>
    <s v="1-B "/>
    <s v="1-B"/>
    <m/>
    <s v="BRPC - BRIDGE REPLACEMENT OR CONSTRUCTION"/>
    <s v="BRIDGE REPLACEMENT"/>
    <s v="SF  "/>
    <s v="SF"/>
    <m/>
    <m/>
    <n v="372000"/>
    <n v="0"/>
    <n v="0"/>
    <n v="0"/>
    <n v="0"/>
    <n v="0"/>
    <n v="0"/>
    <n v="0"/>
    <n v="0"/>
    <n v="0"/>
    <n v="0"/>
    <n v="0"/>
    <n v="0"/>
    <n v="0"/>
    <n v="0"/>
    <n v="0"/>
    <n v="930000"/>
    <n v="0"/>
    <n v="930000"/>
    <n v="0"/>
    <n v="0"/>
    <n v="930000"/>
    <n v="82151107"/>
    <n v="34380487"/>
    <n v="2015"/>
    <m/>
    <s v="$110,000 DI Funds"/>
    <m/>
    <m/>
    <m/>
    <s v="YES"/>
    <s v="NO"/>
    <s v="NO"/>
    <s v="8th District"/>
    <s v="NO"/>
    <s v="NO"/>
    <s v="Yes"/>
    <s v="NO"/>
    <m/>
    <n v="0"/>
    <m/>
    <m/>
    <m/>
    <m/>
    <n v="1"/>
    <n v="372000"/>
    <s v="Improvement - Major rehabilitation or replacement"/>
    <m/>
    <n v="0"/>
    <m/>
    <m/>
    <m/>
    <m/>
    <m/>
    <n v="0"/>
    <m/>
    <m/>
    <m/>
    <m/>
    <m/>
    <n v="0"/>
    <m/>
    <m/>
    <m/>
    <m/>
    <m/>
    <n v="0"/>
    <m/>
    <m/>
    <m/>
    <m/>
    <m/>
    <n v="0"/>
    <m/>
    <m/>
    <m/>
    <m/>
    <m/>
    <n v="0"/>
    <m/>
    <m/>
    <m/>
    <m/>
    <m/>
    <n v="0"/>
    <m/>
    <m/>
    <m/>
    <m/>
    <m/>
    <n v="0"/>
    <m/>
    <m/>
    <m/>
    <m/>
    <n v="1"/>
    <n v="372000"/>
  </r>
  <r>
    <m/>
    <n v="1"/>
    <n v="1"/>
    <s v="MN"/>
    <n v="194"/>
    <s v="MN 194"/>
    <s v="6933-92"/>
    <x v="2"/>
    <m/>
    <s v="S"/>
    <s v="MNDOT"/>
    <n v="1"/>
    <s v="**AC** IN DULUTH.  N. MESABA AVE CROSSING TO JCT I-35. CPR &amp; BRIDGE REPAIR # 69839 &amp; 69840 (TIED TO 6980-59) (ASSOC. SP 6933-(69839B) &amp; 6933-(69840B) (AC PROJECT, PAYBACK IN 2017)"/>
    <s v="15+00.981"/>
    <s v="17+00.381"/>
    <n v="1.4"/>
    <s v="DULUTH"/>
    <s v="ST. LOUIS"/>
    <s v="RD"/>
    <m/>
    <m/>
    <m/>
    <s v="BRRH - BRIDGE REHABILITATION"/>
    <s v="CONCRETE PAVEMENT REHAB"/>
    <s v="NHPP  "/>
    <s v="NHPP"/>
    <m/>
    <m/>
    <n v="540000"/>
    <m/>
    <m/>
    <m/>
    <m/>
    <n v="0"/>
    <m/>
    <n v="2160000"/>
    <m/>
    <n v="2160000"/>
    <m/>
    <m/>
    <m/>
    <n v="0"/>
    <m/>
    <m/>
    <n v="540000"/>
    <m/>
    <n v="540000"/>
    <m/>
    <n v="0"/>
    <n v="2700000"/>
    <n v="48921896"/>
    <n v="11692182"/>
    <n v="2016"/>
    <m/>
    <m/>
    <m/>
    <m/>
    <m/>
    <s v="YES"/>
    <s v="NO"/>
    <s v="NO"/>
    <s v="8th District"/>
    <s v="NO"/>
    <s v="NO"/>
    <s v="Yes"/>
    <s v="NO"/>
    <n v="0.23404255319148937"/>
    <n v="126382.97872340426"/>
    <s v="Rehabilitation"/>
    <n v="0.23404255319148937"/>
    <m/>
    <m/>
    <n v="0.76595744680851063"/>
    <n v="413617.02127659577"/>
    <m/>
    <m/>
    <n v="0"/>
    <m/>
    <m/>
    <m/>
    <m/>
    <m/>
    <n v="0"/>
    <m/>
    <m/>
    <m/>
    <m/>
    <m/>
    <n v="0"/>
    <m/>
    <m/>
    <m/>
    <m/>
    <m/>
    <n v="0"/>
    <m/>
    <m/>
    <m/>
    <m/>
    <m/>
    <n v="0"/>
    <m/>
    <m/>
    <m/>
    <m/>
    <m/>
    <n v="0"/>
    <m/>
    <m/>
    <m/>
    <m/>
    <m/>
    <n v="0"/>
    <m/>
    <m/>
    <m/>
    <m/>
    <m/>
    <n v="0"/>
    <m/>
    <m/>
    <m/>
    <m/>
    <n v="1"/>
    <n v="540000"/>
  </r>
  <r>
    <m/>
    <n v="1"/>
    <n v="1"/>
    <s v="MN"/>
    <n v="194"/>
    <s v="MN 194"/>
    <s v="6933-92AC"/>
    <x v="9"/>
    <m/>
    <s v="S"/>
    <s v="MNDOT"/>
    <n v="1"/>
    <s v="**AC** IN DULUTH.  N. MESABA AVE CROSSING TO JCT I-35. CPR &amp; BRIDGE REPAIR # 69839 &amp; 69840 (TIED TO 6980-59) (ASSOC. SP 6933-(69839B) &amp; 6933-(69840B) (AC PROJECT, AC PAYBAK 1 OF1)"/>
    <s v="15+00.981"/>
    <s v="17+00.381"/>
    <m/>
    <s v="DULUTH"/>
    <s v="ST. LOUIS"/>
    <s v="RD"/>
    <m/>
    <m/>
    <m/>
    <s v="BRRH - BRIDGE REHABILITATION"/>
    <s v="CONCRETE PAVEMENT REHAB"/>
    <s v="NHPP  "/>
    <s v="NHPP"/>
    <m/>
    <m/>
    <n v="2160000"/>
    <m/>
    <m/>
    <m/>
    <m/>
    <m/>
    <m/>
    <m/>
    <m/>
    <n v="0"/>
    <m/>
    <n v="2160000"/>
    <m/>
    <n v="2160000"/>
    <m/>
    <m/>
    <m/>
    <m/>
    <n v="0"/>
    <m/>
    <n v="0"/>
    <n v="0"/>
    <n v="43728499.700000003"/>
    <n v="19503233.300000001"/>
    <n v="2017"/>
    <m/>
    <m/>
    <m/>
    <m/>
    <m/>
    <s v="YES"/>
    <s v="NO"/>
    <s v="NO"/>
    <s v="8th District"/>
    <s v="NO"/>
    <s v="NO"/>
    <s v="Yes"/>
    <s v="NO"/>
    <n v="0.23404255319148937"/>
    <n v="505531.91489361704"/>
    <n v="0.76595744680851063"/>
    <m/>
    <m/>
    <m/>
    <n v="0.76595744680851063"/>
    <n v="1654468.0851063831"/>
    <m/>
    <m/>
    <n v="0"/>
    <m/>
    <m/>
    <m/>
    <m/>
    <m/>
    <n v="0"/>
    <m/>
    <m/>
    <m/>
    <m/>
    <m/>
    <n v="0"/>
    <m/>
    <m/>
    <m/>
    <m/>
    <m/>
    <n v="0"/>
    <m/>
    <m/>
    <m/>
    <m/>
    <m/>
    <n v="0"/>
    <m/>
    <m/>
    <m/>
    <m/>
    <m/>
    <n v="0"/>
    <m/>
    <m/>
    <m/>
    <m/>
    <m/>
    <n v="0"/>
    <m/>
    <m/>
    <m/>
    <m/>
    <m/>
    <n v="0"/>
    <m/>
    <m/>
    <m/>
    <m/>
    <n v="1"/>
    <n v="2160000"/>
  </r>
  <r>
    <m/>
    <n v="1"/>
    <n v="1"/>
    <s v="US"/>
    <n v="169"/>
    <s v="US 169"/>
    <s v="6934-116"/>
    <x v="9"/>
    <m/>
    <s v="S"/>
    <s v="MNDOT"/>
    <m/>
    <s v="JCT US 169/S. JCT TH 73 IN HIBBING TO (TIED TO SP 6934-117)"/>
    <s v="337+00.300"/>
    <s v="341+00.199"/>
    <n v="3.9"/>
    <s v="HIBBING"/>
    <s v="ST. LOUIS"/>
    <s v="RS"/>
    <m/>
    <m/>
    <m/>
    <s v="PVTR - PAVEMENT RESURFACE AND REHABILITATION"/>
    <m/>
    <s v="NHPP  "/>
    <s v="NHPP"/>
    <m/>
    <m/>
    <n v="4400000"/>
    <n v="0"/>
    <n v="0"/>
    <n v="3520000"/>
    <n v="0"/>
    <n v="3520000"/>
    <n v="0"/>
    <n v="0"/>
    <n v="0"/>
    <n v="0"/>
    <n v="0"/>
    <n v="0"/>
    <n v="0"/>
    <n v="0"/>
    <n v="0"/>
    <n v="0"/>
    <n v="880000"/>
    <n v="0"/>
    <n v="880000"/>
    <n v="0"/>
    <n v="0"/>
    <n v="4400000"/>
    <n v="21648500"/>
    <n v="3370900"/>
    <n v="2017"/>
    <m/>
    <m/>
    <m/>
    <m/>
    <m/>
    <s v="NO"/>
    <s v="NO"/>
    <s v="NO"/>
    <s v="8th District"/>
    <s v="NO"/>
    <s v="NO"/>
    <s v="Yes"/>
    <s v="NO"/>
    <n v="0.98"/>
    <n v="4312000"/>
    <s v="Mill and/or overlay"/>
    <m/>
    <m/>
    <m/>
    <m/>
    <n v="0"/>
    <m/>
    <n v="0.02"/>
    <n v="88000"/>
    <s v="Drainage and culverts"/>
    <m/>
    <m/>
    <m/>
    <m/>
    <n v="0"/>
    <m/>
    <m/>
    <m/>
    <m/>
    <m/>
    <n v="0"/>
    <m/>
    <m/>
    <m/>
    <m/>
    <m/>
    <n v="0"/>
    <m/>
    <m/>
    <m/>
    <m/>
    <m/>
    <n v="0"/>
    <m/>
    <m/>
    <m/>
    <m/>
    <m/>
    <n v="0"/>
    <m/>
    <m/>
    <m/>
    <m/>
    <m/>
    <n v="0"/>
    <m/>
    <m/>
    <m/>
    <m/>
    <m/>
    <n v="0"/>
    <m/>
    <m/>
    <m/>
    <m/>
    <n v="1"/>
    <n v="4400000"/>
  </r>
  <r>
    <m/>
    <n v="1"/>
    <n v="1"/>
    <s v="US"/>
    <n v="169"/>
    <s v="US 169"/>
    <s v="6934-117"/>
    <x v="9"/>
    <m/>
    <s v="S"/>
    <s v="MNDOT"/>
    <m/>
    <s v="IN HIBBING JCT TH 169/TH 37 INTERSECTION MODIFICATION. (TIED TO 6934-116)"/>
    <m/>
    <m/>
    <m/>
    <s v="HIBBING"/>
    <s v="ST. LOUIS"/>
    <s v="SH"/>
    <m/>
    <m/>
    <m/>
    <s v="TRCD - TRAFFIC CONTROL DEVICES"/>
    <m/>
    <s v="HSIP  "/>
    <s v="HSIP"/>
    <m/>
    <m/>
    <n v="1333333"/>
    <n v="0"/>
    <n v="0"/>
    <n v="1199999.7"/>
    <n v="0"/>
    <n v="1199999.7"/>
    <n v="0"/>
    <n v="0"/>
    <n v="0"/>
    <n v="0"/>
    <n v="0"/>
    <n v="0"/>
    <n v="0"/>
    <n v="0"/>
    <n v="0"/>
    <n v="0"/>
    <n v="133333.30000000002"/>
    <n v="0"/>
    <n v="133333.30000000002"/>
    <n v="0"/>
    <n v="0"/>
    <n v="1333333"/>
    <n v="22848499.699999999"/>
    <n v="3504233.3"/>
    <n v="2017"/>
    <m/>
    <m/>
    <m/>
    <m/>
    <m/>
    <s v="YES"/>
    <s v="NO"/>
    <s v="NO"/>
    <s v="8th District"/>
    <s v="NO"/>
    <s v="NO"/>
    <s v="Yes"/>
    <s v="NO"/>
    <n v="0.98"/>
    <n v="1306666.3400000001"/>
    <m/>
    <m/>
    <m/>
    <m/>
    <m/>
    <n v="0"/>
    <m/>
    <n v="0.02"/>
    <n v="26666.66"/>
    <m/>
    <m/>
    <m/>
    <m/>
    <m/>
    <n v="0"/>
    <m/>
    <m/>
    <m/>
    <m/>
    <m/>
    <n v="0"/>
    <m/>
    <m/>
    <m/>
    <m/>
    <m/>
    <n v="0"/>
    <m/>
    <m/>
    <m/>
    <m/>
    <m/>
    <n v="0"/>
    <m/>
    <m/>
    <m/>
    <m/>
    <m/>
    <n v="0"/>
    <m/>
    <m/>
    <m/>
    <m/>
    <m/>
    <n v="0"/>
    <m/>
    <m/>
    <m/>
    <m/>
    <m/>
    <n v="0"/>
    <m/>
    <m/>
    <m/>
    <m/>
    <n v="1"/>
    <n v="1333333"/>
  </r>
  <r>
    <m/>
    <n v="1"/>
    <n v="1"/>
    <s v="US"/>
    <n v="169"/>
    <s v="US 169"/>
    <s v="6935-89"/>
    <x v="9"/>
    <m/>
    <s v="S"/>
    <s v="MNDOT"/>
    <m/>
    <s v="IN VIRGINIA, .07 MI W CR-109 TO JCT 53 (HOOVER RD), OVERLAY, REPAIR BRIDGE#69034 &amp; 69035"/>
    <s v="362+00.110"/>
    <s v="363+00.980"/>
    <n v="1.8"/>
    <s v="VIRGINIA"/>
    <s v="ST. LOUIS"/>
    <s v="BI"/>
    <m/>
    <m/>
    <m/>
    <s v="BRRH - BRIDGE REHABILITATION"/>
    <s v="BITUMINOUS OVERLAY"/>
    <s v="NHPP  "/>
    <s v="NHPP"/>
    <m/>
    <m/>
    <n v="3600000"/>
    <n v="0"/>
    <n v="0"/>
    <n v="2880000"/>
    <n v="0"/>
    <n v="2880000"/>
    <n v="0"/>
    <n v="0"/>
    <n v="0"/>
    <n v="0"/>
    <n v="0"/>
    <n v="0"/>
    <n v="0"/>
    <n v="0"/>
    <n v="0"/>
    <n v="0"/>
    <n v="720000"/>
    <n v="0"/>
    <n v="720000"/>
    <n v="0"/>
    <n v="0"/>
    <n v="3600000"/>
    <n v="25728499.699999999"/>
    <n v="4224233.3"/>
    <n v="2017"/>
    <m/>
    <m/>
    <m/>
    <m/>
    <m/>
    <s v="NO"/>
    <s v="NO"/>
    <s v="NO"/>
    <s v="8th District"/>
    <s v="NO"/>
    <s v="NO"/>
    <s v="Yes"/>
    <s v="NO"/>
    <n v="0.23"/>
    <n v="828000"/>
    <s v="Mill and/or overlay"/>
    <m/>
    <m/>
    <m/>
    <n v="0.53"/>
    <n v="1908000"/>
    <s v="Preservation - Preventive and reactive maintenance"/>
    <n v="0.24"/>
    <n v="864000"/>
    <m/>
    <m/>
    <m/>
    <m/>
    <m/>
    <n v="0"/>
    <m/>
    <m/>
    <m/>
    <m/>
    <m/>
    <n v="0"/>
    <m/>
    <m/>
    <m/>
    <m/>
    <m/>
    <n v="0"/>
    <m/>
    <m/>
    <m/>
    <m/>
    <m/>
    <n v="0"/>
    <m/>
    <m/>
    <m/>
    <m/>
    <m/>
    <n v="0"/>
    <m/>
    <m/>
    <m/>
    <m/>
    <m/>
    <n v="0"/>
    <m/>
    <m/>
    <m/>
    <m/>
    <m/>
    <n v="0"/>
    <m/>
    <m/>
    <m/>
    <m/>
    <n v="1"/>
    <n v="3600000"/>
  </r>
  <r>
    <m/>
    <n v="1"/>
    <n v="1"/>
    <s v="US"/>
    <n v="2"/>
    <s v="US 2"/>
    <s v="6937-69100D"/>
    <x v="0"/>
    <m/>
    <s v="S"/>
    <s v="MNDOT"/>
    <n v="1"/>
    <s v="BONG BRIDGE &amp; RAMP REPAIRS, DECK OVERLAY, PAINTING, JOINT REPAIR/REPLACEMENT, BR #'S 69100D, 69101, 69102, 69109 "/>
    <n v="0"/>
    <n v="0"/>
    <n v="0"/>
    <s v="DULUTH"/>
    <s v="ST. LOUIS"/>
    <s v="BI"/>
    <s v="1-B "/>
    <s v="1-B"/>
    <m/>
    <s v="BRRH - BRIDGE REHABILITATION"/>
    <s v="BRIDGE REPAIR"/>
    <s v="NHPP  "/>
    <s v="NHPP"/>
    <m/>
    <m/>
    <n v="9300000"/>
    <n v="0"/>
    <n v="0"/>
    <n v="6720000"/>
    <n v="0"/>
    <n v="6720000"/>
    <n v="0"/>
    <n v="0"/>
    <n v="0"/>
    <n v="0"/>
    <n v="0"/>
    <n v="0"/>
    <n v="0"/>
    <n v="0"/>
    <n v="0"/>
    <n v="0"/>
    <n v="1680000"/>
    <n v="0"/>
    <n v="1680000"/>
    <n v="0"/>
    <n v="0"/>
    <n v="8400000"/>
    <n v="21161181"/>
    <n v="2142996"/>
    <n v="2014"/>
    <m/>
    <s v="This project is being led by WISDOT. The Project total including the WIS DOT share is $14.6 million"/>
    <m/>
    <n v="0"/>
    <m/>
    <s v="NO"/>
    <s v="NO"/>
    <s v="NO"/>
    <s v="8th District"/>
    <s v="NO"/>
    <s v="NO"/>
    <s v="Yes"/>
    <s v="NO"/>
    <m/>
    <n v="0"/>
    <m/>
    <m/>
    <m/>
    <m/>
    <n v="1"/>
    <n v="9300000"/>
    <m/>
    <m/>
    <n v="0"/>
    <m/>
    <m/>
    <m/>
    <m/>
    <m/>
    <n v="0"/>
    <m/>
    <m/>
    <m/>
    <m/>
    <m/>
    <n v="0"/>
    <m/>
    <m/>
    <m/>
    <m/>
    <m/>
    <n v="0"/>
    <m/>
    <m/>
    <m/>
    <m/>
    <m/>
    <n v="0"/>
    <m/>
    <m/>
    <m/>
    <m/>
    <m/>
    <n v="0"/>
    <m/>
    <m/>
    <m/>
    <m/>
    <m/>
    <n v="0"/>
    <m/>
    <m/>
    <m/>
    <m/>
    <m/>
    <n v="0"/>
    <m/>
    <m/>
    <m/>
    <m/>
    <n v="1"/>
    <n v="9300000"/>
  </r>
  <r>
    <m/>
    <s v="M"/>
    <s v="M"/>
    <s v="MN"/>
    <n v="999"/>
    <s v="MN999"/>
    <m/>
    <x v="3"/>
    <m/>
    <m/>
    <m/>
    <m/>
    <s v="OTHER INFRASTRUCTURE SETASIDE"/>
    <m/>
    <m/>
    <m/>
    <m/>
    <m/>
    <m/>
    <s v=""/>
    <m/>
    <m/>
    <m/>
    <m/>
    <s v=""/>
    <m/>
    <m/>
    <m/>
    <n v="12000000"/>
    <m/>
    <m/>
    <m/>
    <m/>
    <n v="0"/>
    <m/>
    <m/>
    <m/>
    <n v="0"/>
    <m/>
    <m/>
    <m/>
    <n v="0"/>
    <m/>
    <m/>
    <m/>
    <m/>
    <n v="0"/>
    <m/>
    <n v="12000000"/>
    <n v="12000000"/>
    <n v="534686921.55000001"/>
    <n v="228415173.93000001"/>
    <n v="2018"/>
    <m/>
    <m/>
    <m/>
    <m/>
    <m/>
    <m/>
    <m/>
    <m/>
    <m/>
    <m/>
    <m/>
    <m/>
    <m/>
    <m/>
    <n v="0"/>
    <m/>
    <m/>
    <m/>
    <m/>
    <m/>
    <n v="0"/>
    <m/>
    <n v="1"/>
    <n v="12000000"/>
    <m/>
    <m/>
    <m/>
    <m/>
    <m/>
    <n v="0"/>
    <m/>
    <m/>
    <m/>
    <m/>
    <m/>
    <n v="0"/>
    <m/>
    <m/>
    <m/>
    <m/>
    <m/>
    <n v="0"/>
    <m/>
    <m/>
    <m/>
    <m/>
    <m/>
    <n v="0"/>
    <m/>
    <m/>
    <m/>
    <m/>
    <m/>
    <n v="0"/>
    <m/>
    <m/>
    <m/>
    <m/>
    <m/>
    <n v="0"/>
    <m/>
    <m/>
    <m/>
    <m/>
    <m/>
    <n v="0"/>
    <m/>
    <m/>
    <m/>
    <m/>
    <n v="1"/>
    <n v="12000000"/>
  </r>
  <r>
    <m/>
    <s v="M"/>
    <s v="M"/>
    <s v="MN"/>
    <n v="999"/>
    <s v="MN999"/>
    <m/>
    <x v="3"/>
    <m/>
    <m/>
    <m/>
    <m/>
    <s v="RIGHT OF WAY SETASIDE"/>
    <m/>
    <m/>
    <m/>
    <m/>
    <m/>
    <m/>
    <s v=""/>
    <m/>
    <m/>
    <m/>
    <m/>
    <s v=""/>
    <m/>
    <m/>
    <m/>
    <n v="12000000"/>
    <m/>
    <m/>
    <m/>
    <m/>
    <n v="0"/>
    <m/>
    <m/>
    <m/>
    <n v="0"/>
    <m/>
    <m/>
    <m/>
    <n v="0"/>
    <m/>
    <m/>
    <m/>
    <m/>
    <n v="0"/>
    <m/>
    <n v="12000000"/>
    <n v="12000000"/>
    <n v="534686921.55000001"/>
    <n v="228415173.93000001"/>
    <n v="2018"/>
    <m/>
    <m/>
    <m/>
    <m/>
    <m/>
    <m/>
    <m/>
    <m/>
    <m/>
    <m/>
    <m/>
    <m/>
    <m/>
    <m/>
    <n v="0"/>
    <m/>
    <m/>
    <m/>
    <m/>
    <m/>
    <n v="0"/>
    <m/>
    <m/>
    <n v="0"/>
    <m/>
    <m/>
    <m/>
    <m/>
    <m/>
    <n v="0"/>
    <m/>
    <m/>
    <m/>
    <m/>
    <m/>
    <n v="0"/>
    <m/>
    <m/>
    <m/>
    <m/>
    <m/>
    <n v="0"/>
    <m/>
    <m/>
    <m/>
    <m/>
    <m/>
    <n v="0"/>
    <m/>
    <m/>
    <m/>
    <m/>
    <m/>
    <n v="0"/>
    <m/>
    <m/>
    <m/>
    <m/>
    <m/>
    <n v="0"/>
    <m/>
    <m/>
    <m/>
    <m/>
    <n v="1"/>
    <n v="12000000"/>
    <s v="Right of way"/>
    <m/>
    <m/>
    <m/>
    <n v="1"/>
    <n v="12000000"/>
  </r>
  <r>
    <m/>
    <s v="M"/>
    <s v="M"/>
    <s v="MN"/>
    <n v="999"/>
    <s v="MN999"/>
    <m/>
    <x v="4"/>
    <m/>
    <m/>
    <m/>
    <m/>
    <s v="OTHER INFRASTRUCTURE SETASIDE"/>
    <m/>
    <m/>
    <m/>
    <m/>
    <m/>
    <m/>
    <s v=""/>
    <m/>
    <m/>
    <m/>
    <m/>
    <s v=""/>
    <m/>
    <m/>
    <m/>
    <n v="12000000"/>
    <m/>
    <m/>
    <m/>
    <m/>
    <n v="0"/>
    <m/>
    <m/>
    <m/>
    <n v="0"/>
    <m/>
    <m/>
    <m/>
    <n v="0"/>
    <m/>
    <m/>
    <m/>
    <m/>
    <n v="0"/>
    <m/>
    <n v="12000000"/>
    <n v="12000000"/>
    <n v="534686921.55000001"/>
    <n v="228415173.93000001"/>
    <n v="2019"/>
    <m/>
    <m/>
    <m/>
    <m/>
    <m/>
    <m/>
    <m/>
    <m/>
    <m/>
    <m/>
    <m/>
    <m/>
    <m/>
    <m/>
    <n v="0"/>
    <m/>
    <m/>
    <m/>
    <m/>
    <m/>
    <n v="0"/>
    <m/>
    <n v="1"/>
    <n v="12000000"/>
    <m/>
    <m/>
    <m/>
    <m/>
    <m/>
    <n v="0"/>
    <m/>
    <m/>
    <m/>
    <m/>
    <m/>
    <n v="0"/>
    <m/>
    <m/>
    <m/>
    <m/>
    <m/>
    <n v="0"/>
    <m/>
    <m/>
    <m/>
    <m/>
    <m/>
    <n v="0"/>
    <m/>
    <m/>
    <m/>
    <m/>
    <m/>
    <n v="0"/>
    <m/>
    <m/>
    <m/>
    <m/>
    <m/>
    <n v="0"/>
    <m/>
    <m/>
    <m/>
    <m/>
    <m/>
    <n v="0"/>
    <m/>
    <m/>
    <m/>
    <m/>
    <n v="1"/>
    <n v="12000000"/>
  </r>
  <r>
    <m/>
    <s v="M"/>
    <s v="M"/>
    <s v="MN"/>
    <n v="999"/>
    <s v="MN999"/>
    <m/>
    <x v="4"/>
    <m/>
    <m/>
    <m/>
    <m/>
    <s v="RIGHT OF WAY SETASIDE"/>
    <m/>
    <m/>
    <m/>
    <m/>
    <m/>
    <m/>
    <s v=""/>
    <m/>
    <m/>
    <m/>
    <m/>
    <s v=""/>
    <m/>
    <m/>
    <m/>
    <n v="12000000"/>
    <m/>
    <m/>
    <m/>
    <m/>
    <n v="0"/>
    <m/>
    <m/>
    <m/>
    <n v="0"/>
    <m/>
    <m/>
    <m/>
    <n v="0"/>
    <m/>
    <m/>
    <m/>
    <m/>
    <n v="0"/>
    <m/>
    <n v="12000000"/>
    <n v="12000000"/>
    <n v="534686921.55000001"/>
    <n v="228415173.93000001"/>
    <n v="2019"/>
    <m/>
    <m/>
    <m/>
    <m/>
    <m/>
    <m/>
    <m/>
    <m/>
    <m/>
    <m/>
    <m/>
    <m/>
    <m/>
    <m/>
    <n v="0"/>
    <m/>
    <m/>
    <m/>
    <m/>
    <m/>
    <n v="0"/>
    <m/>
    <m/>
    <n v="0"/>
    <m/>
    <m/>
    <m/>
    <m/>
    <m/>
    <n v="0"/>
    <m/>
    <m/>
    <m/>
    <m/>
    <m/>
    <n v="0"/>
    <m/>
    <m/>
    <m/>
    <m/>
    <m/>
    <n v="0"/>
    <m/>
    <m/>
    <m/>
    <m/>
    <m/>
    <n v="0"/>
    <m/>
    <m/>
    <m/>
    <m/>
    <m/>
    <n v="0"/>
    <m/>
    <m/>
    <m/>
    <m/>
    <m/>
    <n v="0"/>
    <m/>
    <m/>
    <m/>
    <m/>
    <n v="1"/>
    <n v="12000000"/>
    <s v="Right of way"/>
    <m/>
    <m/>
    <m/>
    <n v="1"/>
    <n v="12000000"/>
  </r>
  <r>
    <m/>
    <n v="1"/>
    <n v="1"/>
    <s v="MN"/>
    <n v="37"/>
    <s v="MN 37"/>
    <s v="6947-50"/>
    <x v="9"/>
    <m/>
    <s v="S"/>
    <s v="MNDOT"/>
    <m/>
    <s v="IN HIBBING, 0.29 MI. E. JCT TH 169 TO 0.07 MI. W. JCT CR 25 &amp; ON TH 37 FR. JCT CR788/CSAH 62 TO JCT CSAH 7. MILL &amp; OVERLAY."/>
    <s v="1+00.147"/>
    <s v="16+00.320"/>
    <n v="15.2"/>
    <s v="HIBBING"/>
    <s v="ST. LOUIS"/>
    <s v="RS"/>
    <m/>
    <m/>
    <m/>
    <s v="PVTR - PAVEMENT RESURFACE AND REHABILITATION"/>
    <s v="CULVERT"/>
    <s v="STP 5K-200K  "/>
    <s v="STP 5K-200K"/>
    <m/>
    <m/>
    <n v="4600000"/>
    <m/>
    <m/>
    <n v="3680000"/>
    <m/>
    <n v="3680000"/>
    <m/>
    <m/>
    <m/>
    <n v="0"/>
    <m/>
    <m/>
    <m/>
    <n v="0"/>
    <m/>
    <m/>
    <n v="920000"/>
    <m/>
    <n v="920000"/>
    <m/>
    <n v="0"/>
    <n v="4600000"/>
    <n v="29408499.699999999"/>
    <n v="13213233.300000001"/>
    <n v="2017"/>
    <m/>
    <m/>
    <m/>
    <m/>
    <m/>
    <s v="NO"/>
    <s v="NO"/>
    <s v="NO"/>
    <s v="8th District"/>
    <s v="NO"/>
    <s v="NO"/>
    <s v="Yes"/>
    <s v="NO"/>
    <n v="0.92902108695652175"/>
    <n v="4273497"/>
    <s v="Mill and/or overlay"/>
    <m/>
    <m/>
    <m/>
    <m/>
    <n v="0"/>
    <m/>
    <n v="7.0978913043478267E-2"/>
    <n v="326503.00000000006"/>
    <s v="Drainage and culverts"/>
    <m/>
    <m/>
    <m/>
    <m/>
    <n v="0"/>
    <m/>
    <m/>
    <m/>
    <m/>
    <m/>
    <n v="0"/>
    <m/>
    <m/>
    <m/>
    <m/>
    <m/>
    <n v="0"/>
    <m/>
    <m/>
    <m/>
    <m/>
    <m/>
    <n v="0"/>
    <m/>
    <m/>
    <m/>
    <m/>
    <m/>
    <n v="0"/>
    <m/>
    <m/>
    <m/>
    <m/>
    <m/>
    <n v="0"/>
    <m/>
    <m/>
    <m/>
    <m/>
    <m/>
    <n v="0"/>
    <m/>
    <m/>
    <m/>
    <m/>
    <n v="1"/>
    <n v="4600000"/>
  </r>
  <r>
    <m/>
    <s v="M"/>
    <s v="M"/>
    <s v="MN"/>
    <n v="999"/>
    <s v="MN999"/>
    <m/>
    <x v="5"/>
    <m/>
    <m/>
    <m/>
    <m/>
    <s v="OTHER INFRASTRUCTURE SETASIDE"/>
    <m/>
    <m/>
    <m/>
    <m/>
    <m/>
    <m/>
    <s v=""/>
    <m/>
    <m/>
    <m/>
    <m/>
    <s v=""/>
    <m/>
    <m/>
    <m/>
    <n v="12000000"/>
    <m/>
    <m/>
    <m/>
    <m/>
    <n v="0"/>
    <m/>
    <m/>
    <m/>
    <n v="0"/>
    <m/>
    <m/>
    <m/>
    <n v="0"/>
    <m/>
    <m/>
    <m/>
    <m/>
    <n v="0"/>
    <m/>
    <n v="12000000"/>
    <n v="12000000"/>
    <n v="538366921.54999995"/>
    <n v="229335173.93000001"/>
    <n v="2020"/>
    <m/>
    <m/>
    <m/>
    <m/>
    <m/>
    <m/>
    <m/>
    <m/>
    <m/>
    <m/>
    <m/>
    <m/>
    <m/>
    <m/>
    <n v="0"/>
    <m/>
    <m/>
    <m/>
    <m/>
    <m/>
    <n v="0"/>
    <m/>
    <n v="1"/>
    <n v="12000000"/>
    <m/>
    <m/>
    <m/>
    <m/>
    <m/>
    <n v="0"/>
    <m/>
    <m/>
    <m/>
    <m/>
    <m/>
    <n v="0"/>
    <m/>
    <m/>
    <m/>
    <m/>
    <m/>
    <n v="0"/>
    <m/>
    <m/>
    <m/>
    <m/>
    <m/>
    <n v="0"/>
    <m/>
    <m/>
    <m/>
    <m/>
    <m/>
    <n v="0"/>
    <m/>
    <m/>
    <m/>
    <m/>
    <m/>
    <n v="0"/>
    <m/>
    <m/>
    <m/>
    <m/>
    <m/>
    <n v="0"/>
    <m/>
    <m/>
    <m/>
    <m/>
    <n v="1"/>
    <n v="12000000"/>
  </r>
  <r>
    <m/>
    <s v="M"/>
    <s v="M"/>
    <s v="MN"/>
    <n v="999"/>
    <s v="MN999"/>
    <m/>
    <x v="5"/>
    <m/>
    <m/>
    <m/>
    <m/>
    <s v="RIGHT OF WAY SETASIDE"/>
    <m/>
    <m/>
    <m/>
    <m/>
    <m/>
    <m/>
    <s v=""/>
    <m/>
    <m/>
    <m/>
    <m/>
    <s v=""/>
    <m/>
    <m/>
    <m/>
    <n v="12000000"/>
    <m/>
    <m/>
    <m/>
    <m/>
    <n v="0"/>
    <m/>
    <m/>
    <m/>
    <n v="0"/>
    <m/>
    <m/>
    <m/>
    <n v="0"/>
    <m/>
    <m/>
    <m/>
    <m/>
    <n v="0"/>
    <m/>
    <n v="12000000"/>
    <n v="12000000"/>
    <n v="538366921.54999995"/>
    <n v="229335173.93000001"/>
    <n v="2020"/>
    <m/>
    <m/>
    <m/>
    <m/>
    <m/>
    <m/>
    <m/>
    <m/>
    <m/>
    <m/>
    <m/>
    <m/>
    <m/>
    <m/>
    <n v="0"/>
    <m/>
    <m/>
    <m/>
    <m/>
    <m/>
    <n v="0"/>
    <m/>
    <m/>
    <n v="0"/>
    <m/>
    <m/>
    <m/>
    <m/>
    <m/>
    <n v="0"/>
    <m/>
    <m/>
    <m/>
    <m/>
    <m/>
    <n v="0"/>
    <m/>
    <m/>
    <m/>
    <m/>
    <m/>
    <n v="0"/>
    <m/>
    <m/>
    <m/>
    <m/>
    <m/>
    <n v="0"/>
    <m/>
    <m/>
    <m/>
    <m/>
    <m/>
    <n v="0"/>
    <m/>
    <m/>
    <m/>
    <m/>
    <m/>
    <n v="0"/>
    <m/>
    <m/>
    <m/>
    <m/>
    <n v="1"/>
    <n v="12000000"/>
    <s v="Right of way"/>
    <m/>
    <m/>
    <m/>
    <n v="1"/>
    <n v="12000000"/>
  </r>
  <r>
    <m/>
    <s v="M"/>
    <s v="M"/>
    <s v="MN"/>
    <n v="999"/>
    <s v="MN999"/>
    <m/>
    <x v="6"/>
    <m/>
    <m/>
    <m/>
    <m/>
    <s v="OTHER INFRASTRUCTURE SETASIDE"/>
    <m/>
    <m/>
    <m/>
    <m/>
    <m/>
    <m/>
    <s v=""/>
    <m/>
    <m/>
    <m/>
    <m/>
    <s v=""/>
    <m/>
    <m/>
    <m/>
    <n v="12000000"/>
    <m/>
    <m/>
    <m/>
    <m/>
    <n v="0"/>
    <m/>
    <m/>
    <m/>
    <n v="0"/>
    <m/>
    <m/>
    <m/>
    <n v="0"/>
    <m/>
    <m/>
    <m/>
    <m/>
    <n v="0"/>
    <m/>
    <n v="12000000"/>
    <n v="12000000"/>
    <n v="538366921.54999995"/>
    <n v="229335173.93000001"/>
    <n v="2021"/>
    <m/>
    <m/>
    <m/>
    <m/>
    <m/>
    <m/>
    <m/>
    <m/>
    <m/>
    <m/>
    <m/>
    <m/>
    <m/>
    <m/>
    <n v="0"/>
    <m/>
    <m/>
    <m/>
    <m/>
    <m/>
    <n v="0"/>
    <m/>
    <n v="1"/>
    <n v="12000000"/>
    <m/>
    <m/>
    <m/>
    <m/>
    <m/>
    <n v="0"/>
    <m/>
    <m/>
    <m/>
    <m/>
    <m/>
    <n v="0"/>
    <m/>
    <m/>
    <m/>
    <m/>
    <m/>
    <n v="0"/>
    <m/>
    <m/>
    <m/>
    <m/>
    <m/>
    <n v="0"/>
    <m/>
    <m/>
    <m/>
    <m/>
    <m/>
    <n v="0"/>
    <m/>
    <m/>
    <m/>
    <m/>
    <m/>
    <n v="0"/>
    <m/>
    <m/>
    <m/>
    <m/>
    <m/>
    <n v="0"/>
    <m/>
    <m/>
    <m/>
    <m/>
    <n v="1"/>
    <n v="12000000"/>
  </r>
  <r>
    <m/>
    <s v="M"/>
    <s v="M"/>
    <s v="MN"/>
    <n v="999"/>
    <s v="MN999"/>
    <m/>
    <x v="6"/>
    <m/>
    <m/>
    <m/>
    <m/>
    <s v="RIGHT OF WAY SETASIDE"/>
    <m/>
    <m/>
    <m/>
    <m/>
    <m/>
    <m/>
    <s v=""/>
    <m/>
    <m/>
    <m/>
    <m/>
    <s v=""/>
    <m/>
    <m/>
    <m/>
    <n v="12000000"/>
    <m/>
    <m/>
    <m/>
    <m/>
    <n v="0"/>
    <m/>
    <m/>
    <m/>
    <n v="0"/>
    <m/>
    <m/>
    <m/>
    <n v="0"/>
    <m/>
    <m/>
    <m/>
    <m/>
    <n v="0"/>
    <m/>
    <n v="12000000"/>
    <n v="12000000"/>
    <n v="538366921.54999995"/>
    <n v="229335173.93000001"/>
    <n v="2021"/>
    <m/>
    <m/>
    <m/>
    <m/>
    <m/>
    <m/>
    <m/>
    <m/>
    <m/>
    <m/>
    <m/>
    <m/>
    <m/>
    <m/>
    <n v="0"/>
    <m/>
    <m/>
    <m/>
    <m/>
    <m/>
    <n v="0"/>
    <m/>
    <m/>
    <n v="0"/>
    <m/>
    <m/>
    <m/>
    <m/>
    <m/>
    <n v="0"/>
    <m/>
    <m/>
    <m/>
    <m/>
    <m/>
    <n v="0"/>
    <m/>
    <m/>
    <m/>
    <m/>
    <m/>
    <n v="0"/>
    <m/>
    <m/>
    <m/>
    <m/>
    <m/>
    <n v="0"/>
    <m/>
    <m/>
    <m/>
    <m/>
    <m/>
    <n v="0"/>
    <m/>
    <m/>
    <m/>
    <m/>
    <m/>
    <n v="0"/>
    <m/>
    <m/>
    <m/>
    <m/>
    <n v="1"/>
    <n v="12000000"/>
    <s v="Right of way"/>
    <m/>
    <m/>
    <m/>
    <n v="1"/>
    <n v="12000000"/>
  </r>
  <r>
    <m/>
    <s v="M"/>
    <s v="M"/>
    <s v="MN"/>
    <n v="999"/>
    <s v="MN999"/>
    <m/>
    <x v="7"/>
    <m/>
    <m/>
    <m/>
    <m/>
    <s v="OTHER INFRASTRUCTURE SETASIDE"/>
    <m/>
    <m/>
    <m/>
    <m/>
    <m/>
    <m/>
    <s v=""/>
    <m/>
    <m/>
    <m/>
    <m/>
    <s v=""/>
    <m/>
    <m/>
    <m/>
    <n v="12000000"/>
    <m/>
    <m/>
    <m/>
    <m/>
    <n v="0"/>
    <m/>
    <m/>
    <m/>
    <n v="0"/>
    <m/>
    <m/>
    <m/>
    <n v="0"/>
    <m/>
    <m/>
    <m/>
    <m/>
    <n v="0"/>
    <m/>
    <n v="12000000"/>
    <n v="12000000"/>
    <n v="538366921.54999995"/>
    <n v="229335173.93000001"/>
    <n v="2022"/>
    <m/>
    <m/>
    <m/>
    <m/>
    <m/>
    <m/>
    <m/>
    <m/>
    <m/>
    <m/>
    <m/>
    <m/>
    <m/>
    <m/>
    <n v="0"/>
    <m/>
    <m/>
    <m/>
    <m/>
    <m/>
    <n v="0"/>
    <m/>
    <n v="1"/>
    <n v="12000000"/>
    <m/>
    <m/>
    <m/>
    <m/>
    <m/>
    <n v="0"/>
    <m/>
    <m/>
    <m/>
    <m/>
    <m/>
    <n v="0"/>
    <m/>
    <m/>
    <m/>
    <m/>
    <m/>
    <n v="0"/>
    <m/>
    <m/>
    <m/>
    <m/>
    <m/>
    <n v="0"/>
    <m/>
    <m/>
    <m/>
    <m/>
    <m/>
    <n v="0"/>
    <m/>
    <m/>
    <m/>
    <m/>
    <m/>
    <n v="0"/>
    <m/>
    <m/>
    <m/>
    <m/>
    <m/>
    <n v="0"/>
    <m/>
    <m/>
    <m/>
    <m/>
    <n v="1"/>
    <n v="12000000"/>
  </r>
  <r>
    <m/>
    <s v="M"/>
    <s v="M"/>
    <s v="MN"/>
    <n v="999"/>
    <s v="MN999"/>
    <m/>
    <x v="7"/>
    <m/>
    <m/>
    <m/>
    <m/>
    <s v="RIGHT OF WAY SETASIDE"/>
    <m/>
    <m/>
    <m/>
    <m/>
    <m/>
    <m/>
    <s v=""/>
    <m/>
    <m/>
    <m/>
    <m/>
    <s v=""/>
    <m/>
    <m/>
    <m/>
    <n v="12000000"/>
    <m/>
    <m/>
    <m/>
    <m/>
    <n v="0"/>
    <m/>
    <m/>
    <m/>
    <n v="0"/>
    <m/>
    <m/>
    <m/>
    <n v="0"/>
    <m/>
    <m/>
    <m/>
    <m/>
    <n v="0"/>
    <m/>
    <n v="12000000"/>
    <n v="12000000"/>
    <n v="538366921.54999995"/>
    <n v="229335173.93000001"/>
    <n v="2022"/>
    <m/>
    <m/>
    <m/>
    <m/>
    <m/>
    <m/>
    <m/>
    <m/>
    <m/>
    <m/>
    <m/>
    <m/>
    <m/>
    <m/>
    <n v="0"/>
    <m/>
    <m/>
    <m/>
    <m/>
    <m/>
    <n v="0"/>
    <m/>
    <m/>
    <n v="0"/>
    <m/>
    <m/>
    <m/>
    <m/>
    <m/>
    <n v="0"/>
    <m/>
    <m/>
    <m/>
    <m/>
    <m/>
    <n v="0"/>
    <m/>
    <m/>
    <m/>
    <m/>
    <m/>
    <n v="0"/>
    <m/>
    <m/>
    <m/>
    <m/>
    <m/>
    <n v="0"/>
    <m/>
    <m/>
    <m/>
    <m/>
    <m/>
    <n v="0"/>
    <m/>
    <m/>
    <m/>
    <m/>
    <m/>
    <n v="0"/>
    <m/>
    <m/>
    <m/>
    <m/>
    <n v="1"/>
    <n v="12000000"/>
    <s v="Right of way"/>
    <m/>
    <m/>
    <m/>
    <n v="1"/>
    <n v="12000000"/>
  </r>
  <r>
    <m/>
    <s v="M"/>
    <s v="M"/>
    <s v="MN"/>
    <n v="999"/>
    <s v="MN999"/>
    <m/>
    <x v="8"/>
    <m/>
    <m/>
    <m/>
    <m/>
    <s v="OTHER INFRASTRUCTURE SETASIDE"/>
    <m/>
    <m/>
    <m/>
    <m/>
    <m/>
    <m/>
    <s v=""/>
    <m/>
    <m/>
    <m/>
    <m/>
    <s v=""/>
    <m/>
    <m/>
    <m/>
    <n v="12000000"/>
    <m/>
    <m/>
    <m/>
    <m/>
    <n v="0"/>
    <m/>
    <m/>
    <m/>
    <n v="0"/>
    <m/>
    <m/>
    <m/>
    <n v="0"/>
    <m/>
    <m/>
    <m/>
    <m/>
    <n v="0"/>
    <m/>
    <n v="12000000"/>
    <n v="12000000"/>
    <n v="538366921.54999995"/>
    <n v="229335173.93000001"/>
    <n v="2023"/>
    <m/>
    <m/>
    <m/>
    <m/>
    <m/>
    <m/>
    <m/>
    <m/>
    <m/>
    <m/>
    <m/>
    <m/>
    <m/>
    <m/>
    <n v="0"/>
    <m/>
    <m/>
    <m/>
    <m/>
    <m/>
    <n v="0"/>
    <m/>
    <n v="1"/>
    <n v="12000000"/>
    <m/>
    <m/>
    <m/>
    <m/>
    <m/>
    <n v="0"/>
    <m/>
    <m/>
    <m/>
    <m/>
    <m/>
    <n v="0"/>
    <m/>
    <m/>
    <m/>
    <m/>
    <m/>
    <n v="0"/>
    <m/>
    <m/>
    <m/>
    <m/>
    <m/>
    <n v="0"/>
    <m/>
    <m/>
    <m/>
    <m/>
    <m/>
    <n v="0"/>
    <m/>
    <m/>
    <m/>
    <m/>
    <m/>
    <n v="0"/>
    <m/>
    <m/>
    <m/>
    <m/>
    <m/>
    <n v="0"/>
    <m/>
    <m/>
    <m/>
    <m/>
    <n v="1"/>
    <n v="12000000"/>
  </r>
  <r>
    <m/>
    <s v="M"/>
    <s v="M"/>
    <s v="MN"/>
    <n v="999"/>
    <s v="MN999"/>
    <m/>
    <x v="8"/>
    <m/>
    <m/>
    <m/>
    <m/>
    <s v="RIGHT OF WAY SETASIDE"/>
    <m/>
    <m/>
    <m/>
    <m/>
    <m/>
    <m/>
    <s v=""/>
    <m/>
    <m/>
    <m/>
    <m/>
    <s v=""/>
    <m/>
    <m/>
    <m/>
    <n v="12000000"/>
    <m/>
    <m/>
    <m/>
    <m/>
    <n v="0"/>
    <m/>
    <m/>
    <m/>
    <n v="0"/>
    <m/>
    <m/>
    <m/>
    <n v="0"/>
    <m/>
    <m/>
    <m/>
    <m/>
    <n v="0"/>
    <m/>
    <n v="12000000"/>
    <n v="12000000"/>
    <n v="538366921.54999995"/>
    <n v="229335173.93000001"/>
    <n v="2023"/>
    <m/>
    <m/>
    <m/>
    <m/>
    <m/>
    <m/>
    <m/>
    <m/>
    <m/>
    <m/>
    <m/>
    <m/>
    <m/>
    <m/>
    <n v="0"/>
    <m/>
    <m/>
    <m/>
    <m/>
    <m/>
    <n v="0"/>
    <m/>
    <m/>
    <n v="0"/>
    <m/>
    <m/>
    <m/>
    <m/>
    <m/>
    <n v="0"/>
    <m/>
    <m/>
    <m/>
    <m/>
    <m/>
    <n v="0"/>
    <m/>
    <m/>
    <m/>
    <m/>
    <m/>
    <n v="0"/>
    <m/>
    <m/>
    <m/>
    <m/>
    <m/>
    <n v="0"/>
    <m/>
    <m/>
    <m/>
    <m/>
    <m/>
    <n v="0"/>
    <m/>
    <m/>
    <m/>
    <m/>
    <m/>
    <n v="0"/>
    <m/>
    <m/>
    <m/>
    <m/>
    <n v="1"/>
    <n v="12000000"/>
    <s v="Right of way"/>
    <m/>
    <m/>
    <m/>
    <n v="1"/>
    <n v="12000000"/>
  </r>
  <r>
    <m/>
    <n v="1"/>
    <n v="1"/>
    <s v="I"/>
    <n v="535"/>
    <s v="I 535"/>
    <s v="6980-59"/>
    <x v="2"/>
    <m/>
    <s v="S"/>
    <s v="MNDOT"/>
    <n v="1"/>
    <s v="IN DULUTH. CPR WORK ON I-535 FR JCT BLATNIK BRIDGE TO JCT I-35   (TIED TO SP 6933-92)"/>
    <s v="0+00.476"/>
    <s v="1+00.571"/>
    <n v="1.095"/>
    <s v="DULUTH"/>
    <s v="ST. LOUIS"/>
    <s v="RD"/>
    <m/>
    <m/>
    <m/>
    <s v="PRMN - PRESERVATION/MAINTENANCE"/>
    <s v="CONCRETE PAVEMENT REHAB"/>
    <m/>
    <s v="NHPP"/>
    <m/>
    <m/>
    <n v="1400000"/>
    <m/>
    <m/>
    <n v="1260000"/>
    <m/>
    <n v="1260000"/>
    <m/>
    <m/>
    <m/>
    <n v="0"/>
    <m/>
    <m/>
    <m/>
    <n v="0"/>
    <m/>
    <m/>
    <n v="140000"/>
    <m/>
    <n v="140000"/>
    <m/>
    <n v="0"/>
    <n v="1400000"/>
    <n v="21238696"/>
    <n v="710000"/>
    <n v="2016"/>
    <m/>
    <s v="$1,324,330 MAP 21"/>
    <m/>
    <m/>
    <m/>
    <m/>
    <m/>
    <m/>
    <m/>
    <m/>
    <m/>
    <m/>
    <m/>
    <n v="1"/>
    <n v="1400000"/>
    <s v="Rehabilitation"/>
    <n v="1"/>
    <m/>
    <m/>
    <m/>
    <n v="0"/>
    <m/>
    <m/>
    <n v="0"/>
    <m/>
    <m/>
    <m/>
    <m/>
    <m/>
    <n v="0"/>
    <m/>
    <m/>
    <m/>
    <m/>
    <m/>
    <n v="0"/>
    <m/>
    <m/>
    <m/>
    <m/>
    <m/>
    <n v="0"/>
    <m/>
    <m/>
    <m/>
    <m/>
    <m/>
    <n v="0"/>
    <m/>
    <m/>
    <m/>
    <m/>
    <m/>
    <n v="0"/>
    <m/>
    <m/>
    <m/>
    <m/>
    <m/>
    <n v="0"/>
    <m/>
    <m/>
    <m/>
    <m/>
    <m/>
    <n v="0"/>
    <m/>
    <m/>
    <m/>
    <m/>
    <n v="1"/>
    <n v="1400000"/>
  </r>
  <r>
    <m/>
    <n v="1"/>
    <n v="1"/>
    <s v="I"/>
    <n v="35"/>
    <s v="I 35"/>
    <s v="6982-290AC3"/>
    <x v="1"/>
    <m/>
    <s v="S"/>
    <s v="MNDOT"/>
    <n v="1"/>
    <s v="**AC**BOUNDARY AVE TO 26TH AVE E, PAVEMENT REPL &amp; REPAIRS, BR REPL BR #S 69831, 69832, 69880 &amp; REPAIRS BR #S 69851, 69852, 69879 + SPOT REPAIRS AT 21ST AVE W INTERCHANGE, REMOVE BR #S 69835 &amp; 69828 NEAR 27TH AVE W, SAFETY IMPROVEMENTS (AC PAYBACK 3 OF3)"/>
    <n v="0"/>
    <n v="0"/>
    <n v="10"/>
    <s v="DULUTH"/>
    <s v="ST. LOUIS"/>
    <s v="BR"/>
    <s v="1-B "/>
    <s v="1-B"/>
    <m/>
    <s v="BRPC - BRIDGE REPLACEMENT OR CONSTRUCTION"/>
    <s v="BRIDGE REPLACEMENT"/>
    <s v="NHPP  "/>
    <s v="NHPP"/>
    <m/>
    <m/>
    <n v="6615638"/>
    <n v="0"/>
    <n v="0"/>
    <n v="0"/>
    <n v="0"/>
    <n v="0"/>
    <n v="0"/>
    <n v="0"/>
    <n v="0"/>
    <n v="0"/>
    <n v="0"/>
    <n v="6615638"/>
    <n v="0"/>
    <n v="6615638"/>
    <n v="0"/>
    <n v="0"/>
    <n v="0"/>
    <n v="0"/>
    <n v="0"/>
    <n v="0"/>
    <n v="0"/>
    <n v="0"/>
    <n v="20850612"/>
    <n v="3750000"/>
    <n v="2015"/>
    <m/>
    <m/>
    <m/>
    <m/>
    <m/>
    <m/>
    <s v="NO"/>
    <s v="NO"/>
    <s v="8th District"/>
    <s v="NO"/>
    <s v="NO"/>
    <s v="Yes"/>
    <s v="NO"/>
    <n v="0"/>
    <n v="0"/>
    <m/>
    <m/>
    <m/>
    <m/>
    <n v="1"/>
    <n v="6615638"/>
    <m/>
    <m/>
    <n v="0"/>
    <m/>
    <m/>
    <m/>
    <m/>
    <m/>
    <n v="0"/>
    <m/>
    <m/>
    <m/>
    <m/>
    <m/>
    <n v="0"/>
    <m/>
    <m/>
    <m/>
    <m/>
    <m/>
    <n v="0"/>
    <m/>
    <m/>
    <m/>
    <m/>
    <m/>
    <n v="0"/>
    <m/>
    <m/>
    <m/>
    <m/>
    <m/>
    <n v="0"/>
    <m/>
    <m/>
    <m/>
    <m/>
    <m/>
    <n v="0"/>
    <m/>
    <m/>
    <m/>
    <m/>
    <m/>
    <n v="0"/>
    <m/>
    <m/>
    <m/>
    <m/>
    <n v="1"/>
    <n v="6615638"/>
  </r>
  <r>
    <m/>
    <n v="3"/>
    <n v="3"/>
    <s v="US"/>
    <n v="999"/>
    <s v="US999"/>
    <m/>
    <x v="6"/>
    <m/>
    <m/>
    <m/>
    <m/>
    <s v="NHS PAVEMENTS SETASIDE"/>
    <m/>
    <m/>
    <m/>
    <m/>
    <m/>
    <m/>
    <s v=""/>
    <m/>
    <m/>
    <m/>
    <m/>
    <s v=""/>
    <m/>
    <m/>
    <m/>
    <n v="11400000"/>
    <m/>
    <m/>
    <m/>
    <m/>
    <n v="0"/>
    <m/>
    <m/>
    <m/>
    <n v="0"/>
    <m/>
    <m/>
    <m/>
    <n v="0"/>
    <m/>
    <m/>
    <m/>
    <m/>
    <n v="0"/>
    <m/>
    <n v="11400000"/>
    <n v="11400000"/>
    <n v="546242559.54999995"/>
    <n v="229475173.93000001"/>
    <n v="2021"/>
    <m/>
    <m/>
    <m/>
    <m/>
    <m/>
    <m/>
    <m/>
    <m/>
    <m/>
    <m/>
    <m/>
    <m/>
    <m/>
    <n v="0.88500000000000001"/>
    <n v="10089000"/>
    <m/>
    <m/>
    <m/>
    <m/>
    <m/>
    <n v="0"/>
    <m/>
    <n v="0.115"/>
    <n v="1311000"/>
    <m/>
    <m/>
    <m/>
    <m/>
    <m/>
    <n v="0"/>
    <m/>
    <m/>
    <m/>
    <m/>
    <m/>
    <n v="0"/>
    <m/>
    <m/>
    <m/>
    <m/>
    <m/>
    <n v="0"/>
    <m/>
    <m/>
    <m/>
    <m/>
    <m/>
    <n v="0"/>
    <m/>
    <m/>
    <m/>
    <m/>
    <m/>
    <n v="0"/>
    <m/>
    <m/>
    <m/>
    <m/>
    <m/>
    <n v="0"/>
    <m/>
    <m/>
    <m/>
    <m/>
    <m/>
    <n v="0"/>
    <m/>
    <m/>
    <m/>
    <m/>
    <n v="1"/>
    <n v="11400000"/>
  </r>
  <r>
    <m/>
    <n v="3"/>
    <n v="3"/>
    <s v="US"/>
    <n v="999"/>
    <s v="US999"/>
    <m/>
    <x v="7"/>
    <m/>
    <m/>
    <m/>
    <m/>
    <s v="NHS PAVEMENTS SETASIDE"/>
    <m/>
    <m/>
    <m/>
    <m/>
    <m/>
    <m/>
    <s v=""/>
    <m/>
    <m/>
    <m/>
    <m/>
    <s v=""/>
    <m/>
    <m/>
    <m/>
    <n v="11400000"/>
    <m/>
    <m/>
    <m/>
    <m/>
    <n v="0"/>
    <m/>
    <m/>
    <m/>
    <n v="0"/>
    <m/>
    <m/>
    <m/>
    <n v="0"/>
    <m/>
    <m/>
    <m/>
    <m/>
    <n v="0"/>
    <m/>
    <n v="11400000"/>
    <n v="11400000"/>
    <n v="546242559.54999995"/>
    <n v="229475173.93000001"/>
    <n v="2022"/>
    <m/>
    <m/>
    <m/>
    <m/>
    <m/>
    <m/>
    <m/>
    <m/>
    <m/>
    <m/>
    <m/>
    <m/>
    <m/>
    <n v="0.88500000000000001"/>
    <n v="10089000"/>
    <m/>
    <m/>
    <m/>
    <m/>
    <m/>
    <n v="0"/>
    <m/>
    <n v="0.115"/>
    <n v="1311000"/>
    <m/>
    <m/>
    <m/>
    <m/>
    <m/>
    <n v="0"/>
    <m/>
    <m/>
    <m/>
    <m/>
    <m/>
    <n v="0"/>
    <m/>
    <m/>
    <m/>
    <m/>
    <m/>
    <n v="0"/>
    <m/>
    <m/>
    <m/>
    <m/>
    <m/>
    <n v="0"/>
    <m/>
    <m/>
    <m/>
    <m/>
    <m/>
    <n v="0"/>
    <m/>
    <m/>
    <m/>
    <m/>
    <m/>
    <n v="0"/>
    <m/>
    <m/>
    <m/>
    <m/>
    <m/>
    <n v="0"/>
    <m/>
    <m/>
    <m/>
    <m/>
    <n v="1"/>
    <n v="11400000"/>
  </r>
  <r>
    <m/>
    <n v="3"/>
    <n v="3"/>
    <s v="US"/>
    <n v="999"/>
    <s v="US999"/>
    <m/>
    <x v="8"/>
    <m/>
    <m/>
    <m/>
    <m/>
    <s v="NHS PAVEMENTS SETASIDE"/>
    <m/>
    <m/>
    <m/>
    <m/>
    <m/>
    <m/>
    <s v=""/>
    <m/>
    <m/>
    <m/>
    <m/>
    <s v=""/>
    <m/>
    <m/>
    <m/>
    <n v="11400000"/>
    <m/>
    <m/>
    <m/>
    <m/>
    <n v="0"/>
    <m/>
    <m/>
    <m/>
    <n v="0"/>
    <m/>
    <m/>
    <m/>
    <n v="0"/>
    <m/>
    <m/>
    <m/>
    <m/>
    <n v="0"/>
    <m/>
    <n v="11400000"/>
    <n v="11400000"/>
    <n v="546242559.54999995"/>
    <n v="229475173.93000001"/>
    <n v="2023"/>
    <m/>
    <m/>
    <m/>
    <m/>
    <m/>
    <m/>
    <m/>
    <m/>
    <m/>
    <m/>
    <m/>
    <m/>
    <m/>
    <n v="0.88500000000000001"/>
    <n v="10089000"/>
    <m/>
    <m/>
    <m/>
    <m/>
    <m/>
    <n v="0"/>
    <m/>
    <n v="0.115"/>
    <n v="1311000"/>
    <m/>
    <m/>
    <m/>
    <m/>
    <m/>
    <n v="0"/>
    <m/>
    <m/>
    <m/>
    <m/>
    <m/>
    <n v="0"/>
    <m/>
    <m/>
    <m/>
    <m/>
    <m/>
    <n v="0"/>
    <m/>
    <m/>
    <m/>
    <m/>
    <m/>
    <n v="0"/>
    <m/>
    <m/>
    <m/>
    <m/>
    <m/>
    <n v="0"/>
    <m/>
    <m/>
    <m/>
    <m/>
    <m/>
    <n v="0"/>
    <m/>
    <m/>
    <m/>
    <m/>
    <m/>
    <n v="0"/>
    <m/>
    <m/>
    <m/>
    <m/>
    <n v="1"/>
    <n v="11400000"/>
  </r>
  <r>
    <m/>
    <s v="M"/>
    <s v="M"/>
    <s v="MN"/>
    <n v="13"/>
    <s v="MN 13"/>
    <s v="7001-104"/>
    <x v="1"/>
    <m/>
    <s v="S"/>
    <s v="MNDOT"/>
    <n v="7"/>
    <s v="AT 150TH STREET IN PRIOR LAKE AND SAVAGE-CONSTRUCT REDUCED CONFLICT INTERSECTION AT 150TH &amp; RESTRICT ACCESS TO RI/RO AT ZINRAN/OAKLAND BEACH AVE"/>
    <m/>
    <m/>
    <m/>
    <m/>
    <m/>
    <m/>
    <m/>
    <m/>
    <m/>
    <m/>
    <m/>
    <m/>
    <m/>
    <m/>
    <m/>
    <n v="1400000"/>
    <m/>
    <m/>
    <m/>
    <m/>
    <m/>
    <m/>
    <m/>
    <m/>
    <m/>
    <m/>
    <m/>
    <m/>
    <m/>
    <m/>
    <m/>
    <m/>
    <m/>
    <m/>
    <m/>
    <n v="0"/>
    <m/>
    <m/>
    <m/>
    <m/>
    <m/>
    <m/>
    <m/>
    <m/>
    <m/>
    <m/>
    <m/>
    <m/>
    <m/>
    <m/>
    <m/>
    <m/>
    <m/>
    <m/>
    <n v="0"/>
    <m/>
    <m/>
    <m/>
    <m/>
    <m/>
    <n v="0"/>
    <m/>
    <m/>
    <n v="0"/>
    <m/>
    <m/>
    <m/>
    <m/>
    <m/>
    <n v="0"/>
    <m/>
    <n v="1"/>
    <m/>
    <m/>
    <m/>
    <n v="0"/>
    <m/>
    <m/>
    <m/>
    <m/>
    <n v="1"/>
    <n v="1400000"/>
    <m/>
    <m/>
    <m/>
    <m/>
    <m/>
    <n v="0"/>
    <m/>
    <m/>
    <m/>
    <m/>
    <m/>
    <n v="0"/>
    <m/>
    <m/>
    <m/>
    <m/>
    <m/>
    <n v="0"/>
    <m/>
    <m/>
    <m/>
    <m/>
    <m/>
    <n v="0"/>
    <m/>
    <m/>
    <m/>
    <m/>
    <n v="1"/>
    <n v="1400000"/>
  </r>
  <r>
    <m/>
    <s v="M"/>
    <s v="M"/>
    <s v="MN"/>
    <n v="13"/>
    <s v="MN 13"/>
    <s v="7001-107"/>
    <x v="1"/>
    <m/>
    <s v="S"/>
    <s v="MNDOT"/>
    <n v="7"/>
    <s v="AT SCOTT CSAH 42 (EGAN DR) IN PRIOR LAKE/SAVAGE - SIGNAL REPLACEMENT"/>
    <m/>
    <m/>
    <m/>
    <m/>
    <m/>
    <m/>
    <m/>
    <m/>
    <m/>
    <m/>
    <m/>
    <m/>
    <m/>
    <m/>
    <m/>
    <n v="300000"/>
    <m/>
    <m/>
    <m/>
    <m/>
    <m/>
    <m/>
    <m/>
    <m/>
    <m/>
    <m/>
    <m/>
    <m/>
    <m/>
    <m/>
    <m/>
    <m/>
    <m/>
    <m/>
    <m/>
    <n v="150000"/>
    <m/>
    <m/>
    <m/>
    <m/>
    <m/>
    <m/>
    <m/>
    <m/>
    <m/>
    <m/>
    <m/>
    <m/>
    <m/>
    <m/>
    <m/>
    <m/>
    <m/>
    <m/>
    <n v="0"/>
    <m/>
    <m/>
    <m/>
    <m/>
    <m/>
    <n v="0"/>
    <m/>
    <m/>
    <n v="0"/>
    <m/>
    <m/>
    <m/>
    <m/>
    <m/>
    <n v="0"/>
    <m/>
    <n v="1"/>
    <m/>
    <m/>
    <m/>
    <n v="0"/>
    <m/>
    <m/>
    <m/>
    <m/>
    <m/>
    <n v="0"/>
    <m/>
    <m/>
    <m/>
    <m/>
    <m/>
    <n v="0"/>
    <m/>
    <m/>
    <m/>
    <m/>
    <n v="1"/>
    <n v="150000"/>
    <m/>
    <m/>
    <m/>
    <m/>
    <m/>
    <n v="0"/>
    <m/>
    <m/>
    <m/>
    <m/>
    <m/>
    <n v="0"/>
    <m/>
    <m/>
    <m/>
    <m/>
    <n v="1"/>
    <n v="150000"/>
  </r>
  <r>
    <m/>
    <s v="M"/>
    <s v="M"/>
    <s v="MN"/>
    <n v="13"/>
    <s v="MN 13"/>
    <s v="7001-108"/>
    <x v="0"/>
    <m/>
    <s v="S"/>
    <s v="MNDOT"/>
    <n v="7"/>
    <s v="ATSCOTT CSAH 44/160TH STREET SE IN PRIOR LAKE-SIGNAL REPLACEMENT, FRONTAGE RELOCATION, UPGRADE TO PED/ADA FACILITIES"/>
    <m/>
    <m/>
    <m/>
    <m/>
    <m/>
    <m/>
    <m/>
    <m/>
    <m/>
    <m/>
    <m/>
    <m/>
    <m/>
    <m/>
    <m/>
    <n v="674763"/>
    <m/>
    <m/>
    <m/>
    <m/>
    <m/>
    <m/>
    <m/>
    <m/>
    <m/>
    <m/>
    <m/>
    <m/>
    <m/>
    <m/>
    <m/>
    <m/>
    <m/>
    <m/>
    <m/>
    <n v="0"/>
    <m/>
    <m/>
    <m/>
    <m/>
    <m/>
    <m/>
    <m/>
    <m/>
    <m/>
    <m/>
    <m/>
    <m/>
    <m/>
    <m/>
    <m/>
    <m/>
    <m/>
    <m/>
    <n v="0"/>
    <m/>
    <m/>
    <m/>
    <m/>
    <m/>
    <n v="0"/>
    <m/>
    <n v="0.75"/>
    <n v="506072.25"/>
    <s v="Pavement markings"/>
    <m/>
    <m/>
    <m/>
    <m/>
    <n v="0"/>
    <m/>
    <n v="1"/>
    <m/>
    <m/>
    <m/>
    <n v="0"/>
    <m/>
    <m/>
    <m/>
    <m/>
    <m/>
    <n v="0"/>
    <m/>
    <m/>
    <m/>
    <m/>
    <m/>
    <n v="0"/>
    <m/>
    <m/>
    <m/>
    <m/>
    <n v="0.25"/>
    <n v="168690.75"/>
    <m/>
    <m/>
    <m/>
    <m/>
    <m/>
    <n v="0"/>
    <m/>
    <m/>
    <m/>
    <m/>
    <m/>
    <n v="0"/>
    <m/>
    <m/>
    <m/>
    <m/>
    <n v="1"/>
    <n v="674763"/>
  </r>
  <r>
    <m/>
    <s v="M"/>
    <s v="M"/>
    <s v="MN"/>
    <n v="13"/>
    <s v="MN 13"/>
    <s v="7001-110"/>
    <x v="0"/>
    <m/>
    <s v="S"/>
    <s v="MNDOT"/>
    <n v="7"/>
    <s v="FROM US 169 (ON MN 101) IN SHAKOPEE TO LOUISIANA AVE IN SAVAGE - LANDSCAPING"/>
    <m/>
    <m/>
    <m/>
    <m/>
    <m/>
    <m/>
    <m/>
    <m/>
    <m/>
    <m/>
    <m/>
    <m/>
    <m/>
    <m/>
    <m/>
    <n v="50000"/>
    <m/>
    <m/>
    <m/>
    <m/>
    <m/>
    <m/>
    <m/>
    <m/>
    <m/>
    <m/>
    <m/>
    <m/>
    <m/>
    <m/>
    <m/>
    <m/>
    <m/>
    <m/>
    <m/>
    <n v="0"/>
    <m/>
    <m/>
    <m/>
    <m/>
    <m/>
    <m/>
    <m/>
    <m/>
    <m/>
    <m/>
    <m/>
    <m/>
    <m/>
    <m/>
    <m/>
    <m/>
    <m/>
    <m/>
    <n v="0"/>
    <m/>
    <m/>
    <m/>
    <m/>
    <m/>
    <n v="0"/>
    <m/>
    <n v="1"/>
    <n v="50000"/>
    <s v="Other structures"/>
    <m/>
    <m/>
    <m/>
    <m/>
    <n v="0"/>
    <m/>
    <n v="1"/>
    <m/>
    <m/>
    <m/>
    <n v="0"/>
    <m/>
    <m/>
    <m/>
    <m/>
    <m/>
    <n v="0"/>
    <m/>
    <m/>
    <m/>
    <m/>
    <m/>
    <n v="0"/>
    <m/>
    <m/>
    <m/>
    <m/>
    <m/>
    <n v="0"/>
    <m/>
    <m/>
    <m/>
    <m/>
    <m/>
    <n v="0"/>
    <m/>
    <m/>
    <m/>
    <m/>
    <m/>
    <n v="0"/>
    <m/>
    <m/>
    <m/>
    <m/>
    <n v="1"/>
    <n v="50000"/>
  </r>
  <r>
    <m/>
    <s v="M"/>
    <s v="M"/>
    <s v="MN"/>
    <n v="13"/>
    <s v="MN 13"/>
    <s v="7001-112"/>
    <x v="9"/>
    <m/>
    <s v="S"/>
    <s v="MNDOT"/>
    <n v="7"/>
    <s v="FROM E OF US 169 IN SAVAGE TO JUST E OF WASHBURN AVE IN BURNSVILLE-MILL AND OVERLAY"/>
    <m/>
    <m/>
    <m/>
    <m/>
    <m/>
    <m/>
    <m/>
    <m/>
    <m/>
    <m/>
    <m/>
    <m/>
    <m/>
    <m/>
    <m/>
    <n v="5000000"/>
    <m/>
    <m/>
    <m/>
    <m/>
    <m/>
    <m/>
    <m/>
    <m/>
    <m/>
    <m/>
    <m/>
    <m/>
    <m/>
    <m/>
    <m/>
    <m/>
    <m/>
    <m/>
    <m/>
    <n v="0"/>
    <m/>
    <m/>
    <m/>
    <m/>
    <m/>
    <m/>
    <m/>
    <m/>
    <m/>
    <m/>
    <m/>
    <m/>
    <m/>
    <m/>
    <m/>
    <m/>
    <m/>
    <n v="0.82099999999999995"/>
    <n v="4104999.9999999995"/>
    <m/>
    <m/>
    <m/>
    <m/>
    <n v="0.115"/>
    <n v="575000"/>
    <m/>
    <m/>
    <n v="0"/>
    <s v="Other structures"/>
    <m/>
    <m/>
    <m/>
    <n v="3.2000000000000001E-2"/>
    <n v="160000"/>
    <s v="Low cost high benefit"/>
    <n v="1"/>
    <m/>
    <m/>
    <m/>
    <n v="0"/>
    <m/>
    <m/>
    <m/>
    <m/>
    <m/>
    <n v="0"/>
    <m/>
    <m/>
    <m/>
    <m/>
    <n v="2.3E-2"/>
    <n v="115000"/>
    <m/>
    <m/>
    <m/>
    <m/>
    <n v="8.9999999999999993E-3"/>
    <n v="45000"/>
    <m/>
    <m/>
    <m/>
    <m/>
    <m/>
    <n v="0"/>
    <m/>
    <m/>
    <m/>
    <m/>
    <m/>
    <n v="0"/>
    <m/>
    <m/>
    <m/>
    <m/>
    <n v="1"/>
    <n v="5000000"/>
  </r>
  <r>
    <m/>
    <s v="M"/>
    <s v="M"/>
    <s v="MN"/>
    <n v="13"/>
    <s v="MN 13"/>
    <s v="7001-98"/>
    <x v="1"/>
    <m/>
    <s v="S"/>
    <s v="MNDOT"/>
    <n v="7"/>
    <s v="AT DULUTH AVE SE (SCOTT MSAS 101) IN PRIOR LAKE - SIGNAL REPLACEMENT INCLUDING ADA/PEDESTRIAN UPGRADES"/>
    <m/>
    <m/>
    <m/>
    <m/>
    <m/>
    <m/>
    <m/>
    <m/>
    <m/>
    <m/>
    <m/>
    <m/>
    <m/>
    <m/>
    <m/>
    <n v="275000"/>
    <m/>
    <m/>
    <m/>
    <m/>
    <m/>
    <m/>
    <m/>
    <m/>
    <m/>
    <m/>
    <m/>
    <m/>
    <m/>
    <m/>
    <m/>
    <m/>
    <m/>
    <m/>
    <m/>
    <n v="137500"/>
    <m/>
    <m/>
    <m/>
    <m/>
    <m/>
    <m/>
    <m/>
    <m/>
    <m/>
    <m/>
    <m/>
    <m/>
    <m/>
    <m/>
    <m/>
    <m/>
    <m/>
    <m/>
    <n v="0"/>
    <m/>
    <m/>
    <m/>
    <m/>
    <m/>
    <n v="0"/>
    <m/>
    <m/>
    <n v="0"/>
    <m/>
    <m/>
    <m/>
    <m/>
    <m/>
    <n v="0"/>
    <m/>
    <n v="1"/>
    <m/>
    <m/>
    <m/>
    <n v="0"/>
    <m/>
    <m/>
    <m/>
    <m/>
    <m/>
    <n v="0"/>
    <m/>
    <m/>
    <m/>
    <m/>
    <m/>
    <n v="0"/>
    <m/>
    <m/>
    <m/>
    <m/>
    <n v="1"/>
    <n v="137500"/>
    <m/>
    <m/>
    <m/>
    <m/>
    <m/>
    <n v="0"/>
    <m/>
    <m/>
    <m/>
    <m/>
    <m/>
    <n v="0"/>
    <m/>
    <m/>
    <m/>
    <m/>
    <n v="1"/>
    <n v="137500"/>
  </r>
  <r>
    <m/>
    <s v="M"/>
    <s v="M"/>
    <s v="MN"/>
    <n v="25"/>
    <s v="MN 25"/>
    <s v="7003-13"/>
    <x v="0"/>
    <m/>
    <s v="S"/>
    <s v="MNDOT"/>
    <n v="7"/>
    <s v="MN25/TH169 WEST RAMP TERMINAL AS IT INTERSECTS IN BELLE PLAINE - INSTALL SIGNAL SYSTEMS AND NECESSARY EQUIPMENT"/>
    <m/>
    <m/>
    <m/>
    <m/>
    <m/>
    <m/>
    <m/>
    <m/>
    <m/>
    <m/>
    <m/>
    <m/>
    <m/>
    <m/>
    <m/>
    <n v="250000"/>
    <m/>
    <m/>
    <m/>
    <m/>
    <m/>
    <m/>
    <m/>
    <m/>
    <m/>
    <m/>
    <m/>
    <m/>
    <m/>
    <m/>
    <m/>
    <m/>
    <m/>
    <m/>
    <m/>
    <n v="0"/>
    <m/>
    <m/>
    <m/>
    <m/>
    <m/>
    <m/>
    <m/>
    <m/>
    <m/>
    <m/>
    <m/>
    <m/>
    <m/>
    <m/>
    <m/>
    <m/>
    <m/>
    <m/>
    <n v="0"/>
    <m/>
    <m/>
    <m/>
    <m/>
    <m/>
    <n v="0"/>
    <m/>
    <n v="1"/>
    <n v="250000"/>
    <s v="Signals"/>
    <m/>
    <m/>
    <m/>
    <m/>
    <n v="0"/>
    <m/>
    <n v="1"/>
    <m/>
    <m/>
    <m/>
    <n v="0"/>
    <m/>
    <m/>
    <m/>
    <m/>
    <m/>
    <n v="0"/>
    <m/>
    <m/>
    <m/>
    <m/>
    <m/>
    <n v="0"/>
    <m/>
    <m/>
    <m/>
    <m/>
    <m/>
    <n v="0"/>
    <m/>
    <m/>
    <m/>
    <m/>
    <m/>
    <n v="0"/>
    <m/>
    <m/>
    <m/>
    <m/>
    <m/>
    <n v="0"/>
    <m/>
    <m/>
    <m/>
    <m/>
    <n v="1"/>
    <n v="250000"/>
  </r>
  <r>
    <m/>
    <s v="M"/>
    <s v="M"/>
    <s v="US"/>
    <n v="169"/>
    <s v="US 169"/>
    <s v="7005-106"/>
    <x v="2"/>
    <m/>
    <s v="S"/>
    <s v="MNDOT"/>
    <n v="7"/>
    <s v="FROM CANTERBURY RD(SCOTT CSAH 83) TO SCOTT CR18 IN SHAKOPEE-RECONSTRUCT AND WIDEN RIGHT SHOULDER TO BUS SHOULDER AND ADD SIGNAGE, GUARDRAIL"/>
    <m/>
    <m/>
    <m/>
    <m/>
    <m/>
    <m/>
    <m/>
    <m/>
    <m/>
    <m/>
    <m/>
    <m/>
    <m/>
    <m/>
    <m/>
    <n v="1000000"/>
    <m/>
    <m/>
    <m/>
    <m/>
    <m/>
    <m/>
    <m/>
    <m/>
    <m/>
    <m/>
    <m/>
    <m/>
    <m/>
    <m/>
    <m/>
    <m/>
    <m/>
    <m/>
    <m/>
    <n v="0"/>
    <m/>
    <m/>
    <m/>
    <m/>
    <m/>
    <m/>
    <m/>
    <m/>
    <m/>
    <m/>
    <m/>
    <m/>
    <m/>
    <m/>
    <m/>
    <m/>
    <m/>
    <m/>
    <n v="0"/>
    <m/>
    <m/>
    <m/>
    <m/>
    <m/>
    <n v="0"/>
    <m/>
    <n v="1.4182627528869281E-2"/>
    <n v="14182.627528869281"/>
    <s v="Guardrails and fencing"/>
    <m/>
    <m/>
    <m/>
    <m/>
    <n v="0"/>
    <m/>
    <n v="1"/>
    <m/>
    <m/>
    <m/>
    <n v="0"/>
    <m/>
    <m/>
    <m/>
    <m/>
    <n v="0.98581737247113077"/>
    <n v="985817.3724711308"/>
    <m/>
    <m/>
    <m/>
    <m/>
    <m/>
    <n v="0"/>
    <m/>
    <m/>
    <m/>
    <m/>
    <m/>
    <n v="0"/>
    <m/>
    <m/>
    <m/>
    <m/>
    <m/>
    <n v="0"/>
    <m/>
    <m/>
    <m/>
    <m/>
    <m/>
    <n v="0"/>
    <m/>
    <m/>
    <m/>
    <m/>
    <n v="1"/>
    <n v="1000000.0000000001"/>
  </r>
  <r>
    <m/>
    <s v="M"/>
    <s v="M"/>
    <s v="US"/>
    <n v="169"/>
    <s v="US 169"/>
    <s v="7005-114"/>
    <x v="2"/>
    <m/>
    <s v="S"/>
    <s v="MNDOT"/>
    <n v="7"/>
    <s v="AT CR 69 IN JACKSON TWP-LANDSCAPING"/>
    <m/>
    <m/>
    <m/>
    <m/>
    <m/>
    <m/>
    <m/>
    <m/>
    <m/>
    <m/>
    <m/>
    <m/>
    <m/>
    <m/>
    <m/>
    <n v="50000"/>
    <m/>
    <m/>
    <m/>
    <m/>
    <m/>
    <m/>
    <m/>
    <m/>
    <m/>
    <m/>
    <m/>
    <m/>
    <m/>
    <m/>
    <m/>
    <m/>
    <m/>
    <m/>
    <m/>
    <n v="0"/>
    <m/>
    <m/>
    <m/>
    <m/>
    <m/>
    <m/>
    <m/>
    <m/>
    <m/>
    <m/>
    <m/>
    <m/>
    <m/>
    <m/>
    <m/>
    <m/>
    <m/>
    <m/>
    <n v="0"/>
    <m/>
    <m/>
    <m/>
    <m/>
    <m/>
    <n v="0"/>
    <m/>
    <n v="1"/>
    <n v="50000"/>
    <s v="Other structures"/>
    <m/>
    <m/>
    <m/>
    <m/>
    <n v="0"/>
    <m/>
    <n v="1"/>
    <m/>
    <m/>
    <m/>
    <n v="0"/>
    <m/>
    <m/>
    <m/>
    <m/>
    <m/>
    <n v="0"/>
    <m/>
    <m/>
    <m/>
    <m/>
    <m/>
    <n v="0"/>
    <m/>
    <m/>
    <m/>
    <m/>
    <m/>
    <n v="0"/>
    <m/>
    <m/>
    <m/>
    <m/>
    <m/>
    <n v="0"/>
    <m/>
    <m/>
    <m/>
    <m/>
    <m/>
    <n v="0"/>
    <m/>
    <m/>
    <m/>
    <m/>
    <n v="1"/>
    <n v="50000"/>
  </r>
  <r>
    <m/>
    <s v="M"/>
    <s v="M"/>
    <s v="US"/>
    <n v="169"/>
    <s v="US 169"/>
    <s v="7005-88"/>
    <x v="2"/>
    <m/>
    <s v="S"/>
    <s v="MNDOT"/>
    <n v="7"/>
    <s v="FROM SOUTH OF HENNEPIN/SCOTT CO LINE IN SHAKOPEE TO EAST OF US169 IN SAVAGE - TMS INSTALLATION"/>
    <m/>
    <m/>
    <m/>
    <m/>
    <m/>
    <m/>
    <m/>
    <m/>
    <m/>
    <m/>
    <m/>
    <m/>
    <m/>
    <m/>
    <m/>
    <n v="500000"/>
    <m/>
    <m/>
    <m/>
    <m/>
    <m/>
    <m/>
    <m/>
    <m/>
    <m/>
    <m/>
    <m/>
    <m/>
    <m/>
    <m/>
    <m/>
    <m/>
    <m/>
    <m/>
    <m/>
    <n v="0"/>
    <m/>
    <m/>
    <m/>
    <m/>
    <m/>
    <m/>
    <m/>
    <m/>
    <m/>
    <m/>
    <m/>
    <m/>
    <m/>
    <m/>
    <m/>
    <m/>
    <m/>
    <m/>
    <n v="0"/>
    <m/>
    <m/>
    <m/>
    <m/>
    <m/>
    <n v="0"/>
    <m/>
    <n v="1"/>
    <n v="500000"/>
    <s v="Other traffic devices"/>
    <m/>
    <m/>
    <m/>
    <m/>
    <n v="0"/>
    <m/>
    <n v="1"/>
    <m/>
    <m/>
    <m/>
    <n v="0"/>
    <m/>
    <m/>
    <m/>
    <m/>
    <m/>
    <n v="0"/>
    <m/>
    <m/>
    <m/>
    <m/>
    <m/>
    <n v="0"/>
    <m/>
    <m/>
    <m/>
    <m/>
    <m/>
    <n v="0"/>
    <m/>
    <m/>
    <m/>
    <m/>
    <m/>
    <n v="0"/>
    <m/>
    <m/>
    <m/>
    <m/>
    <m/>
    <n v="0"/>
    <m/>
    <m/>
    <m/>
    <m/>
    <n v="1"/>
    <n v="500000"/>
  </r>
  <r>
    <m/>
    <s v="M"/>
    <s v="M"/>
    <s v="US"/>
    <n v="169"/>
    <s v="US 169"/>
    <s v="7005-94"/>
    <x v="0"/>
    <m/>
    <s v="S"/>
    <s v="MNDOT"/>
    <n v="7"/>
    <s v="FROM JUST N MN25 IN BELLE PLAINE TO SCOTT CSAH 83 IN SHAKOPEE-REMOVE MEDIAN CROSSOVERS, ACCESS MODIFICATIONS, ADD TURN LANES, DRAINAGE"/>
    <m/>
    <m/>
    <m/>
    <m/>
    <m/>
    <m/>
    <m/>
    <m/>
    <m/>
    <m/>
    <m/>
    <m/>
    <m/>
    <m/>
    <m/>
    <n v="420000"/>
    <m/>
    <m/>
    <m/>
    <m/>
    <m/>
    <m/>
    <m/>
    <m/>
    <m/>
    <m/>
    <m/>
    <m/>
    <m/>
    <m/>
    <m/>
    <m/>
    <m/>
    <m/>
    <m/>
    <n v="0"/>
    <m/>
    <m/>
    <m/>
    <m/>
    <m/>
    <m/>
    <m/>
    <m/>
    <m/>
    <m/>
    <m/>
    <m/>
    <m/>
    <m/>
    <m/>
    <m/>
    <m/>
    <m/>
    <n v="0"/>
    <m/>
    <m/>
    <m/>
    <m/>
    <m/>
    <n v="0"/>
    <m/>
    <n v="5.507603585771112E-3"/>
    <n v="2313.193506023867"/>
    <s v="Drainage and culverts"/>
    <m/>
    <m/>
    <m/>
    <m/>
    <n v="0"/>
    <m/>
    <n v="1"/>
    <m/>
    <m/>
    <m/>
    <n v="0"/>
    <m/>
    <m/>
    <m/>
    <m/>
    <n v="0.99449239641422893"/>
    <n v="417686.80649397615"/>
    <m/>
    <m/>
    <m/>
    <m/>
    <m/>
    <n v="0"/>
    <m/>
    <m/>
    <m/>
    <m/>
    <m/>
    <n v="0"/>
    <m/>
    <m/>
    <m/>
    <m/>
    <m/>
    <n v="0"/>
    <m/>
    <m/>
    <m/>
    <m/>
    <m/>
    <n v="0"/>
    <m/>
    <m/>
    <m/>
    <m/>
    <n v="1"/>
    <n v="420000"/>
  </r>
  <r>
    <m/>
    <s v="M"/>
    <s v="M"/>
    <s v="MN"/>
    <n v="999"/>
    <s v="MN999"/>
    <m/>
    <x v="3"/>
    <m/>
    <m/>
    <m/>
    <m/>
    <s v="SUPPLEMENTAL AGREEMENTS SETASIDE"/>
    <m/>
    <m/>
    <m/>
    <m/>
    <m/>
    <m/>
    <s v=""/>
    <m/>
    <m/>
    <m/>
    <m/>
    <s v=""/>
    <m/>
    <m/>
    <m/>
    <n v="10000000"/>
    <m/>
    <m/>
    <m/>
    <m/>
    <n v="0"/>
    <m/>
    <m/>
    <m/>
    <n v="0"/>
    <m/>
    <m/>
    <m/>
    <n v="0"/>
    <m/>
    <m/>
    <m/>
    <m/>
    <n v="0"/>
    <m/>
    <n v="10000000"/>
    <n v="10000000"/>
    <n v="546242559.54999995"/>
    <n v="229475173.93000001"/>
    <n v="2018"/>
    <m/>
    <m/>
    <m/>
    <m/>
    <m/>
    <m/>
    <m/>
    <m/>
    <m/>
    <m/>
    <m/>
    <m/>
    <m/>
    <m/>
    <n v="0"/>
    <m/>
    <m/>
    <m/>
    <m/>
    <m/>
    <n v="0"/>
    <m/>
    <m/>
    <n v="0"/>
    <m/>
    <m/>
    <m/>
    <m/>
    <m/>
    <n v="0"/>
    <m/>
    <m/>
    <m/>
    <m/>
    <m/>
    <n v="0"/>
    <m/>
    <m/>
    <m/>
    <m/>
    <m/>
    <n v="0"/>
    <m/>
    <m/>
    <m/>
    <m/>
    <m/>
    <n v="0"/>
    <m/>
    <m/>
    <m/>
    <m/>
    <m/>
    <n v="0"/>
    <m/>
    <m/>
    <m/>
    <m/>
    <m/>
    <n v="0"/>
    <m/>
    <m/>
    <m/>
    <m/>
    <n v="1"/>
    <n v="10000000"/>
    <s v="Supplemental agreements"/>
    <m/>
    <m/>
    <m/>
    <n v="1"/>
    <n v="10000000"/>
  </r>
  <r>
    <m/>
    <s v="M"/>
    <s v="M"/>
    <s v="MN"/>
    <n v="999"/>
    <s v="MN999"/>
    <m/>
    <x v="4"/>
    <m/>
    <m/>
    <m/>
    <m/>
    <s v="SUPPLEMENTAL AGREEMENTS SETASIDE"/>
    <m/>
    <m/>
    <m/>
    <m/>
    <m/>
    <m/>
    <s v=""/>
    <m/>
    <m/>
    <m/>
    <m/>
    <s v=""/>
    <m/>
    <m/>
    <m/>
    <n v="10000000"/>
    <m/>
    <m/>
    <m/>
    <m/>
    <n v="0"/>
    <m/>
    <m/>
    <m/>
    <n v="0"/>
    <m/>
    <m/>
    <m/>
    <n v="0"/>
    <m/>
    <m/>
    <m/>
    <m/>
    <n v="0"/>
    <m/>
    <n v="10000000"/>
    <n v="10000000"/>
    <n v="546242559.54999995"/>
    <n v="229475173.93000001"/>
    <n v="2019"/>
    <m/>
    <m/>
    <m/>
    <m/>
    <m/>
    <m/>
    <m/>
    <m/>
    <m/>
    <m/>
    <m/>
    <m/>
    <m/>
    <m/>
    <n v="0"/>
    <m/>
    <m/>
    <m/>
    <m/>
    <m/>
    <n v="0"/>
    <m/>
    <m/>
    <n v="0"/>
    <m/>
    <m/>
    <m/>
    <m/>
    <m/>
    <n v="0"/>
    <m/>
    <m/>
    <m/>
    <m/>
    <m/>
    <n v="0"/>
    <m/>
    <m/>
    <m/>
    <m/>
    <m/>
    <n v="0"/>
    <m/>
    <m/>
    <m/>
    <m/>
    <m/>
    <n v="0"/>
    <m/>
    <m/>
    <m/>
    <m/>
    <m/>
    <n v="0"/>
    <m/>
    <m/>
    <m/>
    <m/>
    <m/>
    <n v="0"/>
    <m/>
    <m/>
    <m/>
    <m/>
    <n v="1"/>
    <n v="10000000"/>
    <s v="Supplemental agreements"/>
    <m/>
    <m/>
    <m/>
    <n v="1"/>
    <n v="10000000"/>
  </r>
  <r>
    <m/>
    <s v="M"/>
    <s v="M"/>
    <s v="MN"/>
    <n v="999"/>
    <s v="MN999"/>
    <m/>
    <x v="5"/>
    <m/>
    <m/>
    <m/>
    <m/>
    <s v="SUPPLEMENTAL AGREEMENTS SETASIDE"/>
    <m/>
    <m/>
    <m/>
    <m/>
    <m/>
    <m/>
    <s v=""/>
    <m/>
    <m/>
    <m/>
    <m/>
    <s v=""/>
    <m/>
    <m/>
    <m/>
    <n v="10000000"/>
    <m/>
    <m/>
    <m/>
    <m/>
    <n v="0"/>
    <m/>
    <m/>
    <m/>
    <n v="0"/>
    <m/>
    <m/>
    <m/>
    <n v="0"/>
    <m/>
    <m/>
    <m/>
    <m/>
    <n v="0"/>
    <m/>
    <n v="10000000"/>
    <n v="10000000"/>
    <n v="546242559.54999995"/>
    <n v="229475173.93000001"/>
    <n v="2020"/>
    <m/>
    <m/>
    <m/>
    <m/>
    <m/>
    <m/>
    <m/>
    <m/>
    <m/>
    <m/>
    <m/>
    <m/>
    <m/>
    <m/>
    <n v="0"/>
    <m/>
    <m/>
    <m/>
    <m/>
    <m/>
    <n v="0"/>
    <m/>
    <m/>
    <n v="0"/>
    <m/>
    <m/>
    <m/>
    <m/>
    <m/>
    <n v="0"/>
    <m/>
    <m/>
    <m/>
    <m/>
    <m/>
    <n v="0"/>
    <m/>
    <m/>
    <m/>
    <m/>
    <m/>
    <n v="0"/>
    <m/>
    <m/>
    <m/>
    <m/>
    <m/>
    <n v="0"/>
    <m/>
    <m/>
    <m/>
    <m/>
    <m/>
    <n v="0"/>
    <m/>
    <m/>
    <m/>
    <m/>
    <m/>
    <n v="0"/>
    <m/>
    <m/>
    <m/>
    <m/>
    <n v="1"/>
    <n v="10000000"/>
    <s v="Supplemental agreements"/>
    <m/>
    <m/>
    <m/>
    <n v="1"/>
    <n v="10000000"/>
  </r>
  <r>
    <m/>
    <s v="C"/>
    <s v="C"/>
    <s v="MN"/>
    <n v="999"/>
    <s v="MN999"/>
    <m/>
    <x v="5"/>
    <m/>
    <m/>
    <m/>
    <m/>
    <s v="DESTINATION INNOVATION SETASIDE"/>
    <m/>
    <m/>
    <m/>
    <m/>
    <m/>
    <m/>
    <s v=""/>
    <m/>
    <m/>
    <m/>
    <m/>
    <s v=""/>
    <m/>
    <m/>
    <m/>
    <n v="10000000"/>
    <m/>
    <m/>
    <m/>
    <m/>
    <n v="0"/>
    <m/>
    <m/>
    <m/>
    <n v="0"/>
    <m/>
    <m/>
    <m/>
    <n v="0"/>
    <m/>
    <m/>
    <m/>
    <m/>
    <n v="0"/>
    <m/>
    <n v="10000000"/>
    <n v="10000000"/>
    <n v="546242559.54999995"/>
    <n v="229475173.93000001"/>
    <n v="2020"/>
    <m/>
    <m/>
    <m/>
    <m/>
    <m/>
    <m/>
    <m/>
    <m/>
    <m/>
    <m/>
    <m/>
    <m/>
    <m/>
    <m/>
    <n v="0"/>
    <m/>
    <m/>
    <m/>
    <m/>
    <m/>
    <n v="0"/>
    <m/>
    <m/>
    <n v="0"/>
    <m/>
    <m/>
    <m/>
    <m/>
    <m/>
    <n v="0"/>
    <m/>
    <m/>
    <m/>
    <m/>
    <m/>
    <n v="0"/>
    <m/>
    <m/>
    <m/>
    <m/>
    <m/>
    <n v="0"/>
    <m/>
    <m/>
    <m/>
    <m/>
    <m/>
    <n v="0"/>
    <m/>
    <m/>
    <m/>
    <m/>
    <m/>
    <n v="0"/>
    <m/>
    <m/>
    <m/>
    <m/>
    <n v="1"/>
    <n v="10000000"/>
    <m/>
    <m/>
    <m/>
    <m/>
    <m/>
    <n v="0"/>
    <m/>
    <m/>
    <m/>
    <m/>
    <n v="1"/>
    <n v="10000000"/>
  </r>
  <r>
    <m/>
    <s v="M"/>
    <s v="M"/>
    <s v="MN"/>
    <n v="999"/>
    <s v="MN999"/>
    <m/>
    <x v="6"/>
    <m/>
    <m/>
    <m/>
    <m/>
    <s v="SUPPLEMENTAL AGREEMENTS SETASIDE"/>
    <m/>
    <m/>
    <m/>
    <m/>
    <m/>
    <m/>
    <s v=""/>
    <m/>
    <m/>
    <m/>
    <m/>
    <s v=""/>
    <m/>
    <m/>
    <m/>
    <n v="10000000"/>
    <m/>
    <m/>
    <m/>
    <m/>
    <n v="0"/>
    <m/>
    <m/>
    <m/>
    <n v="0"/>
    <m/>
    <m/>
    <m/>
    <n v="0"/>
    <m/>
    <m/>
    <m/>
    <m/>
    <n v="0"/>
    <m/>
    <n v="10000000"/>
    <n v="10000000"/>
    <n v="546242559.54999995"/>
    <n v="229475173.93000001"/>
    <n v="2021"/>
    <m/>
    <m/>
    <m/>
    <m/>
    <m/>
    <m/>
    <m/>
    <m/>
    <m/>
    <m/>
    <m/>
    <m/>
    <m/>
    <m/>
    <n v="0"/>
    <m/>
    <m/>
    <m/>
    <m/>
    <m/>
    <n v="0"/>
    <m/>
    <m/>
    <n v="0"/>
    <m/>
    <m/>
    <m/>
    <m/>
    <m/>
    <n v="0"/>
    <m/>
    <m/>
    <m/>
    <m/>
    <m/>
    <n v="0"/>
    <m/>
    <m/>
    <m/>
    <m/>
    <m/>
    <n v="0"/>
    <m/>
    <m/>
    <m/>
    <m/>
    <m/>
    <n v="0"/>
    <m/>
    <m/>
    <m/>
    <m/>
    <m/>
    <n v="0"/>
    <m/>
    <m/>
    <m/>
    <m/>
    <m/>
    <n v="0"/>
    <m/>
    <m/>
    <m/>
    <m/>
    <n v="1"/>
    <n v="10000000"/>
    <s v="Supplemental agreements"/>
    <m/>
    <m/>
    <m/>
    <n v="1"/>
    <n v="10000000"/>
  </r>
  <r>
    <m/>
    <s v="C"/>
    <s v="C"/>
    <s v="MN"/>
    <n v="999"/>
    <s v="MN999"/>
    <m/>
    <x v="6"/>
    <m/>
    <m/>
    <m/>
    <m/>
    <s v="DESTINATION INNOVATION SETASIDE"/>
    <m/>
    <m/>
    <m/>
    <m/>
    <m/>
    <m/>
    <s v=""/>
    <m/>
    <m/>
    <m/>
    <m/>
    <s v=""/>
    <m/>
    <m/>
    <m/>
    <n v="10000000"/>
    <m/>
    <m/>
    <m/>
    <m/>
    <n v="0"/>
    <m/>
    <m/>
    <m/>
    <n v="0"/>
    <m/>
    <m/>
    <m/>
    <n v="0"/>
    <m/>
    <m/>
    <m/>
    <m/>
    <n v="0"/>
    <m/>
    <n v="10000000"/>
    <n v="10000000"/>
    <n v="546242559.54999995"/>
    <n v="229475173.93000001"/>
    <n v="2021"/>
    <m/>
    <m/>
    <m/>
    <m/>
    <m/>
    <m/>
    <m/>
    <m/>
    <m/>
    <m/>
    <m/>
    <m/>
    <m/>
    <n v="0"/>
    <n v="0"/>
    <m/>
    <m/>
    <m/>
    <m/>
    <m/>
    <n v="0"/>
    <m/>
    <m/>
    <n v="0"/>
    <m/>
    <m/>
    <m/>
    <m/>
    <m/>
    <n v="0"/>
    <m/>
    <m/>
    <m/>
    <m/>
    <m/>
    <n v="0"/>
    <m/>
    <m/>
    <m/>
    <m/>
    <m/>
    <n v="0"/>
    <m/>
    <m/>
    <m/>
    <m/>
    <m/>
    <n v="0"/>
    <m/>
    <m/>
    <m/>
    <m/>
    <m/>
    <n v="0"/>
    <m/>
    <m/>
    <m/>
    <m/>
    <n v="1"/>
    <n v="10000000"/>
    <m/>
    <m/>
    <m/>
    <m/>
    <m/>
    <n v="0"/>
    <m/>
    <m/>
    <m/>
    <m/>
    <n v="1"/>
    <n v="10000000"/>
  </r>
  <r>
    <m/>
    <s v="M"/>
    <s v="M"/>
    <s v="MN"/>
    <n v="999"/>
    <s v="MN999"/>
    <m/>
    <x v="7"/>
    <m/>
    <m/>
    <m/>
    <m/>
    <s v="SUPPLEMENTAL AGREEMENTS SETASIDE"/>
    <m/>
    <m/>
    <m/>
    <m/>
    <m/>
    <m/>
    <s v=""/>
    <m/>
    <m/>
    <m/>
    <m/>
    <s v=""/>
    <m/>
    <m/>
    <m/>
    <n v="10000000"/>
    <m/>
    <m/>
    <m/>
    <m/>
    <n v="0"/>
    <m/>
    <m/>
    <m/>
    <n v="0"/>
    <m/>
    <m/>
    <m/>
    <n v="0"/>
    <m/>
    <m/>
    <m/>
    <m/>
    <n v="0"/>
    <m/>
    <n v="10000000"/>
    <n v="10000000"/>
    <n v="546242559.54999995"/>
    <n v="229475173.93000001"/>
    <n v="2022"/>
    <m/>
    <m/>
    <m/>
    <m/>
    <m/>
    <m/>
    <m/>
    <m/>
    <m/>
    <m/>
    <m/>
    <m/>
    <m/>
    <m/>
    <n v="0"/>
    <m/>
    <m/>
    <m/>
    <m/>
    <m/>
    <n v="0"/>
    <m/>
    <m/>
    <n v="0"/>
    <m/>
    <m/>
    <m/>
    <m/>
    <m/>
    <n v="0"/>
    <m/>
    <m/>
    <m/>
    <m/>
    <m/>
    <n v="0"/>
    <m/>
    <m/>
    <m/>
    <m/>
    <m/>
    <n v="0"/>
    <m/>
    <m/>
    <m/>
    <m/>
    <m/>
    <n v="0"/>
    <m/>
    <m/>
    <m/>
    <m/>
    <m/>
    <n v="0"/>
    <m/>
    <m/>
    <m/>
    <m/>
    <m/>
    <n v="0"/>
    <m/>
    <m/>
    <m/>
    <m/>
    <n v="1"/>
    <n v="10000000"/>
    <s v="Supplemental agreements"/>
    <m/>
    <m/>
    <m/>
    <n v="1"/>
    <n v="10000000"/>
  </r>
  <r>
    <m/>
    <s v="C"/>
    <s v="C"/>
    <s v="MN"/>
    <n v="999"/>
    <s v="MN999"/>
    <m/>
    <x v="7"/>
    <m/>
    <m/>
    <m/>
    <m/>
    <s v="DESTINATION INNOVATION SETASIDE"/>
    <m/>
    <m/>
    <m/>
    <m/>
    <m/>
    <m/>
    <s v=""/>
    <m/>
    <m/>
    <m/>
    <m/>
    <s v=""/>
    <m/>
    <m/>
    <m/>
    <n v="10000000"/>
    <m/>
    <m/>
    <m/>
    <m/>
    <n v="0"/>
    <m/>
    <m/>
    <m/>
    <n v="0"/>
    <m/>
    <m/>
    <m/>
    <n v="0"/>
    <m/>
    <m/>
    <m/>
    <m/>
    <n v="0"/>
    <m/>
    <n v="10000000"/>
    <n v="10000000"/>
    <n v="546242559.54999995"/>
    <n v="229475173.93000001"/>
    <n v="2022"/>
    <m/>
    <m/>
    <m/>
    <m/>
    <m/>
    <m/>
    <m/>
    <m/>
    <m/>
    <m/>
    <m/>
    <m/>
    <m/>
    <n v="0"/>
    <n v="0"/>
    <m/>
    <m/>
    <m/>
    <m/>
    <m/>
    <n v="0"/>
    <m/>
    <m/>
    <n v="0"/>
    <m/>
    <m/>
    <m/>
    <m/>
    <m/>
    <n v="0"/>
    <m/>
    <m/>
    <m/>
    <m/>
    <m/>
    <n v="0"/>
    <m/>
    <m/>
    <m/>
    <m/>
    <m/>
    <n v="0"/>
    <m/>
    <m/>
    <m/>
    <m/>
    <m/>
    <n v="0"/>
    <m/>
    <m/>
    <m/>
    <m/>
    <m/>
    <n v="0"/>
    <m/>
    <m/>
    <m/>
    <m/>
    <n v="1"/>
    <n v="10000000"/>
    <m/>
    <m/>
    <m/>
    <m/>
    <m/>
    <n v="0"/>
    <m/>
    <m/>
    <m/>
    <m/>
    <n v="1"/>
    <n v="10000000"/>
  </r>
  <r>
    <m/>
    <s v="M"/>
    <s v="M"/>
    <s v="MN"/>
    <n v="999"/>
    <s v="MN999"/>
    <m/>
    <x v="8"/>
    <m/>
    <m/>
    <m/>
    <m/>
    <s v="SUPPLEMENTAL AGREEMENTS SETASIDE"/>
    <m/>
    <m/>
    <m/>
    <m/>
    <m/>
    <m/>
    <s v=""/>
    <m/>
    <m/>
    <m/>
    <m/>
    <s v=""/>
    <m/>
    <m/>
    <m/>
    <n v="10000000"/>
    <m/>
    <m/>
    <m/>
    <m/>
    <n v="0"/>
    <m/>
    <m/>
    <m/>
    <n v="0"/>
    <m/>
    <m/>
    <m/>
    <n v="0"/>
    <m/>
    <m/>
    <m/>
    <m/>
    <n v="0"/>
    <m/>
    <n v="10000000"/>
    <n v="10000000"/>
    <n v="546242559.54999995"/>
    <n v="229475173.93000001"/>
    <n v="2023"/>
    <m/>
    <m/>
    <m/>
    <m/>
    <m/>
    <m/>
    <m/>
    <m/>
    <m/>
    <m/>
    <m/>
    <m/>
    <m/>
    <m/>
    <n v="0"/>
    <m/>
    <m/>
    <m/>
    <m/>
    <m/>
    <n v="0"/>
    <m/>
    <m/>
    <n v="0"/>
    <m/>
    <m/>
    <m/>
    <m/>
    <m/>
    <n v="0"/>
    <m/>
    <m/>
    <m/>
    <m/>
    <m/>
    <n v="0"/>
    <m/>
    <m/>
    <m/>
    <m/>
    <m/>
    <n v="0"/>
    <m/>
    <m/>
    <m/>
    <m/>
    <m/>
    <n v="0"/>
    <m/>
    <m/>
    <m/>
    <m/>
    <m/>
    <n v="0"/>
    <m/>
    <m/>
    <m/>
    <m/>
    <m/>
    <n v="0"/>
    <m/>
    <m/>
    <m/>
    <m/>
    <n v="1"/>
    <n v="10000000"/>
    <s v="Supplemental agreements"/>
    <m/>
    <m/>
    <m/>
    <n v="1"/>
    <n v="10000000"/>
  </r>
  <r>
    <m/>
    <s v="C"/>
    <s v="C"/>
    <s v="MN"/>
    <n v="999"/>
    <s v="MN999"/>
    <m/>
    <x v="8"/>
    <m/>
    <m/>
    <m/>
    <m/>
    <s v="DESTINATION INNOVATION SETASIDE"/>
    <m/>
    <m/>
    <m/>
    <m/>
    <m/>
    <m/>
    <s v=""/>
    <m/>
    <m/>
    <m/>
    <m/>
    <s v=""/>
    <m/>
    <m/>
    <m/>
    <n v="10000000"/>
    <m/>
    <m/>
    <m/>
    <m/>
    <n v="0"/>
    <m/>
    <m/>
    <m/>
    <n v="0"/>
    <m/>
    <m/>
    <m/>
    <n v="0"/>
    <m/>
    <m/>
    <m/>
    <m/>
    <n v="0"/>
    <m/>
    <n v="10000000"/>
    <n v="10000000"/>
    <n v="546242559.54999995"/>
    <n v="229475173.93000001"/>
    <n v="2023"/>
    <m/>
    <m/>
    <m/>
    <m/>
    <m/>
    <m/>
    <m/>
    <m/>
    <m/>
    <m/>
    <m/>
    <m/>
    <m/>
    <n v="0"/>
    <n v="0"/>
    <m/>
    <m/>
    <m/>
    <m/>
    <m/>
    <n v="0"/>
    <m/>
    <m/>
    <n v="0"/>
    <m/>
    <m/>
    <m/>
    <m/>
    <m/>
    <n v="0"/>
    <m/>
    <m/>
    <m/>
    <m/>
    <m/>
    <n v="0"/>
    <m/>
    <m/>
    <m/>
    <m/>
    <m/>
    <n v="0"/>
    <m/>
    <m/>
    <m/>
    <m/>
    <m/>
    <n v="0"/>
    <m/>
    <m/>
    <m/>
    <m/>
    <m/>
    <n v="0"/>
    <m/>
    <m/>
    <m/>
    <m/>
    <n v="1"/>
    <n v="10000000"/>
    <m/>
    <m/>
    <m/>
    <m/>
    <m/>
    <n v="0"/>
    <m/>
    <m/>
    <m/>
    <m/>
    <n v="1"/>
    <n v="10000000"/>
  </r>
  <r>
    <m/>
    <s v="M"/>
    <s v="M"/>
    <s v="US"/>
    <n v="169"/>
    <s v="US 169"/>
    <s v="7005-97"/>
    <x v="0"/>
    <m/>
    <s v="S"/>
    <s v="MNDOT"/>
    <n v="7"/>
    <s v="**SAM** AT SCOTT COUNTY ROAD 69 - INTERCHANGE CONSTRUCTION (SAM INTERCHANGE BONDS)"/>
    <m/>
    <m/>
    <m/>
    <m/>
    <m/>
    <m/>
    <m/>
    <m/>
    <m/>
    <m/>
    <m/>
    <m/>
    <m/>
    <m/>
    <m/>
    <n v="15450000"/>
    <m/>
    <m/>
    <m/>
    <m/>
    <m/>
    <m/>
    <m/>
    <m/>
    <m/>
    <m/>
    <m/>
    <m/>
    <m/>
    <m/>
    <m/>
    <m/>
    <m/>
    <m/>
    <m/>
    <n v="3250000"/>
    <m/>
    <m/>
    <m/>
    <m/>
    <m/>
    <m/>
    <m/>
    <m/>
    <m/>
    <m/>
    <m/>
    <m/>
    <m/>
    <m/>
    <m/>
    <m/>
    <m/>
    <m/>
    <n v="0"/>
    <m/>
    <m/>
    <m/>
    <m/>
    <m/>
    <n v="0"/>
    <m/>
    <m/>
    <n v="0"/>
    <m/>
    <m/>
    <m/>
    <m/>
    <n v="1.9689320388349515E-2"/>
    <n v="240209.7087378641"/>
    <s v="Sustained crash locations"/>
    <n v="1.0000000000000004"/>
    <m/>
    <m/>
    <m/>
    <n v="0"/>
    <m/>
    <m/>
    <m/>
    <m/>
    <n v="0.53031067961165101"/>
    <n v="6469790.2912621424"/>
    <m/>
    <m/>
    <m/>
    <m/>
    <m/>
    <n v="0"/>
    <m/>
    <m/>
    <m/>
    <m/>
    <m/>
    <n v="0"/>
    <m/>
    <m/>
    <m/>
    <m/>
    <n v="0.45"/>
    <n v="5490000"/>
    <m/>
    <m/>
    <m/>
    <m/>
    <m/>
    <n v="0"/>
    <m/>
    <m/>
    <m/>
    <m/>
    <n v="1.0000000000000004"/>
    <n v="12200000.000000007"/>
  </r>
  <r>
    <m/>
    <s v="M"/>
    <s v="M"/>
    <s v="US"/>
    <n v="169"/>
    <s v="US 169"/>
    <s v="7008-100"/>
    <x v="1"/>
    <m/>
    <s v="S"/>
    <s v="MNDOT"/>
    <n v="7"/>
    <s v="BETWEEN MN 282 AND MN 21 IN JORDAN - RECONSTRUCT MAINLINE INCLUDING MEDIAN J-BARRIER AND REPLACE MEDIAN DRAINAGE STRUCTURES AND PIPES"/>
    <m/>
    <m/>
    <m/>
    <m/>
    <m/>
    <m/>
    <m/>
    <m/>
    <m/>
    <m/>
    <m/>
    <m/>
    <m/>
    <m/>
    <m/>
    <n v="6430000"/>
    <m/>
    <m/>
    <m/>
    <m/>
    <m/>
    <m/>
    <m/>
    <m/>
    <m/>
    <m/>
    <m/>
    <m/>
    <m/>
    <m/>
    <m/>
    <m/>
    <m/>
    <m/>
    <m/>
    <n v="0"/>
    <m/>
    <m/>
    <m/>
    <m/>
    <m/>
    <m/>
    <m/>
    <m/>
    <m/>
    <m/>
    <m/>
    <m/>
    <m/>
    <m/>
    <m/>
    <m/>
    <m/>
    <m/>
    <n v="0"/>
    <m/>
    <m/>
    <m/>
    <m/>
    <m/>
    <n v="0"/>
    <m/>
    <n v="0.29090549285822642"/>
    <n v="1870522.3190783958"/>
    <s v="Drainage and culverts"/>
    <m/>
    <m/>
    <m/>
    <n v="0.14162770562770563"/>
    <n v="910666.14718614717"/>
    <s v="Sustained crash locations"/>
    <n v="1.0000000000000004"/>
    <m/>
    <m/>
    <m/>
    <n v="0"/>
    <m/>
    <m/>
    <m/>
    <m/>
    <n v="0.56746680151406836"/>
    <n v="3648811.5337354597"/>
    <m/>
    <m/>
    <m/>
    <m/>
    <m/>
    <n v="0"/>
    <m/>
    <m/>
    <m/>
    <m/>
    <m/>
    <n v="0"/>
    <m/>
    <m/>
    <m/>
    <m/>
    <m/>
    <n v="0"/>
    <m/>
    <m/>
    <m/>
    <m/>
    <m/>
    <n v="0"/>
    <m/>
    <m/>
    <m/>
    <m/>
    <n v="1.0000000000000004"/>
    <n v="6430000.0000000028"/>
  </r>
  <r>
    <m/>
    <s v="M"/>
    <s v="M"/>
    <s v="MN"/>
    <n v="41"/>
    <s v="MN 41"/>
    <s v="7010-100"/>
    <x v="1"/>
    <m/>
    <s v="S"/>
    <s v="MNDOT"/>
    <n v="7"/>
    <s v="FROM RR X-ING #7002025 IN LOUISVILLE TOWNSHIP TO JUST SOUTH OF CHASKA MN RIVER BRIDGE IN CHASKA - MILL &amp; OVERLAY, SLOPE ARMORING"/>
    <m/>
    <m/>
    <m/>
    <m/>
    <m/>
    <m/>
    <m/>
    <m/>
    <m/>
    <m/>
    <m/>
    <m/>
    <m/>
    <m/>
    <m/>
    <n v="835000"/>
    <m/>
    <m/>
    <m/>
    <m/>
    <m/>
    <m/>
    <m/>
    <m/>
    <m/>
    <m/>
    <m/>
    <m/>
    <m/>
    <m/>
    <m/>
    <m/>
    <m/>
    <m/>
    <m/>
    <n v="0"/>
    <m/>
    <m/>
    <m/>
    <m/>
    <m/>
    <m/>
    <m/>
    <m/>
    <m/>
    <m/>
    <m/>
    <m/>
    <m/>
    <m/>
    <m/>
    <m/>
    <m/>
    <n v="0.70176351408053905"/>
    <n v="585972.53425725014"/>
    <m/>
    <m/>
    <m/>
    <m/>
    <m/>
    <n v="0"/>
    <m/>
    <n v="0.298236485919461"/>
    <n v="249027.46574274995"/>
    <s v="Other structures"/>
    <m/>
    <m/>
    <m/>
    <m/>
    <n v="0"/>
    <m/>
    <n v="1"/>
    <m/>
    <m/>
    <m/>
    <n v="0"/>
    <m/>
    <m/>
    <m/>
    <m/>
    <m/>
    <n v="0"/>
    <m/>
    <m/>
    <m/>
    <m/>
    <m/>
    <n v="0"/>
    <m/>
    <m/>
    <m/>
    <m/>
    <m/>
    <n v="0"/>
    <m/>
    <m/>
    <m/>
    <m/>
    <m/>
    <n v="0"/>
    <m/>
    <m/>
    <m/>
    <m/>
    <m/>
    <n v="0"/>
    <m/>
    <m/>
    <m/>
    <m/>
    <n v="1"/>
    <n v="835000.00000000012"/>
  </r>
  <r>
    <m/>
    <n v="3"/>
    <n v="3"/>
    <s v="US"/>
    <n v="10"/>
    <s v="US 10"/>
    <s v="7103-58"/>
    <x v="1"/>
    <s v="2016-09"/>
    <s v="S"/>
    <s v="MNDOT"/>
    <n v="3"/>
    <s v="1.2 MI. E OF TH 23 IN ST. CLOUD TO 475 FT. W OF 52ND ST., MILL &amp; OVERLAY"/>
    <s v="179+00.227"/>
    <s v="184+00.398"/>
    <n v="5.2"/>
    <m/>
    <s v="SHERBURNE"/>
    <s v="RS"/>
    <s v="1-P "/>
    <s v="1-P"/>
    <m/>
    <s v="PVTR - PAVEMENT RESURFACE AND REHABILITATION"/>
    <s v="MILL AND OVERLAY"/>
    <s v="STP 5K-200K SF "/>
    <s v="STP 5K-200K"/>
    <s v="SF"/>
    <m/>
    <n v="2040000"/>
    <n v="0"/>
    <n v="0"/>
    <n v="0"/>
    <n v="0"/>
    <n v="0"/>
    <n v="0"/>
    <n v="1632000"/>
    <n v="0"/>
    <n v="0"/>
    <n v="0"/>
    <n v="0"/>
    <n v="1632000"/>
    <n v="1632000"/>
    <n v="0"/>
    <n v="1632000"/>
    <n v="0"/>
    <n v="0"/>
    <n v="0"/>
    <n v="0"/>
    <n v="0"/>
    <n v="0"/>
    <n v="0"/>
    <n v="0"/>
    <n v="0"/>
    <n v="0"/>
    <n v="408000"/>
    <n v="0"/>
    <n v="408000"/>
    <n v="0"/>
    <n v="0"/>
    <n v="2040000"/>
    <n v="23954595"/>
    <n v="4774971"/>
    <n v="2015"/>
    <m/>
    <m/>
    <m/>
    <n v="0.88500000000000001"/>
    <n v="1805400"/>
    <m/>
    <m/>
    <m/>
    <m/>
    <m/>
    <n v="0"/>
    <m/>
    <n v="0.115"/>
    <n v="234600"/>
    <s v="Pavement markings"/>
    <m/>
    <m/>
    <m/>
    <m/>
    <n v="0"/>
    <m/>
    <m/>
    <m/>
    <m/>
    <m/>
    <n v="0"/>
    <m/>
    <m/>
    <m/>
    <m/>
    <m/>
    <n v="0"/>
    <m/>
    <m/>
    <m/>
    <m/>
    <m/>
    <n v="0"/>
    <m/>
    <m/>
    <m/>
    <m/>
    <m/>
    <n v="0"/>
    <m/>
    <m/>
    <m/>
    <m/>
    <m/>
    <n v="0"/>
    <m/>
    <m/>
    <m/>
    <m/>
    <m/>
    <n v="0"/>
    <m/>
    <m/>
    <m/>
    <m/>
    <n v="1"/>
    <n v="2040000"/>
  </r>
  <r>
    <m/>
    <n v="3"/>
    <n v="3"/>
    <s v="US"/>
    <n v="169"/>
    <s v="US 169"/>
    <s v="7106-83"/>
    <x v="2"/>
    <s v="2016-14"/>
    <s v="S"/>
    <s v="MNDOT"/>
    <m/>
    <s v="JCT SHERBURNE CSAH 4 IN ZIMMERMAN, GEOMETRIC IMPROVEMENTS, CONSTRUCT SB ACCEL LANE, RESURFACING AND SIGNAL REPLACEMENT, IN CONJUNCTION WITH SHERBURNE COUNTY PROJECT"/>
    <s v="168+00.988"/>
    <s v="169+00.347"/>
    <n v="0"/>
    <m/>
    <s v="SHERBURNE"/>
    <s v="AM"/>
    <s v="7-IRC-C "/>
    <s v="7-IRC-C"/>
    <m/>
    <s v="APPU - APPURTENANCES"/>
    <s v="CHANNELIZATION"/>
    <s v="SF  "/>
    <s v="SF"/>
    <m/>
    <m/>
    <n v="300000"/>
    <n v="0"/>
    <n v="0"/>
    <n v="0"/>
    <n v="0"/>
    <n v="0"/>
    <n v="0"/>
    <n v="0"/>
    <n v="0"/>
    <n v="0"/>
    <n v="0"/>
    <n v="0"/>
    <n v="0"/>
    <n v="0"/>
    <n v="0"/>
    <n v="0"/>
    <n v="0"/>
    <n v="0"/>
    <n v="0"/>
    <n v="0"/>
    <n v="0"/>
    <n v="0"/>
    <n v="0"/>
    <n v="0"/>
    <n v="0"/>
    <n v="0"/>
    <n v="300000"/>
    <n v="0"/>
    <n v="300000"/>
    <n v="0"/>
    <n v="0"/>
    <n v="300000"/>
    <n v="56115083"/>
    <n v="13336174"/>
    <n v="2016"/>
    <m/>
    <m/>
    <m/>
    <m/>
    <n v="0"/>
    <m/>
    <m/>
    <m/>
    <m/>
    <m/>
    <n v="0"/>
    <m/>
    <m/>
    <n v="0"/>
    <m/>
    <m/>
    <m/>
    <m/>
    <n v="1"/>
    <n v="300000"/>
    <s v="Sustained crash locations"/>
    <m/>
    <m/>
    <m/>
    <m/>
    <n v="0"/>
    <m/>
    <m/>
    <m/>
    <m/>
    <m/>
    <n v="0"/>
    <m/>
    <m/>
    <m/>
    <m/>
    <m/>
    <n v="0"/>
    <m/>
    <m/>
    <m/>
    <m/>
    <m/>
    <n v="0"/>
    <m/>
    <m/>
    <m/>
    <m/>
    <m/>
    <n v="0"/>
    <m/>
    <m/>
    <m/>
    <m/>
    <m/>
    <n v="0"/>
    <m/>
    <m/>
    <m/>
    <m/>
    <n v="1"/>
    <n v="300000"/>
  </r>
  <r>
    <m/>
    <n v="3"/>
    <n v="3"/>
    <s v="MN"/>
    <n v="24"/>
    <s v="MN 24"/>
    <s v="7108-23"/>
    <x v="2"/>
    <s v="2016-03"/>
    <s v="S"/>
    <s v="MNDOT"/>
    <m/>
    <s v="**ELLA** **AC** REPLACE BR. #6557 OVER MISSISSIPPI RIVER AT CLEARWATER (AC PROJECT, PAYBACK IN 2017)"/>
    <s v="44+00.400"/>
    <s v="45+00.119"/>
    <n v="0.71599999999999997"/>
    <m/>
    <s v="SHERBURNE"/>
    <s v="BR"/>
    <s v="1-B "/>
    <s v="1-B"/>
    <m/>
    <s v="BRPC - BRIDGE REPLACEMENT OR CONSTRUCTION"/>
    <s v="BRIDGE REPLACEMENT"/>
    <s v="NHPP SF "/>
    <s v="NHPP"/>
    <s v="SF"/>
    <m/>
    <n v="15000000"/>
    <n v="0"/>
    <n v="0"/>
    <n v="0"/>
    <n v="10200000"/>
    <n v="0"/>
    <n v="0"/>
    <n v="0"/>
    <n v="0"/>
    <n v="0"/>
    <n v="0"/>
    <n v="0"/>
    <n v="10200000"/>
    <n v="10200000"/>
    <n v="0"/>
    <n v="10200000"/>
    <n v="0"/>
    <n v="9000000"/>
    <n v="0"/>
    <n v="9000000"/>
    <n v="0"/>
    <n v="0"/>
    <n v="0"/>
    <n v="0"/>
    <n v="0"/>
    <n v="0"/>
    <n v="4800000"/>
    <n v="0"/>
    <n v="4800000"/>
    <n v="0"/>
    <n v="0"/>
    <n v="24000000"/>
    <n v="23881144"/>
    <n v="5220564"/>
    <n v="2016"/>
    <m/>
    <m/>
    <m/>
    <m/>
    <n v="0"/>
    <m/>
    <m/>
    <m/>
    <m/>
    <n v="0.92900000000000005"/>
    <n v="13935000"/>
    <m/>
    <m/>
    <n v="0"/>
    <m/>
    <m/>
    <m/>
    <m/>
    <m/>
    <n v="0"/>
    <m/>
    <m/>
    <m/>
    <m/>
    <m/>
    <n v="0"/>
    <m/>
    <m/>
    <m/>
    <m/>
    <m/>
    <n v="0"/>
    <m/>
    <m/>
    <m/>
    <m/>
    <n v="3.5000000000000003E-2"/>
    <n v="525000"/>
    <m/>
    <m/>
    <m/>
    <m/>
    <n v="3.5999999999999997E-2"/>
    <n v="540000"/>
    <m/>
    <m/>
    <m/>
    <m/>
    <m/>
    <n v="0"/>
    <m/>
    <m/>
    <m/>
    <m/>
    <m/>
    <n v="0"/>
    <m/>
    <m/>
    <m/>
    <m/>
    <n v="1"/>
    <n v="15000000"/>
  </r>
  <r>
    <m/>
    <n v="3"/>
    <n v="3"/>
    <s v="MN"/>
    <n v="24"/>
    <s v="MN 24"/>
    <s v="7108-23AC"/>
    <x v="9"/>
    <s v="2016-03"/>
    <s v="S"/>
    <s v="MNDOT"/>
    <m/>
    <s v="**ELLA**AC** REPLACE BR #6557 OVER MISSISSIPPI RIVER AT CLEARWATER (AC PAYBACK 1 OF 1)"/>
    <s v="44+00.400"/>
    <s v="45+00.119"/>
    <n v="0.71599999999999997"/>
    <m/>
    <s v="WRIGHT"/>
    <s v="BR"/>
    <s v="1-B "/>
    <s v="1-B"/>
    <m/>
    <s v="BRPC - BRIDGE REPLACEMENT OR CONSTRUCTION"/>
    <s v="BRIDGE REPLACEMENT"/>
    <s v="NHPP  "/>
    <s v="NHPP"/>
    <m/>
    <m/>
    <n v="9000000"/>
    <n v="0"/>
    <n v="0"/>
    <n v="0"/>
    <n v="0"/>
    <n v="0"/>
    <n v="0"/>
    <n v="0"/>
    <n v="0"/>
    <n v="0"/>
    <n v="0"/>
    <n v="9000000"/>
    <n v="0"/>
    <n v="9000000"/>
    <n v="0"/>
    <n v="0"/>
    <n v="0"/>
    <n v="0"/>
    <n v="0"/>
    <n v="0"/>
    <n v="0"/>
    <n v="18000000"/>
    <n v="13977000"/>
    <n v="66819212"/>
    <s v="7108-23AC"/>
    <s v="added AC to the SP and 1 of 1 to the description/Trang_x000a_AC OK - PA YOUA"/>
    <m/>
    <m/>
    <m/>
    <m/>
    <m/>
    <m/>
    <m/>
    <m/>
    <m/>
    <m/>
    <m/>
    <m/>
    <m/>
    <n v="0"/>
    <m/>
    <m/>
    <m/>
    <m/>
    <n v="0.92900000000000005"/>
    <n v="16722000"/>
    <m/>
    <m/>
    <n v="0"/>
    <m/>
    <m/>
    <m/>
    <m/>
    <m/>
    <n v="0"/>
    <m/>
    <m/>
    <m/>
    <m/>
    <m/>
    <n v="0"/>
    <m/>
    <m/>
    <m/>
    <m/>
    <m/>
    <n v="0"/>
    <m/>
    <m/>
    <m/>
    <m/>
    <n v="3.5000000000000003E-2"/>
    <n v="630000.00000000012"/>
    <m/>
    <m/>
    <m/>
    <m/>
    <n v="3.5999999999999997E-2"/>
    <n v="648000"/>
    <m/>
    <m/>
    <m/>
    <m/>
    <m/>
    <n v="0"/>
    <m/>
    <m/>
    <m/>
    <m/>
    <m/>
    <n v="0"/>
    <m/>
    <m/>
    <m/>
    <m/>
    <n v="1"/>
    <n v="18000000"/>
  </r>
  <r>
    <m/>
    <n v="7"/>
    <n v="7"/>
    <s v="MN"/>
    <n v="22"/>
    <s v="MN 22"/>
    <s v="7207-20"/>
    <x v="0"/>
    <s v="2014-TH-12"/>
    <s v="S"/>
    <s v="MNDOT"/>
    <m/>
    <s v="IN THE CITY OF GAYLORD, RECONSTRUCTION ON TH 5, TH19 &amp; TH22 FROM THE SOUTH CITY LIMITS TO THE NORTH CITY LIMITS OF GAYLORD (AC PAYBACK IN 2015)"/>
    <s v="089+00.379"/>
    <s v="090+00.710"/>
    <n v="1.7"/>
    <s v="GAYLORD"/>
    <s v="SIBLEY"/>
    <s v="RD"/>
    <s v="1-P "/>
    <s v="1-P "/>
    <m/>
    <s v="GRSU - GRADE AND SURFACE"/>
    <s v="GRADE AND SURFACE"/>
    <s v="NHPP  "/>
    <s v="NHPP"/>
    <m/>
    <m/>
    <n v="2840000"/>
    <n v="0"/>
    <n v="0"/>
    <n v="0"/>
    <n v="0"/>
    <n v="0"/>
    <n v="0"/>
    <n v="3760000"/>
    <n v="0"/>
    <n v="3760000"/>
    <n v="0"/>
    <n v="0"/>
    <n v="0"/>
    <n v="0"/>
    <n v="0"/>
    <n v="0"/>
    <n v="940000"/>
    <n v="0"/>
    <n v="940000"/>
    <n v="0"/>
    <n v="1900000"/>
    <n v="6600000"/>
    <n v="33596935"/>
    <n v="8117000"/>
    <n v="2014"/>
    <m/>
    <m/>
    <m/>
    <m/>
    <m/>
    <m/>
    <s v="YES"/>
    <s v="NO"/>
    <m/>
    <s v="NO"/>
    <s v="NO"/>
    <s v="Yes"/>
    <s v="NO"/>
    <n v="0.82099999999999995"/>
    <n v="771740"/>
    <m/>
    <m/>
    <m/>
    <m/>
    <m/>
    <n v="0"/>
    <m/>
    <n v="0.115"/>
    <n v="108100"/>
    <m/>
    <m/>
    <m/>
    <m/>
    <n v="3.2000000000000001E-2"/>
    <n v="30080"/>
    <m/>
    <m/>
    <m/>
    <m/>
    <m/>
    <n v="0"/>
    <m/>
    <m/>
    <m/>
    <m/>
    <m/>
    <n v="0"/>
    <m/>
    <m/>
    <m/>
    <m/>
    <n v="2.3E-2"/>
    <n v="21620"/>
    <m/>
    <m/>
    <m/>
    <m/>
    <n v="8.9999999999999993E-3"/>
    <n v="8460"/>
    <m/>
    <m/>
    <m/>
    <m/>
    <m/>
    <n v="0"/>
    <m/>
    <m/>
    <m/>
    <m/>
    <m/>
    <n v="0"/>
    <m/>
    <m/>
    <m/>
    <m/>
    <n v="1"/>
    <n v="940000"/>
  </r>
  <r>
    <m/>
    <n v="7"/>
    <n v="7"/>
    <s v="MN"/>
    <n v="22"/>
    <s v="MN 22"/>
    <s v="7207-20AC"/>
    <x v="1"/>
    <s v="2014-TH-12"/>
    <s v="S"/>
    <s v="MNDOT"/>
    <m/>
    <s v="IN THE CITY OF GAYLORD, RECONSTRUCTION ON TH 5, TH19 &amp; TH22 FROM THE SOUTH CITY LIMITS TO THE NORTH CITY LIMITS OF GAYLORD (AC PAYBACK 1 OF 1)"/>
    <s v="089+00.379"/>
    <s v="090+00.710"/>
    <n v="1.7"/>
    <s v="GAYLORD"/>
    <s v="SIBLEY"/>
    <s v="RD"/>
    <s v="1-P "/>
    <s v="1-P "/>
    <m/>
    <s v="GRSU - GRADE AND SURFACE"/>
    <s v="GRADE AND SURFACE"/>
    <s v="NHPP  "/>
    <s v="NHPP"/>
    <m/>
    <m/>
    <n v="3760000"/>
    <n v="0"/>
    <n v="0"/>
    <n v="0"/>
    <n v="0"/>
    <n v="0"/>
    <n v="0"/>
    <n v="0"/>
    <n v="0"/>
    <n v="0"/>
    <n v="0"/>
    <n v="3760000"/>
    <n v="0"/>
    <n v="3760000"/>
    <n v="0"/>
    <n v="0"/>
    <n v="0"/>
    <n v="0"/>
    <n v="0"/>
    <n v="0"/>
    <n v="0"/>
    <n v="6600000"/>
    <n v="78110149"/>
    <n v="25869056"/>
    <n v="2015"/>
    <m/>
    <m/>
    <m/>
    <m/>
    <m/>
    <m/>
    <s v="NO"/>
    <s v="NO"/>
    <m/>
    <s v="NO"/>
    <s v="NO"/>
    <s v="Yes"/>
    <s v="NO"/>
    <n v="0.82099999999999995"/>
    <n v="3086960"/>
    <n v="0"/>
    <n v="0"/>
    <n v="0"/>
    <n v="0"/>
    <n v="0"/>
    <n v="0"/>
    <n v="0"/>
    <n v="0.115"/>
    <n v="432400"/>
    <n v="0"/>
    <n v="0"/>
    <n v="0"/>
    <n v="0"/>
    <n v="3.2000000000000001E-2"/>
    <n v="120320"/>
    <n v="0"/>
    <n v="0"/>
    <n v="0"/>
    <n v="0"/>
    <n v="0"/>
    <n v="0"/>
    <n v="0"/>
    <n v="0"/>
    <n v="0"/>
    <n v="0"/>
    <n v="0"/>
    <n v="0"/>
    <n v="0"/>
    <n v="0"/>
    <n v="0"/>
    <n v="0"/>
    <n v="2.3E-2"/>
    <n v="86480"/>
    <n v="0"/>
    <n v="0"/>
    <n v="0"/>
    <n v="0"/>
    <n v="8.9999999999999993E-3"/>
    <n v="33840"/>
    <n v="0"/>
    <n v="0"/>
    <n v="0"/>
    <n v="0"/>
    <n v="0"/>
    <n v="0"/>
    <n v="0"/>
    <n v="0"/>
    <n v="0"/>
    <n v="0"/>
    <n v="0"/>
    <n v="0"/>
    <m/>
    <m/>
    <m/>
    <m/>
    <n v="1"/>
    <n v="3760000"/>
  </r>
  <r>
    <m/>
    <s v="M"/>
    <s v="M"/>
    <s v="MN"/>
    <n v="999"/>
    <s v="MN999"/>
    <m/>
    <x v="3"/>
    <m/>
    <m/>
    <m/>
    <m/>
    <s v="TRAVELER SAFETY SETASIDE"/>
    <m/>
    <m/>
    <m/>
    <m/>
    <m/>
    <m/>
    <s v=""/>
    <m/>
    <m/>
    <m/>
    <m/>
    <s v=""/>
    <m/>
    <m/>
    <m/>
    <n v="9300000"/>
    <m/>
    <m/>
    <m/>
    <m/>
    <n v="0"/>
    <m/>
    <m/>
    <m/>
    <n v="0"/>
    <m/>
    <m/>
    <m/>
    <n v="0"/>
    <m/>
    <m/>
    <m/>
    <m/>
    <n v="0"/>
    <m/>
    <n v="9300000"/>
    <n v="9300000"/>
    <n v="559002559.54999995"/>
    <n v="230415173.93000001"/>
    <n v="2018"/>
    <m/>
    <m/>
    <m/>
    <m/>
    <m/>
    <m/>
    <m/>
    <m/>
    <m/>
    <m/>
    <m/>
    <m/>
    <m/>
    <m/>
    <n v="0"/>
    <m/>
    <m/>
    <m/>
    <m/>
    <m/>
    <n v="0"/>
    <m/>
    <m/>
    <n v="0"/>
    <m/>
    <m/>
    <m/>
    <m/>
    <n v="1"/>
    <n v="9300000"/>
    <m/>
    <m/>
    <m/>
    <m/>
    <m/>
    <n v="0"/>
    <m/>
    <m/>
    <m/>
    <m/>
    <m/>
    <n v="0"/>
    <m/>
    <m/>
    <m/>
    <m/>
    <m/>
    <n v="0"/>
    <m/>
    <m/>
    <m/>
    <m/>
    <m/>
    <n v="0"/>
    <m/>
    <m/>
    <m/>
    <m/>
    <m/>
    <n v="0"/>
    <m/>
    <m/>
    <m/>
    <m/>
    <m/>
    <n v="0"/>
    <m/>
    <m/>
    <m/>
    <m/>
    <n v="1"/>
    <n v="9300000"/>
  </r>
  <r>
    <m/>
    <s v="M"/>
    <s v="M"/>
    <s v="MN"/>
    <n v="999"/>
    <s v="MN999"/>
    <m/>
    <x v="4"/>
    <m/>
    <m/>
    <m/>
    <m/>
    <s v="TRAVELER SAFETY SETASIDE"/>
    <m/>
    <m/>
    <m/>
    <m/>
    <m/>
    <m/>
    <s v=""/>
    <m/>
    <m/>
    <m/>
    <m/>
    <s v=""/>
    <m/>
    <m/>
    <m/>
    <n v="9300000"/>
    <m/>
    <m/>
    <m/>
    <m/>
    <n v="0"/>
    <m/>
    <m/>
    <m/>
    <n v="0"/>
    <m/>
    <m/>
    <m/>
    <n v="0"/>
    <m/>
    <m/>
    <m/>
    <m/>
    <n v="0"/>
    <m/>
    <n v="9300000"/>
    <n v="9300000"/>
    <n v="559002559.54999995"/>
    <n v="230415173.93000001"/>
    <n v="2019"/>
    <m/>
    <m/>
    <m/>
    <m/>
    <m/>
    <m/>
    <m/>
    <m/>
    <m/>
    <m/>
    <m/>
    <m/>
    <m/>
    <m/>
    <n v="0"/>
    <m/>
    <m/>
    <m/>
    <m/>
    <m/>
    <n v="0"/>
    <m/>
    <m/>
    <n v="0"/>
    <m/>
    <m/>
    <m/>
    <m/>
    <n v="1"/>
    <n v="9300000"/>
    <m/>
    <m/>
    <m/>
    <m/>
    <m/>
    <n v="0"/>
    <m/>
    <m/>
    <m/>
    <m/>
    <m/>
    <n v="0"/>
    <m/>
    <m/>
    <m/>
    <m/>
    <m/>
    <n v="0"/>
    <m/>
    <m/>
    <m/>
    <m/>
    <m/>
    <n v="0"/>
    <m/>
    <m/>
    <m/>
    <m/>
    <m/>
    <n v="0"/>
    <m/>
    <m/>
    <m/>
    <m/>
    <m/>
    <n v="0"/>
    <m/>
    <m/>
    <m/>
    <m/>
    <n v="1"/>
    <n v="9300000"/>
  </r>
  <r>
    <m/>
    <s v="M"/>
    <s v="M"/>
    <s v="MN"/>
    <n v="999"/>
    <s v="MN999"/>
    <m/>
    <x v="5"/>
    <m/>
    <m/>
    <m/>
    <m/>
    <s v="TRAVELER SAFETY SETASIDE"/>
    <m/>
    <m/>
    <m/>
    <m/>
    <m/>
    <m/>
    <s v=""/>
    <m/>
    <m/>
    <m/>
    <m/>
    <s v=""/>
    <m/>
    <m/>
    <m/>
    <n v="9300000"/>
    <m/>
    <m/>
    <m/>
    <m/>
    <n v="0"/>
    <m/>
    <m/>
    <m/>
    <n v="0"/>
    <m/>
    <m/>
    <m/>
    <n v="0"/>
    <m/>
    <m/>
    <m/>
    <m/>
    <n v="0"/>
    <m/>
    <n v="9300000"/>
    <n v="9300000"/>
    <n v="559002559.54999995"/>
    <n v="230415173.93000001"/>
    <n v="2020"/>
    <m/>
    <m/>
    <m/>
    <m/>
    <m/>
    <m/>
    <m/>
    <m/>
    <m/>
    <m/>
    <m/>
    <m/>
    <m/>
    <m/>
    <n v="0"/>
    <m/>
    <m/>
    <m/>
    <m/>
    <m/>
    <n v="0"/>
    <m/>
    <m/>
    <n v="0"/>
    <m/>
    <m/>
    <m/>
    <m/>
    <n v="1"/>
    <n v="9300000"/>
    <m/>
    <m/>
    <m/>
    <m/>
    <m/>
    <n v="0"/>
    <m/>
    <m/>
    <m/>
    <m/>
    <m/>
    <n v="0"/>
    <m/>
    <m/>
    <m/>
    <m/>
    <m/>
    <n v="0"/>
    <m/>
    <m/>
    <m/>
    <m/>
    <m/>
    <n v="0"/>
    <m/>
    <m/>
    <m/>
    <m/>
    <m/>
    <n v="0"/>
    <m/>
    <m/>
    <m/>
    <m/>
    <m/>
    <n v="0"/>
    <m/>
    <m/>
    <m/>
    <m/>
    <n v="1"/>
    <n v="9300000"/>
  </r>
  <r>
    <m/>
    <s v="M"/>
    <s v="M"/>
    <s v="MN"/>
    <n v="999"/>
    <s v="MN999"/>
    <m/>
    <x v="6"/>
    <m/>
    <m/>
    <m/>
    <m/>
    <s v="TRAVELER SAFETY SETASIDE"/>
    <m/>
    <m/>
    <m/>
    <m/>
    <m/>
    <m/>
    <s v=""/>
    <m/>
    <m/>
    <m/>
    <m/>
    <s v=""/>
    <m/>
    <m/>
    <m/>
    <n v="9300000"/>
    <m/>
    <m/>
    <m/>
    <m/>
    <n v="0"/>
    <m/>
    <m/>
    <m/>
    <n v="0"/>
    <m/>
    <m/>
    <m/>
    <n v="0"/>
    <m/>
    <m/>
    <m/>
    <m/>
    <n v="0"/>
    <m/>
    <n v="9300000"/>
    <n v="9300000"/>
    <n v="559002559.54999995"/>
    <n v="230415173.93000001"/>
    <n v="2021"/>
    <m/>
    <m/>
    <m/>
    <m/>
    <m/>
    <m/>
    <m/>
    <m/>
    <m/>
    <m/>
    <m/>
    <m/>
    <m/>
    <m/>
    <n v="0"/>
    <m/>
    <m/>
    <m/>
    <m/>
    <m/>
    <n v="0"/>
    <m/>
    <m/>
    <n v="0"/>
    <m/>
    <m/>
    <m/>
    <m/>
    <n v="1"/>
    <n v="9300000"/>
    <m/>
    <m/>
    <m/>
    <m/>
    <m/>
    <n v="0"/>
    <m/>
    <m/>
    <m/>
    <m/>
    <m/>
    <n v="0"/>
    <m/>
    <m/>
    <m/>
    <m/>
    <m/>
    <n v="0"/>
    <m/>
    <m/>
    <m/>
    <m/>
    <m/>
    <n v="0"/>
    <m/>
    <m/>
    <m/>
    <m/>
    <m/>
    <n v="0"/>
    <m/>
    <m/>
    <m/>
    <m/>
    <m/>
    <n v="0"/>
    <m/>
    <m/>
    <m/>
    <m/>
    <n v="1"/>
    <n v="9300000"/>
  </r>
  <r>
    <m/>
    <s v="M"/>
    <s v="M"/>
    <s v="MN"/>
    <n v="999"/>
    <s v="MN999"/>
    <m/>
    <x v="7"/>
    <m/>
    <m/>
    <m/>
    <m/>
    <s v="TRAVELER SAFETY SETASIDE"/>
    <m/>
    <m/>
    <m/>
    <m/>
    <m/>
    <m/>
    <s v=""/>
    <m/>
    <m/>
    <m/>
    <m/>
    <s v=""/>
    <m/>
    <m/>
    <m/>
    <n v="9300000"/>
    <m/>
    <m/>
    <m/>
    <m/>
    <n v="0"/>
    <m/>
    <m/>
    <m/>
    <n v="0"/>
    <m/>
    <m/>
    <m/>
    <n v="0"/>
    <m/>
    <m/>
    <m/>
    <m/>
    <n v="0"/>
    <m/>
    <n v="9300000"/>
    <n v="9300000"/>
    <n v="559002559.54999995"/>
    <n v="230415173.93000001"/>
    <n v="2022"/>
    <m/>
    <m/>
    <m/>
    <m/>
    <m/>
    <m/>
    <m/>
    <m/>
    <m/>
    <m/>
    <m/>
    <m/>
    <m/>
    <m/>
    <n v="0"/>
    <m/>
    <m/>
    <m/>
    <m/>
    <m/>
    <n v="0"/>
    <m/>
    <m/>
    <n v="0"/>
    <m/>
    <m/>
    <m/>
    <m/>
    <n v="1"/>
    <n v="9300000"/>
    <m/>
    <m/>
    <m/>
    <m/>
    <m/>
    <n v="0"/>
    <m/>
    <m/>
    <m/>
    <m/>
    <m/>
    <n v="0"/>
    <m/>
    <m/>
    <m/>
    <m/>
    <m/>
    <n v="0"/>
    <m/>
    <m/>
    <m/>
    <m/>
    <m/>
    <n v="0"/>
    <m/>
    <m/>
    <m/>
    <m/>
    <m/>
    <n v="0"/>
    <m/>
    <m/>
    <m/>
    <m/>
    <m/>
    <n v="0"/>
    <m/>
    <m/>
    <m/>
    <m/>
    <n v="1"/>
    <n v="9300000"/>
  </r>
  <r>
    <m/>
    <s v="M"/>
    <s v="M"/>
    <s v="MN"/>
    <n v="999"/>
    <s v="MN999"/>
    <m/>
    <x v="8"/>
    <m/>
    <m/>
    <m/>
    <m/>
    <s v="TRAVELER SAFETY SETASIDE"/>
    <m/>
    <m/>
    <m/>
    <m/>
    <m/>
    <m/>
    <s v=""/>
    <m/>
    <m/>
    <m/>
    <m/>
    <s v=""/>
    <m/>
    <m/>
    <m/>
    <n v="9300000"/>
    <m/>
    <m/>
    <m/>
    <m/>
    <n v="0"/>
    <m/>
    <m/>
    <m/>
    <n v="0"/>
    <m/>
    <m/>
    <m/>
    <n v="0"/>
    <m/>
    <m/>
    <m/>
    <m/>
    <n v="0"/>
    <m/>
    <n v="9300000"/>
    <n v="9300000"/>
    <n v="559002559.54999995"/>
    <n v="230415173.93000001"/>
    <n v="2023"/>
    <m/>
    <m/>
    <m/>
    <m/>
    <m/>
    <m/>
    <m/>
    <m/>
    <m/>
    <m/>
    <m/>
    <m/>
    <m/>
    <m/>
    <n v="0"/>
    <m/>
    <m/>
    <m/>
    <m/>
    <m/>
    <n v="0"/>
    <m/>
    <m/>
    <n v="0"/>
    <m/>
    <m/>
    <m/>
    <m/>
    <n v="1"/>
    <n v="9300000"/>
    <m/>
    <m/>
    <m/>
    <m/>
    <m/>
    <n v="0"/>
    <m/>
    <m/>
    <m/>
    <m/>
    <m/>
    <n v="0"/>
    <m/>
    <m/>
    <m/>
    <m/>
    <m/>
    <n v="0"/>
    <m/>
    <m/>
    <m/>
    <m/>
    <m/>
    <n v="0"/>
    <m/>
    <m/>
    <m/>
    <m/>
    <m/>
    <n v="0"/>
    <m/>
    <m/>
    <m/>
    <m/>
    <m/>
    <n v="0"/>
    <m/>
    <m/>
    <m/>
    <m/>
    <n v="1"/>
    <n v="9300000"/>
  </r>
  <r>
    <m/>
    <n v="3"/>
    <n v="3"/>
    <s v="MN"/>
    <n v="4"/>
    <s v="MN 4"/>
    <s v="7301-35"/>
    <x v="1"/>
    <s v="2015-27"/>
    <s v="S"/>
    <s v="MNDOT"/>
    <m/>
    <s v="REPLACE BRIDGE #5917 OVER SAUK RIVER, 1.1 MI S OF I-94, NEW BR. NO. 73047"/>
    <s v="164+00.653"/>
    <s v="164+00.667"/>
    <n v="0.2"/>
    <m/>
    <s v="STEARNS"/>
    <s v="BR"/>
    <s v="1-B "/>
    <s v="1-B"/>
    <m/>
    <s v="BRPC - BRIDGE REPLACEMENT OR CONSTRUCTION"/>
    <s v="BRIDGE REPLACEMENT"/>
    <s v="SF  "/>
    <s v="SF"/>
    <m/>
    <m/>
    <n v="1481971"/>
    <n v="0"/>
    <n v="0"/>
    <n v="0"/>
    <n v="0"/>
    <n v="0"/>
    <n v="0"/>
    <n v="0"/>
    <n v="0"/>
    <n v="0"/>
    <n v="0"/>
    <n v="0"/>
    <n v="0"/>
    <n v="0"/>
    <n v="0"/>
    <n v="0"/>
    <n v="0"/>
    <n v="0"/>
    <n v="0"/>
    <n v="0"/>
    <n v="0"/>
    <n v="0"/>
    <n v="0"/>
    <n v="0"/>
    <n v="0"/>
    <n v="0"/>
    <n v="1481971"/>
    <n v="0"/>
    <n v="1481971"/>
    <n v="0"/>
    <n v="0"/>
    <n v="1481971"/>
    <n v="10782595"/>
    <n v="1481971"/>
    <n v="2015"/>
    <m/>
    <m/>
    <m/>
    <m/>
    <n v="0"/>
    <m/>
    <m/>
    <m/>
    <m/>
    <n v="1"/>
    <n v="1481971"/>
    <m/>
    <m/>
    <n v="0"/>
    <m/>
    <m/>
    <m/>
    <m/>
    <m/>
    <n v="0"/>
    <m/>
    <m/>
    <m/>
    <m/>
    <m/>
    <n v="0"/>
    <m/>
    <m/>
    <m/>
    <m/>
    <m/>
    <n v="0"/>
    <m/>
    <m/>
    <m/>
    <m/>
    <m/>
    <n v="0"/>
    <m/>
    <m/>
    <m/>
    <m/>
    <m/>
    <n v="0"/>
    <m/>
    <m/>
    <m/>
    <m/>
    <m/>
    <n v="0"/>
    <m/>
    <m/>
    <m/>
    <m/>
    <m/>
    <n v="0"/>
    <m/>
    <m/>
    <m/>
    <m/>
    <n v="1"/>
    <n v="1481971"/>
  </r>
  <r>
    <m/>
    <s v="C"/>
    <s v="C"/>
    <s v="MN"/>
    <n v="999"/>
    <s v="MN999"/>
    <m/>
    <x v="6"/>
    <m/>
    <m/>
    <m/>
    <m/>
    <s v="RCIP SETASIDE"/>
    <m/>
    <m/>
    <m/>
    <m/>
    <m/>
    <m/>
    <s v=""/>
    <m/>
    <m/>
    <m/>
    <m/>
    <s v=""/>
    <m/>
    <m/>
    <m/>
    <n v="9000000"/>
    <m/>
    <m/>
    <m/>
    <m/>
    <n v="0"/>
    <m/>
    <m/>
    <m/>
    <n v="0"/>
    <m/>
    <m/>
    <m/>
    <n v="0"/>
    <m/>
    <m/>
    <m/>
    <m/>
    <n v="0"/>
    <m/>
    <n v="9000000"/>
    <n v="9000000"/>
    <n v="559002559.54999995"/>
    <n v="230415173.93000001"/>
    <n v="2021"/>
    <m/>
    <m/>
    <m/>
    <m/>
    <m/>
    <m/>
    <m/>
    <m/>
    <m/>
    <m/>
    <m/>
    <m/>
    <m/>
    <m/>
    <n v="0"/>
    <m/>
    <m/>
    <m/>
    <m/>
    <m/>
    <n v="0"/>
    <m/>
    <m/>
    <n v="0"/>
    <m/>
    <m/>
    <m/>
    <m/>
    <m/>
    <n v="0"/>
    <m/>
    <m/>
    <m/>
    <m/>
    <m/>
    <n v="0"/>
    <m/>
    <m/>
    <m/>
    <m/>
    <m/>
    <n v="0"/>
    <m/>
    <m/>
    <m/>
    <m/>
    <m/>
    <n v="0"/>
    <m/>
    <m/>
    <m/>
    <m/>
    <m/>
    <n v="0"/>
    <m/>
    <m/>
    <m/>
    <m/>
    <n v="1"/>
    <n v="9000000"/>
    <m/>
    <m/>
    <m/>
    <m/>
    <m/>
    <n v="0"/>
    <m/>
    <m/>
    <m/>
    <m/>
    <n v="1"/>
    <n v="9000000"/>
  </r>
  <r>
    <m/>
    <n v="3"/>
    <n v="3"/>
    <s v="MN"/>
    <n v="15"/>
    <s v="MN 15"/>
    <s v="7302-22"/>
    <x v="1"/>
    <m/>
    <s v="S"/>
    <s v="MNDOT"/>
    <n v="3"/>
    <s v="MEEKER/STEARNS CO LINE TO KIMBALL, MILL AND OVERLAY"/>
    <m/>
    <m/>
    <m/>
    <m/>
    <s v="STEARNS"/>
    <s v="SC"/>
    <s v=" "/>
    <m/>
    <m/>
    <s v="PVTR - PAVEMENT RESURFACE AND REHABILITATION"/>
    <s v="MILL AND OVERLAY"/>
    <s v="NHPP SF "/>
    <s v="NHPP"/>
    <s v="SF"/>
    <m/>
    <n v="838041"/>
    <n v="0"/>
    <n v="0"/>
    <n v="0"/>
    <n v="670433"/>
    <n v="0"/>
    <n v="0"/>
    <n v="0"/>
    <n v="0"/>
    <n v="0"/>
    <n v="0"/>
    <n v="0"/>
    <n v="670433"/>
    <n v="670433"/>
    <n v="0"/>
    <n v="670433"/>
    <n v="0"/>
    <n v="0"/>
    <n v="0"/>
    <n v="0"/>
    <n v="0"/>
    <n v="0"/>
    <n v="0"/>
    <n v="0"/>
    <n v="0"/>
    <n v="0"/>
    <n v="167608"/>
    <n v="0"/>
    <n v="167608"/>
    <n v="0"/>
    <n v="0"/>
    <n v="838041"/>
    <n v="25615028"/>
    <n v="5052579"/>
    <n v="2015"/>
    <m/>
    <m/>
    <s v="Do Not Know"/>
    <n v="0.88500000000000001"/>
    <n v="741666.28500000003"/>
    <m/>
    <m/>
    <m/>
    <m/>
    <m/>
    <n v="0"/>
    <m/>
    <n v="0.115"/>
    <n v="96374.715000000011"/>
    <s v="Pavement markings"/>
    <m/>
    <m/>
    <m/>
    <m/>
    <n v="0"/>
    <m/>
    <m/>
    <m/>
    <m/>
    <m/>
    <n v="0"/>
    <m/>
    <m/>
    <m/>
    <m/>
    <m/>
    <n v="0"/>
    <m/>
    <m/>
    <m/>
    <m/>
    <m/>
    <n v="0"/>
    <m/>
    <m/>
    <m/>
    <m/>
    <m/>
    <n v="0"/>
    <m/>
    <m/>
    <m/>
    <m/>
    <m/>
    <n v="0"/>
    <m/>
    <m/>
    <m/>
    <m/>
    <m/>
    <n v="0"/>
    <m/>
    <m/>
    <m/>
    <m/>
    <n v="1"/>
    <n v="838041"/>
  </r>
  <r>
    <m/>
    <n v="3"/>
    <n v="3"/>
    <s v="MN"/>
    <n v="15"/>
    <s v="MN 15"/>
    <s v="7303-48"/>
    <x v="0"/>
    <m/>
    <s v="S"/>
    <s v="MNDOT"/>
    <n v="3"/>
    <s v="**TED10** CONSTRUCT NEW INTERCHANGE AT TH 15 AND 33RD STREET IN ST CLOUD AND WAITE PARK, NEW BRIDGE #73046"/>
    <s v="147+00.771"/>
    <s v="147+00.771"/>
    <n v="0.5"/>
    <s v="SAINT CLOUD"/>
    <s v="STEARNS"/>
    <s v="AM"/>
    <s v=" "/>
    <m/>
    <m/>
    <s v="GSBR - GRADE, SURFACE AND BRIDGE"/>
    <s v="GRADE AND BRIDGE"/>
    <s v="BF LF "/>
    <s v="BF"/>
    <s v="LF"/>
    <m/>
    <n v="12400000"/>
    <n v="0"/>
    <n v="0"/>
    <n v="0"/>
    <n v="0"/>
    <n v="0"/>
    <n v="0"/>
    <n v="0"/>
    <n v="0"/>
    <n v="0"/>
    <n v="0"/>
    <n v="0"/>
    <n v="0"/>
    <n v="0"/>
    <n v="0"/>
    <n v="0"/>
    <n v="0"/>
    <n v="0"/>
    <n v="0"/>
    <n v="0"/>
    <n v="4000000"/>
    <n v="0"/>
    <n v="0"/>
    <n v="0"/>
    <n v="0"/>
    <n v="0"/>
    <n v="0"/>
    <n v="0"/>
    <n v="0"/>
    <n v="8400000"/>
    <n v="4000000"/>
    <n v="12400000"/>
    <n v="11238328"/>
    <n v="0"/>
    <n v="2014"/>
    <m/>
    <m/>
    <s v="TED"/>
    <m/>
    <n v="0"/>
    <m/>
    <m/>
    <m/>
    <m/>
    <m/>
    <n v="0"/>
    <m/>
    <m/>
    <n v="0"/>
    <m/>
    <m/>
    <m/>
    <m/>
    <m/>
    <n v="0"/>
    <m/>
    <m/>
    <m/>
    <m/>
    <m/>
    <n v="0"/>
    <m/>
    <m/>
    <m/>
    <m/>
    <m/>
    <n v="0"/>
    <m/>
    <m/>
    <m/>
    <m/>
    <m/>
    <n v="0"/>
    <m/>
    <m/>
    <m/>
    <m/>
    <m/>
    <n v="0"/>
    <m/>
    <m/>
    <m/>
    <m/>
    <n v="1"/>
    <n v="8400000"/>
    <m/>
    <m/>
    <m/>
    <m/>
    <m/>
    <n v="0"/>
    <m/>
    <m/>
    <m/>
    <m/>
    <n v="1"/>
    <n v="8400000"/>
  </r>
  <r>
    <n v="168"/>
    <n v="3"/>
    <n v="3"/>
    <s v="MN"/>
    <n v="23"/>
    <s v="MN 23"/>
    <s v="7305-117"/>
    <x v="1"/>
    <s v="2015-29"/>
    <s v="S"/>
    <s v="MNDOT"/>
    <m/>
    <s v="RURAL INTERSECTION WARNING SYSTEM AT STEARNS  CR 158 COLD SPRING GRANITE"/>
    <s v="188+00.481"/>
    <s v="188+00.481"/>
    <n v="0"/>
    <s v="COLD SPRING"/>
    <s v="STEARNS"/>
    <s v="SC"/>
    <s v="7-IRC-P "/>
    <s v="7-IRC-P"/>
    <m/>
    <s v="APPU - APPURTENANCES"/>
    <s v="TURN LANES"/>
    <s v="SF  "/>
    <s v="SF"/>
    <m/>
    <m/>
    <n v="145000"/>
    <n v="0"/>
    <n v="0"/>
    <n v="0"/>
    <n v="0"/>
    <n v="0"/>
    <n v="0"/>
    <n v="0"/>
    <m/>
    <n v="0"/>
    <n v="0"/>
    <n v="0"/>
    <n v="0"/>
    <m/>
    <n v="0"/>
    <n v="0"/>
    <n v="0"/>
    <n v="0"/>
    <n v="0"/>
    <n v="0"/>
    <n v="0"/>
    <n v="0"/>
    <n v="0"/>
    <n v="0"/>
    <n v="0"/>
    <n v="0"/>
    <n v="145000"/>
    <n v="0"/>
    <n v="145000"/>
    <n v="0"/>
    <n v="0"/>
    <n v="145000"/>
    <n v="26415028"/>
    <n v="5397579"/>
    <n v="2015"/>
    <m/>
    <m/>
    <m/>
    <m/>
    <n v="0"/>
    <m/>
    <m/>
    <m/>
    <m/>
    <m/>
    <n v="0"/>
    <m/>
    <m/>
    <n v="0"/>
    <m/>
    <m/>
    <m/>
    <m/>
    <n v="1"/>
    <n v="145000"/>
    <s v="Sustained crash locations"/>
    <m/>
    <m/>
    <m/>
    <m/>
    <n v="0"/>
    <m/>
    <m/>
    <m/>
    <m/>
    <m/>
    <n v="0"/>
    <m/>
    <m/>
    <m/>
    <m/>
    <m/>
    <n v="0"/>
    <m/>
    <m/>
    <m/>
    <m/>
    <m/>
    <n v="0"/>
    <m/>
    <m/>
    <m/>
    <m/>
    <m/>
    <n v="0"/>
    <m/>
    <m/>
    <m/>
    <m/>
    <m/>
    <n v="0"/>
    <m/>
    <m/>
    <m/>
    <m/>
    <n v="1"/>
    <n v="145000"/>
  </r>
  <r>
    <m/>
    <n v="3"/>
    <n v="3"/>
    <s v="MN"/>
    <n v="23"/>
    <s v="MN 23"/>
    <s v="7305-119"/>
    <x v="0"/>
    <s v="2014-00"/>
    <s v="S"/>
    <s v="MNDOT"/>
    <n v="3"/>
    <s v="**ADA** 2014 ADA PROJECT TH 23 IN ST. CLOUD AND WAITE PARK, INCLUDE FIBER OPTIC"/>
    <s v="202+00.631"/>
    <s v="203+01.063"/>
    <n v="1.5"/>
    <s v="MULTI"/>
    <s v="STEARNS"/>
    <s v="SC"/>
    <s v="1-M "/>
    <s v="1-M"/>
    <m/>
    <s v="APPU - APPURTENANCES"/>
    <s v="SPOT IMPROVEMENT"/>
    <s v="SF  "/>
    <s v="SF"/>
    <m/>
    <m/>
    <n v="460000"/>
    <n v="0"/>
    <n v="0"/>
    <n v="0"/>
    <n v="0"/>
    <n v="0"/>
    <n v="0"/>
    <n v="0"/>
    <n v="0"/>
    <n v="0"/>
    <n v="0"/>
    <n v="0"/>
    <n v="0"/>
    <n v="0"/>
    <n v="0"/>
    <n v="0"/>
    <n v="0"/>
    <n v="0"/>
    <n v="0"/>
    <n v="0"/>
    <n v="0"/>
    <n v="0"/>
    <n v="0"/>
    <n v="0"/>
    <n v="0"/>
    <n v="0"/>
    <n v="460000"/>
    <n v="0"/>
    <n v="460000"/>
    <n v="0"/>
    <n v="0"/>
    <n v="460000"/>
    <n v="16498328"/>
    <n v="9131562"/>
    <n v="2014"/>
    <m/>
    <m/>
    <s v="ADA"/>
    <m/>
    <n v="0"/>
    <m/>
    <m/>
    <m/>
    <m/>
    <m/>
    <n v="0"/>
    <m/>
    <m/>
    <n v="0"/>
    <m/>
    <m/>
    <m/>
    <m/>
    <m/>
    <n v="0"/>
    <m/>
    <m/>
    <m/>
    <m/>
    <m/>
    <n v="0"/>
    <m/>
    <m/>
    <m/>
    <m/>
    <m/>
    <n v="0"/>
    <m/>
    <m/>
    <m/>
    <m/>
    <m/>
    <n v="0"/>
    <m/>
    <m/>
    <m/>
    <m/>
    <n v="1"/>
    <n v="460000"/>
    <m/>
    <m/>
    <m/>
    <m/>
    <m/>
    <n v="0"/>
    <m/>
    <m/>
    <m/>
    <m/>
    <m/>
    <n v="0"/>
    <m/>
    <m/>
    <m/>
    <m/>
    <n v="1"/>
    <n v="460000"/>
  </r>
  <r>
    <m/>
    <n v="3"/>
    <n v="3"/>
    <s v="US"/>
    <n v="71"/>
    <s v="US 71"/>
    <s v="7318-38"/>
    <x v="2"/>
    <m/>
    <s v="S"/>
    <s v="MNDOT"/>
    <m/>
    <s v="E JCT TH 55 IN BELGRADE TO I94 IN SAUK CENTRE, MILL AND OVERLAY"/>
    <m/>
    <m/>
    <m/>
    <m/>
    <m/>
    <s v="RS"/>
    <s v="1-P "/>
    <s v="1-P"/>
    <m/>
    <s v="PVTR - PAVEMENT RESURFACE AND REHABILITATION"/>
    <s v="MILL AND OVERLAY"/>
    <s v="NHPP SF "/>
    <s v="NHPP"/>
    <s v="SF"/>
    <m/>
    <n v="6214549"/>
    <n v="0"/>
    <n v="0"/>
    <n v="0"/>
    <n v="4971639"/>
    <n v="0"/>
    <n v="0"/>
    <n v="0"/>
    <n v="0"/>
    <n v="0"/>
    <n v="0"/>
    <n v="0"/>
    <n v="4971639"/>
    <n v="4971639"/>
    <n v="0"/>
    <n v="4971639"/>
    <n v="0"/>
    <n v="0"/>
    <n v="0"/>
    <n v="0"/>
    <n v="0"/>
    <n v="0"/>
    <n v="0"/>
    <n v="0"/>
    <n v="0"/>
    <n v="0"/>
    <n v="1242910"/>
    <n v="0"/>
    <n v="1242910"/>
    <n v="0"/>
    <n v="0"/>
    <n v="6214549"/>
    <n v="29257783"/>
    <n v="8798474"/>
    <n v="2016"/>
    <m/>
    <m/>
    <s v="Do Not Know"/>
    <n v="0.88500000000000001"/>
    <n v="5499875.8650000002"/>
    <m/>
    <m/>
    <m/>
    <m/>
    <m/>
    <n v="0"/>
    <m/>
    <n v="0.115"/>
    <n v="714673.13500000001"/>
    <s v="Pavement markings"/>
    <m/>
    <m/>
    <m/>
    <m/>
    <n v="0"/>
    <m/>
    <m/>
    <m/>
    <m/>
    <m/>
    <n v="0"/>
    <m/>
    <m/>
    <m/>
    <m/>
    <m/>
    <n v="0"/>
    <m/>
    <m/>
    <m/>
    <m/>
    <m/>
    <n v="0"/>
    <m/>
    <m/>
    <m/>
    <m/>
    <m/>
    <n v="0"/>
    <m/>
    <m/>
    <m/>
    <m/>
    <m/>
    <n v="0"/>
    <m/>
    <m/>
    <m/>
    <m/>
    <m/>
    <n v="0"/>
    <m/>
    <m/>
    <m/>
    <m/>
    <n v="1"/>
    <n v="6214549"/>
  </r>
  <r>
    <m/>
    <n v="3"/>
    <n v="3"/>
    <s v="MN"/>
    <n v="15"/>
    <s v="MN 15"/>
    <s v="7321-48"/>
    <x v="0"/>
    <s v="2013-00"/>
    <s v="S"/>
    <s v="MNDOT"/>
    <n v="3"/>
    <s v="INSTALL TRAFFIC QUEUE DETECTION SYSTEM BETWEEN 3RD ST. AND 8TH ST. IN ST. CLOUD"/>
    <s v="151+00.066"/>
    <s v="151+00.561"/>
    <n v="0.495"/>
    <s v="SAINT CLOUD"/>
    <s v="STEARNS"/>
    <s v="SC"/>
    <s v="1-SG "/>
    <s v="1-SG"/>
    <m/>
    <s v="TRCD - TRAFFIC CONTROL DEVICES"/>
    <s v="TRAFFIC SIGNAL REVISION"/>
    <s v="SF  "/>
    <s v="SF"/>
    <m/>
    <m/>
    <n v="200000"/>
    <n v="0"/>
    <n v="0"/>
    <n v="0"/>
    <n v="0"/>
    <n v="0"/>
    <n v="0"/>
    <n v="0"/>
    <n v="0"/>
    <n v="0"/>
    <n v="0"/>
    <n v="0"/>
    <n v="0"/>
    <n v="0"/>
    <n v="0"/>
    <n v="0"/>
    <n v="0"/>
    <n v="0"/>
    <n v="0"/>
    <n v="0"/>
    <n v="0"/>
    <n v="0"/>
    <n v="0"/>
    <n v="0"/>
    <n v="0"/>
    <n v="0"/>
    <n v="200000"/>
    <n v="0"/>
    <n v="200000"/>
    <n v="0"/>
    <n v="0"/>
    <n v="200000"/>
    <n v="59879139.5"/>
    <n v="35620458"/>
    <n v="2014"/>
    <m/>
    <m/>
    <m/>
    <m/>
    <n v="0"/>
    <m/>
    <m/>
    <m/>
    <m/>
    <m/>
    <n v="0"/>
    <m/>
    <m/>
    <n v="0"/>
    <m/>
    <m/>
    <m/>
    <m/>
    <n v="1"/>
    <n v="200000"/>
    <s v="Sustained crash locations"/>
    <m/>
    <m/>
    <m/>
    <m/>
    <n v="0"/>
    <m/>
    <m/>
    <m/>
    <m/>
    <m/>
    <n v="0"/>
    <m/>
    <m/>
    <m/>
    <m/>
    <m/>
    <n v="0"/>
    <m/>
    <m/>
    <m/>
    <m/>
    <m/>
    <n v="0"/>
    <m/>
    <m/>
    <m/>
    <m/>
    <m/>
    <n v="0"/>
    <m/>
    <m/>
    <m/>
    <m/>
    <m/>
    <n v="0"/>
    <m/>
    <m/>
    <m/>
    <m/>
    <n v="1"/>
    <n v="200000"/>
  </r>
  <r>
    <m/>
    <n v="3"/>
    <n v="3"/>
    <s v="MN"/>
    <n v="15"/>
    <s v="MN 15"/>
    <s v="7321-50"/>
    <x v="0"/>
    <s v="2014-00"/>
    <s v="S"/>
    <s v="MNDOT"/>
    <n v="3"/>
    <s v="LANDSCAPING AT TH 15/STEARNS CO. CSAH 120 INTERCHANGE AREA IN ST. CLOUD AND SARTELL"/>
    <s v="152+00.700"/>
    <s v="153+00.100"/>
    <n v="0.4"/>
    <s v="MULTI"/>
    <s v="STEARNS"/>
    <s v="RB"/>
    <s v="1-M "/>
    <s v="1-M"/>
    <m/>
    <s v="APPU - APPURTENANCES"/>
    <s v="LANDSCAPING"/>
    <s v="SF  "/>
    <s v="SF"/>
    <m/>
    <m/>
    <n v="100000"/>
    <n v="0"/>
    <n v="0"/>
    <n v="0"/>
    <n v="0"/>
    <n v="0"/>
    <n v="0"/>
    <n v="0"/>
    <n v="0"/>
    <n v="0"/>
    <n v="0"/>
    <n v="0"/>
    <n v="0"/>
    <n v="0"/>
    <n v="0"/>
    <n v="0"/>
    <n v="0"/>
    <n v="0"/>
    <n v="0"/>
    <n v="0"/>
    <n v="0"/>
    <n v="0"/>
    <n v="0"/>
    <n v="0"/>
    <n v="0"/>
    <n v="0"/>
    <n v="100000"/>
    <n v="0"/>
    <n v="100000"/>
    <n v="0"/>
    <n v="0"/>
    <n v="100000"/>
    <n v="16498328"/>
    <n v="6240000"/>
    <n v="2014"/>
    <m/>
    <m/>
    <m/>
    <m/>
    <n v="0"/>
    <m/>
    <m/>
    <m/>
    <m/>
    <m/>
    <n v="0"/>
    <m/>
    <n v="1"/>
    <n v="100000"/>
    <s v="Other structures"/>
    <m/>
    <m/>
    <m/>
    <m/>
    <n v="0"/>
    <m/>
    <m/>
    <m/>
    <m/>
    <m/>
    <n v="0"/>
    <m/>
    <m/>
    <m/>
    <m/>
    <m/>
    <n v="0"/>
    <m/>
    <m/>
    <m/>
    <m/>
    <m/>
    <n v="0"/>
    <m/>
    <m/>
    <m/>
    <m/>
    <m/>
    <n v="0"/>
    <m/>
    <m/>
    <m/>
    <m/>
    <m/>
    <n v="0"/>
    <m/>
    <m/>
    <m/>
    <m/>
    <m/>
    <n v="0"/>
    <m/>
    <m/>
    <m/>
    <m/>
    <n v="1"/>
    <n v="100000"/>
  </r>
  <r>
    <m/>
    <n v="3"/>
    <n v="3"/>
    <s v="MN"/>
    <n v="15"/>
    <s v="MN 15"/>
    <s v="7321-51"/>
    <x v="2"/>
    <s v="2016-05"/>
    <s v="S"/>
    <s v="MNDOT"/>
    <n v="3"/>
    <s v="0.1 MI N OF JCT TH 23 TO S END OF BRIDGE #05011 OVER MISSISSIPPI RIVER, MILL AND OVERLAY, INCLUDE CONSTRUCT DUAL SB LEFT TURN LANES AT 12TH ST N IN ST. CLOUD"/>
    <s v="152+00.068"/>
    <s v="152+00.068"/>
    <n v="0.05"/>
    <m/>
    <s v="STEARNS"/>
    <s v="SC"/>
    <s v="7-O-P "/>
    <s v="7-O-P"/>
    <m/>
    <s v="APPU - APPURTENANCES"/>
    <s v="TURN LANES"/>
    <s v="NHPP SF "/>
    <s v="NHPP"/>
    <s v="SF"/>
    <m/>
    <n v="1922820"/>
    <n v="0"/>
    <n v="0"/>
    <n v="0"/>
    <n v="1538256"/>
    <n v="0"/>
    <n v="0"/>
    <n v="0"/>
    <n v="0"/>
    <n v="0"/>
    <n v="0"/>
    <n v="0"/>
    <n v="1538256"/>
    <n v="1538256"/>
    <n v="0"/>
    <n v="1538256"/>
    <n v="0"/>
    <n v="0"/>
    <n v="0"/>
    <n v="0"/>
    <n v="0"/>
    <n v="0"/>
    <n v="0"/>
    <n v="0"/>
    <n v="0"/>
    <n v="0"/>
    <n v="384564"/>
    <n v="0"/>
    <n v="384564"/>
    <n v="0"/>
    <n v="0"/>
    <n v="1922820"/>
    <n v="13357144"/>
    <n v="384564"/>
    <n v="2016"/>
    <m/>
    <m/>
    <s v="Do Not Know"/>
    <n v="0.85299999999999998"/>
    <n v="1640165.46"/>
    <m/>
    <m/>
    <m/>
    <m/>
    <m/>
    <n v="0"/>
    <m/>
    <n v="0.115"/>
    <n v="221124.30000000002"/>
    <s v="Pavement markings"/>
    <m/>
    <m/>
    <m/>
    <n v="3.2000000000000001E-2"/>
    <n v="61530.239999999998"/>
    <s v="Sustained crash locations"/>
    <m/>
    <m/>
    <m/>
    <m/>
    <n v="0"/>
    <m/>
    <m/>
    <m/>
    <m/>
    <m/>
    <n v="0"/>
    <m/>
    <m/>
    <m/>
    <m/>
    <m/>
    <n v="0"/>
    <m/>
    <m/>
    <m/>
    <m/>
    <m/>
    <n v="0"/>
    <m/>
    <m/>
    <m/>
    <m/>
    <m/>
    <n v="0"/>
    <m/>
    <m/>
    <m/>
    <m/>
    <m/>
    <n v="0"/>
    <m/>
    <m/>
    <m/>
    <m/>
    <n v="1"/>
    <n v="1922820"/>
  </r>
  <r>
    <m/>
    <n v="3"/>
    <n v="3"/>
    <s v="MN"/>
    <n v="15"/>
    <s v="MN 15"/>
    <s v="7321-51S"/>
    <x v="2"/>
    <m/>
    <s v="S"/>
    <s v="MNDOT"/>
    <n v="3"/>
    <s v="0.1 MI N OF JCT TH 23 TO S END OF BRIDGE #05011 OVER MISSISSIPPI RIVER, MILL AND OVERLAY, INCLUDE CONSTRUCT DUAL SB LEFT TURN LANES AT 12TH ST N IN ST. CLOUD (HSIP PROJECT)"/>
    <s v="152+00.068"/>
    <s v="152+00.068"/>
    <n v="0.05"/>
    <m/>
    <s v="STEARNS"/>
    <s v="SC"/>
    <s v="7-O-P "/>
    <s v="7-O-P"/>
    <m/>
    <s v="APPU - APPURTENANCES"/>
    <s v="TURN LANES"/>
    <s v="HSIP SF "/>
    <s v="HSIP"/>
    <s v="SF"/>
    <m/>
    <n v="360000"/>
    <n v="0"/>
    <n v="0"/>
    <n v="324000"/>
    <n v="0"/>
    <n v="0"/>
    <n v="0"/>
    <n v="0"/>
    <n v="0"/>
    <n v="0"/>
    <n v="0"/>
    <n v="0"/>
    <n v="324000"/>
    <n v="324000"/>
    <n v="0"/>
    <n v="324000"/>
    <n v="0"/>
    <n v="0"/>
    <n v="0"/>
    <n v="0"/>
    <n v="0"/>
    <n v="0"/>
    <n v="0"/>
    <n v="0"/>
    <n v="0"/>
    <n v="0"/>
    <n v="36000"/>
    <n v="0"/>
    <n v="36000"/>
    <n v="0"/>
    <n v="0"/>
    <n v="360000"/>
    <n v="13681144"/>
    <n v="420564"/>
    <n v="2016"/>
    <m/>
    <m/>
    <m/>
    <m/>
    <n v="0"/>
    <m/>
    <m/>
    <m/>
    <m/>
    <m/>
    <n v="0"/>
    <m/>
    <m/>
    <n v="0"/>
    <m/>
    <m/>
    <m/>
    <m/>
    <n v="1"/>
    <n v="360000"/>
    <s v="Sustained crash locations"/>
    <m/>
    <m/>
    <m/>
    <m/>
    <n v="0"/>
    <m/>
    <m/>
    <m/>
    <m/>
    <m/>
    <n v="0"/>
    <m/>
    <m/>
    <m/>
    <m/>
    <m/>
    <n v="0"/>
    <m/>
    <m/>
    <m/>
    <m/>
    <m/>
    <n v="0"/>
    <m/>
    <m/>
    <m/>
    <m/>
    <m/>
    <n v="0"/>
    <m/>
    <m/>
    <m/>
    <m/>
    <m/>
    <n v="0"/>
    <m/>
    <m/>
    <m/>
    <m/>
    <n v="1"/>
    <n v="360000"/>
  </r>
  <r>
    <m/>
    <n v="3"/>
    <n v="3"/>
    <s v="MN"/>
    <n v="238"/>
    <s v="MN 238"/>
    <s v="7323-11"/>
    <x v="9"/>
    <s v="2015-10"/>
    <s v="S"/>
    <s v="MNDOT"/>
    <m/>
    <s v="ALBANY TO UPSALA, RECLAIM INCLUDING .25 MILE URBAN SECTION IN ALBANY"/>
    <s v="00+00.791"/>
    <s v="15+00.076"/>
    <n v="14.22"/>
    <m/>
    <s v="MULTICOUNTY"/>
    <s v="RS"/>
    <s v="1-BPM "/>
    <s v="1-BPM"/>
    <m/>
    <s v="PVTR - PAVEMENT RESURFACE AND REHABILITATION"/>
    <s v="BITUMINOUS RECLAMATION"/>
    <s v="STP Statewide SF "/>
    <s v="STP Statewide"/>
    <s v="SF"/>
    <m/>
    <n v="7110000"/>
    <n v="0"/>
    <n v="0"/>
    <n v="0"/>
    <n v="0"/>
    <n v="0"/>
    <n v="5688000"/>
    <n v="0"/>
    <n v="0"/>
    <n v="0"/>
    <n v="0"/>
    <n v="0"/>
    <n v="5688000"/>
    <n v="5688000"/>
    <n v="0"/>
    <n v="5688000"/>
    <n v="0"/>
    <n v="0"/>
    <n v="0"/>
    <n v="0"/>
    <n v="0"/>
    <n v="0"/>
    <n v="0"/>
    <n v="0"/>
    <n v="0"/>
    <n v="0"/>
    <n v="1422000"/>
    <n v="0"/>
    <n v="1422000"/>
    <n v="0"/>
    <n v="0"/>
    <n v="7110000"/>
    <n v="40985300"/>
    <n v="10572000"/>
    <n v="2017"/>
    <m/>
    <m/>
    <m/>
    <n v="0.88500000000000001"/>
    <n v="6292350"/>
    <m/>
    <m/>
    <m/>
    <m/>
    <m/>
    <n v="0"/>
    <m/>
    <n v="0.115"/>
    <n v="817650"/>
    <s v="Pavement markings"/>
    <m/>
    <m/>
    <m/>
    <m/>
    <n v="0"/>
    <m/>
    <m/>
    <m/>
    <m/>
    <m/>
    <n v="0"/>
    <m/>
    <m/>
    <m/>
    <m/>
    <m/>
    <n v="0"/>
    <m/>
    <m/>
    <m/>
    <m/>
    <m/>
    <n v="0"/>
    <m/>
    <m/>
    <m/>
    <m/>
    <m/>
    <n v="0"/>
    <m/>
    <m/>
    <m/>
    <m/>
    <m/>
    <n v="0"/>
    <m/>
    <m/>
    <m/>
    <m/>
    <m/>
    <n v="0"/>
    <m/>
    <m/>
    <m/>
    <m/>
    <n v="1"/>
    <n v="7110000"/>
  </r>
  <r>
    <m/>
    <n v="3"/>
    <n v="3"/>
    <s v="I"/>
    <n v="94"/>
    <s v="I 94"/>
    <s v="7380-223"/>
    <x v="2"/>
    <s v="2016-02"/>
    <s v="S"/>
    <s v="MNDOT"/>
    <n v="3"/>
    <s v="STEARNS CO. CR 159 AT COLLEGEVILLE E TO CSAH 75 (EB &amp; WB), UNBONDED CONCRETE OVERLAY"/>
    <s v="156+00.326"/>
    <s v="157+00.949"/>
    <n v="1.514"/>
    <m/>
    <s v="STEARNS"/>
    <s v="RC"/>
    <s v="1-P "/>
    <s v="1-P"/>
    <m/>
    <s v="PVTR - PAVEMENT RESURFACE AND REHABILITATION"/>
    <s v="UNBONDED CONCRETE OVERLAY"/>
    <s v="NHPP SF "/>
    <s v="NHPP"/>
    <s v="SF"/>
    <m/>
    <n v="6720000"/>
    <n v="0"/>
    <n v="0"/>
    <n v="0"/>
    <n v="6048000"/>
    <n v="0"/>
    <n v="0"/>
    <n v="0"/>
    <n v="0"/>
    <n v="0"/>
    <n v="0"/>
    <n v="0"/>
    <n v="6048000"/>
    <n v="6048000"/>
    <n v="0"/>
    <n v="6048000"/>
    <n v="0"/>
    <n v="0"/>
    <n v="0"/>
    <n v="0"/>
    <n v="0"/>
    <n v="0"/>
    <n v="0"/>
    <n v="0"/>
    <n v="0"/>
    <n v="0"/>
    <n v="672000"/>
    <n v="0"/>
    <n v="672000"/>
    <n v="0"/>
    <n v="0"/>
    <n v="6720000"/>
    <n v="35305783"/>
    <n v="9470474"/>
    <n v="2016"/>
    <m/>
    <m/>
    <m/>
    <n v="0.88500000000000001"/>
    <n v="5947200"/>
    <m/>
    <m/>
    <m/>
    <m/>
    <m/>
    <n v="0"/>
    <m/>
    <n v="0.115"/>
    <n v="772800"/>
    <s v="Pavement markings"/>
    <m/>
    <m/>
    <m/>
    <m/>
    <n v="0"/>
    <m/>
    <m/>
    <m/>
    <m/>
    <m/>
    <n v="0"/>
    <m/>
    <m/>
    <m/>
    <m/>
    <m/>
    <n v="0"/>
    <m/>
    <m/>
    <m/>
    <m/>
    <m/>
    <n v="0"/>
    <m/>
    <m/>
    <m/>
    <m/>
    <m/>
    <n v="0"/>
    <m/>
    <m/>
    <m/>
    <m/>
    <m/>
    <n v="0"/>
    <m/>
    <m/>
    <m/>
    <m/>
    <m/>
    <n v="0"/>
    <m/>
    <m/>
    <m/>
    <m/>
    <n v="1"/>
    <n v="6720000"/>
  </r>
  <r>
    <m/>
    <n v="3"/>
    <n v="3"/>
    <s v="I"/>
    <n v="94"/>
    <s v="I 94"/>
    <s v="7380-239"/>
    <x v="2"/>
    <s v="2016-04"/>
    <s v="S"/>
    <s v="MNDOT"/>
    <n v="3"/>
    <s v="STEARNS CO. CSAH 75 W OF ST. JOSEPH TO W END OF BR.S #73865 &amp; #73866 OVER SAUK RIVER (EB &amp; WB) UNBONDED CONCRETE OVERLAY"/>
    <s v="157+00.883"/>
    <s v="162+.00.488"/>
    <n v="4.5410000000000004"/>
    <m/>
    <s v="STEARNS"/>
    <s v="RS"/>
    <s v="1-P "/>
    <s v="1-P"/>
    <m/>
    <s v="PVTR - PAVEMENT RESURFACE AND REHABILITATION"/>
    <s v="UNBONDED CONCRETE OVERLAY"/>
    <s v="NHPP SF "/>
    <s v="NHPP"/>
    <s v="SF"/>
    <m/>
    <n v="12960000"/>
    <n v="0"/>
    <n v="0"/>
    <n v="0"/>
    <n v="11664000"/>
    <n v="0"/>
    <n v="0"/>
    <n v="0"/>
    <n v="0"/>
    <n v="0"/>
    <n v="0"/>
    <n v="0"/>
    <n v="11664000"/>
    <n v="11664000"/>
    <n v="0"/>
    <n v="11664000"/>
    <n v="0"/>
    <n v="0"/>
    <n v="0"/>
    <n v="0"/>
    <n v="0"/>
    <n v="0"/>
    <n v="0"/>
    <n v="0"/>
    <n v="0"/>
    <n v="0"/>
    <n v="1296000"/>
    <n v="0"/>
    <n v="1296000"/>
    <n v="0"/>
    <n v="0"/>
    <n v="12960000"/>
    <n v="46969783"/>
    <n v="10766474"/>
    <n v="2016"/>
    <m/>
    <m/>
    <s v="Do Not Know"/>
    <n v="0.88500000000000001"/>
    <n v="11469600"/>
    <m/>
    <m/>
    <m/>
    <m/>
    <m/>
    <n v="0"/>
    <m/>
    <n v="0.115"/>
    <n v="1490400"/>
    <s v="Pavement markings"/>
    <m/>
    <m/>
    <m/>
    <m/>
    <n v="0"/>
    <m/>
    <m/>
    <m/>
    <m/>
    <m/>
    <n v="0"/>
    <m/>
    <m/>
    <m/>
    <m/>
    <m/>
    <n v="0"/>
    <m/>
    <m/>
    <m/>
    <m/>
    <m/>
    <n v="0"/>
    <m/>
    <m/>
    <m/>
    <m/>
    <m/>
    <n v="0"/>
    <m/>
    <m/>
    <m/>
    <m/>
    <m/>
    <n v="0"/>
    <m/>
    <m/>
    <m/>
    <m/>
    <m/>
    <n v="0"/>
    <m/>
    <m/>
    <m/>
    <m/>
    <n v="1"/>
    <n v="12960000"/>
  </r>
  <r>
    <m/>
    <n v="1"/>
    <n v="1"/>
    <s v="MN"/>
    <n v="999"/>
    <s v="MN 999"/>
    <s v="8801-SA-18"/>
    <x v="3"/>
    <m/>
    <m/>
    <m/>
    <m/>
    <s v="DISTRICTWIDE SETASIDE - SUPPLEMENTAL AGREEMENT -2018"/>
    <m/>
    <m/>
    <m/>
    <m/>
    <m/>
    <m/>
    <s v=""/>
    <m/>
    <m/>
    <m/>
    <m/>
    <s v=""/>
    <m/>
    <m/>
    <m/>
    <n v="8000000"/>
    <m/>
    <m/>
    <m/>
    <m/>
    <n v="0"/>
    <m/>
    <m/>
    <m/>
    <n v="0"/>
    <m/>
    <m/>
    <m/>
    <n v="0"/>
    <m/>
    <m/>
    <m/>
    <m/>
    <n v="0"/>
    <m/>
    <n v="8000000"/>
    <n v="8000000"/>
    <n v="559326559.54999995"/>
    <n v="230415173.93000001"/>
    <n v="2018"/>
    <m/>
    <m/>
    <m/>
    <m/>
    <m/>
    <m/>
    <m/>
    <m/>
    <m/>
    <m/>
    <m/>
    <m/>
    <m/>
    <n v="0"/>
    <n v="0"/>
    <m/>
    <m/>
    <m/>
    <m/>
    <m/>
    <n v="0"/>
    <m/>
    <m/>
    <n v="0"/>
    <m/>
    <m/>
    <m/>
    <m/>
    <m/>
    <n v="0"/>
    <m/>
    <m/>
    <m/>
    <m/>
    <m/>
    <n v="0"/>
    <m/>
    <m/>
    <m/>
    <m/>
    <m/>
    <n v="0"/>
    <m/>
    <m/>
    <m/>
    <m/>
    <m/>
    <n v="0"/>
    <m/>
    <m/>
    <m/>
    <m/>
    <m/>
    <n v="0"/>
    <m/>
    <m/>
    <m/>
    <m/>
    <m/>
    <n v="0"/>
    <m/>
    <m/>
    <m/>
    <m/>
    <n v="1"/>
    <n v="8000000"/>
    <s v="Supplemental agreements"/>
    <m/>
    <m/>
    <m/>
    <n v="1"/>
    <n v="8000000"/>
  </r>
  <r>
    <m/>
    <s v="M"/>
    <s v="M"/>
    <s v="MN"/>
    <n v="999"/>
    <s v="MN999"/>
    <m/>
    <x v="3"/>
    <m/>
    <m/>
    <m/>
    <m/>
    <s v="CONSULTANT AGREEMENTS SETASIDE"/>
    <m/>
    <m/>
    <m/>
    <m/>
    <m/>
    <m/>
    <s v=""/>
    <m/>
    <m/>
    <m/>
    <m/>
    <s v=""/>
    <m/>
    <m/>
    <m/>
    <n v="8000000"/>
    <m/>
    <m/>
    <m/>
    <m/>
    <n v="0"/>
    <m/>
    <m/>
    <m/>
    <n v="0"/>
    <m/>
    <m/>
    <m/>
    <n v="0"/>
    <m/>
    <m/>
    <m/>
    <m/>
    <n v="0"/>
    <m/>
    <n v="8000000"/>
    <n v="8000000"/>
    <n v="559326559.54999995"/>
    <n v="230415173.93000001"/>
    <n v="2018"/>
    <m/>
    <m/>
    <m/>
    <m/>
    <m/>
    <m/>
    <m/>
    <m/>
    <m/>
    <m/>
    <m/>
    <m/>
    <m/>
    <m/>
    <n v="0"/>
    <m/>
    <m/>
    <m/>
    <m/>
    <m/>
    <n v="0"/>
    <m/>
    <m/>
    <n v="0"/>
    <m/>
    <m/>
    <m/>
    <m/>
    <m/>
    <n v="0"/>
    <m/>
    <m/>
    <m/>
    <m/>
    <m/>
    <n v="0"/>
    <m/>
    <m/>
    <m/>
    <m/>
    <m/>
    <n v="0"/>
    <m/>
    <m/>
    <m/>
    <m/>
    <m/>
    <n v="0"/>
    <m/>
    <m/>
    <m/>
    <m/>
    <m/>
    <n v="0"/>
    <m/>
    <m/>
    <m/>
    <m/>
    <m/>
    <n v="0"/>
    <m/>
    <m/>
    <m/>
    <m/>
    <n v="1"/>
    <n v="8000000"/>
    <s v="Consultant services"/>
    <m/>
    <m/>
    <m/>
    <n v="1"/>
    <n v="8000000"/>
  </r>
  <r>
    <m/>
    <n v="1"/>
    <n v="1"/>
    <s v="MN"/>
    <n v="999"/>
    <s v="MN 999"/>
    <s v="8801-SA-19"/>
    <x v="4"/>
    <m/>
    <m/>
    <m/>
    <m/>
    <s v="DISTRICTWIDE SETASIDE - SUPPLEMENTAL AGREEMENT -2019"/>
    <m/>
    <m/>
    <m/>
    <m/>
    <m/>
    <m/>
    <s v=""/>
    <m/>
    <m/>
    <m/>
    <m/>
    <s v=""/>
    <m/>
    <m/>
    <m/>
    <n v="8000000"/>
    <m/>
    <m/>
    <m/>
    <m/>
    <n v="0"/>
    <m/>
    <m/>
    <m/>
    <n v="0"/>
    <m/>
    <m/>
    <m/>
    <n v="0"/>
    <m/>
    <m/>
    <m/>
    <m/>
    <n v="0"/>
    <m/>
    <n v="8000000"/>
    <n v="8000000"/>
    <n v="0"/>
    <n v="0"/>
    <n v="2018"/>
    <m/>
    <m/>
    <m/>
    <m/>
    <m/>
    <m/>
    <m/>
    <m/>
    <m/>
    <m/>
    <m/>
    <m/>
    <m/>
    <n v="0"/>
    <n v="0"/>
    <m/>
    <m/>
    <m/>
    <m/>
    <m/>
    <n v="0"/>
    <m/>
    <m/>
    <n v="0"/>
    <m/>
    <m/>
    <m/>
    <m/>
    <m/>
    <n v="0"/>
    <m/>
    <m/>
    <m/>
    <m/>
    <m/>
    <n v="0"/>
    <m/>
    <m/>
    <m/>
    <m/>
    <m/>
    <n v="0"/>
    <m/>
    <m/>
    <m/>
    <m/>
    <m/>
    <n v="0"/>
    <m/>
    <m/>
    <m/>
    <m/>
    <m/>
    <n v="0"/>
    <m/>
    <m/>
    <m/>
    <m/>
    <m/>
    <n v="0"/>
    <m/>
    <m/>
    <m/>
    <m/>
    <n v="1"/>
    <n v="8000000"/>
    <s v="Supplemental agreements"/>
    <m/>
    <m/>
    <m/>
    <n v="1"/>
    <n v="8000000"/>
  </r>
  <r>
    <m/>
    <s v="M"/>
    <s v="M"/>
    <s v="MN"/>
    <n v="999"/>
    <s v="MN999"/>
    <m/>
    <x v="4"/>
    <m/>
    <m/>
    <m/>
    <m/>
    <s v="CONSULTANT AGREEMENTS SETASIDE"/>
    <m/>
    <m/>
    <m/>
    <m/>
    <m/>
    <m/>
    <s v=""/>
    <m/>
    <m/>
    <m/>
    <m/>
    <s v=""/>
    <m/>
    <m/>
    <m/>
    <n v="8000000"/>
    <m/>
    <m/>
    <m/>
    <m/>
    <n v="0"/>
    <m/>
    <m/>
    <m/>
    <n v="0"/>
    <m/>
    <m/>
    <m/>
    <n v="0"/>
    <m/>
    <m/>
    <m/>
    <m/>
    <n v="0"/>
    <m/>
    <n v="8000000"/>
    <n v="8000000"/>
    <n v="559326559.54999995"/>
    <n v="230415173.93000001"/>
    <n v="2019"/>
    <m/>
    <m/>
    <m/>
    <m/>
    <m/>
    <m/>
    <m/>
    <m/>
    <m/>
    <m/>
    <m/>
    <m/>
    <m/>
    <m/>
    <n v="0"/>
    <m/>
    <m/>
    <m/>
    <m/>
    <m/>
    <n v="0"/>
    <m/>
    <m/>
    <n v="0"/>
    <m/>
    <m/>
    <m/>
    <m/>
    <m/>
    <n v="0"/>
    <m/>
    <m/>
    <m/>
    <m/>
    <m/>
    <n v="0"/>
    <m/>
    <m/>
    <m/>
    <m/>
    <m/>
    <n v="0"/>
    <m/>
    <m/>
    <m/>
    <m/>
    <m/>
    <n v="0"/>
    <m/>
    <m/>
    <m/>
    <m/>
    <m/>
    <n v="0"/>
    <m/>
    <m/>
    <m/>
    <m/>
    <m/>
    <n v="0"/>
    <m/>
    <m/>
    <m/>
    <m/>
    <n v="1"/>
    <n v="8000000"/>
    <s v="Consultant services"/>
    <m/>
    <m/>
    <m/>
    <n v="1"/>
    <n v="8000000"/>
  </r>
  <r>
    <m/>
    <n v="1"/>
    <n v="1"/>
    <s v="MN"/>
    <n v="999"/>
    <s v="MN 999"/>
    <s v="8801-SA-20"/>
    <x v="5"/>
    <m/>
    <m/>
    <m/>
    <m/>
    <s v="DISTRICTWIDE SETASIDE - SUPPLEMENTAL AGREEMENT -2020"/>
    <m/>
    <m/>
    <m/>
    <m/>
    <m/>
    <m/>
    <s v=""/>
    <m/>
    <m/>
    <m/>
    <m/>
    <s v=""/>
    <m/>
    <m/>
    <m/>
    <n v="8000000"/>
    <m/>
    <m/>
    <m/>
    <m/>
    <n v="0"/>
    <m/>
    <m/>
    <m/>
    <n v="0"/>
    <m/>
    <m/>
    <m/>
    <n v="0"/>
    <m/>
    <m/>
    <m/>
    <m/>
    <n v="0"/>
    <m/>
    <n v="8000000"/>
    <n v="8000000"/>
    <n v="0"/>
    <n v="0"/>
    <n v="2018"/>
    <m/>
    <m/>
    <m/>
    <m/>
    <m/>
    <m/>
    <m/>
    <m/>
    <m/>
    <m/>
    <m/>
    <m/>
    <m/>
    <n v="0"/>
    <n v="0"/>
    <m/>
    <m/>
    <m/>
    <m/>
    <m/>
    <n v="0"/>
    <m/>
    <m/>
    <n v="0"/>
    <m/>
    <m/>
    <m/>
    <m/>
    <m/>
    <n v="0"/>
    <m/>
    <m/>
    <m/>
    <m/>
    <m/>
    <n v="0"/>
    <m/>
    <m/>
    <m/>
    <m/>
    <m/>
    <n v="0"/>
    <m/>
    <m/>
    <m/>
    <m/>
    <m/>
    <n v="0"/>
    <m/>
    <m/>
    <m/>
    <m/>
    <m/>
    <n v="0"/>
    <m/>
    <m/>
    <m/>
    <m/>
    <m/>
    <n v="0"/>
    <m/>
    <m/>
    <m/>
    <m/>
    <n v="1"/>
    <n v="8000000"/>
    <s v="Supplemental agreements"/>
    <m/>
    <m/>
    <m/>
    <n v="1"/>
    <n v="8000000"/>
  </r>
  <r>
    <m/>
    <n v="6"/>
    <n v="6"/>
    <s v="I"/>
    <n v="35"/>
    <s v="I 35"/>
    <s v="7401-38"/>
    <x v="0"/>
    <m/>
    <s v="S"/>
    <s v="MNDOT"/>
    <m/>
    <s v="VARIOUS LOCATIONS BETWEEN WASECA STEELE COUNTY LINE AND I-35, LANDSCAPING FOR COMPLETED PROJECT - S.P. 7401-34"/>
    <n v="0"/>
    <n v="0"/>
    <n v="0"/>
    <m/>
    <s v="MULTICOUNTY"/>
    <s v="RB"/>
    <s v=" "/>
    <m/>
    <m/>
    <s v="APPU-APPURTENANCE"/>
    <s v="LANDSCAPING"/>
    <s v="SF  "/>
    <s v="SF"/>
    <m/>
    <m/>
    <n v="250000"/>
    <s v="                         -  "/>
    <s v="                             -  "/>
    <s v="                             -  "/>
    <s v="                     -  "/>
    <n v="0"/>
    <s v="                             -  "/>
    <s v="                                -  "/>
    <s v="                        -  "/>
    <n v="0"/>
    <s v="                             -  "/>
    <s v="                        -  "/>
    <s v="                       -  "/>
    <n v="0"/>
    <s v="                    -  "/>
    <s v="                        -  "/>
    <n v="250000"/>
    <s v="                        -  "/>
    <n v="250000"/>
    <s v="                               -  "/>
    <n v="0"/>
    <n v="750000"/>
    <n v="13977000"/>
    <n v="97723540"/>
    <s v="7401-38"/>
    <s v="This project was added new by Laurie Nagle-added 5/5/13(DP)"/>
    <m/>
    <m/>
    <m/>
    <m/>
    <m/>
    <m/>
    <m/>
    <m/>
    <m/>
    <m/>
    <m/>
    <m/>
    <m/>
    <n v="0"/>
    <m/>
    <m/>
    <m/>
    <m/>
    <m/>
    <n v="0"/>
    <m/>
    <n v="1"/>
    <n v="750000"/>
    <m/>
    <m/>
    <m/>
    <m/>
    <m/>
    <n v="0"/>
    <m/>
    <m/>
    <m/>
    <m/>
    <m/>
    <n v="0"/>
    <m/>
    <m/>
    <m/>
    <m/>
    <m/>
    <n v="0"/>
    <m/>
    <m/>
    <m/>
    <m/>
    <m/>
    <n v="0"/>
    <m/>
    <m/>
    <m/>
    <m/>
    <m/>
    <n v="0"/>
    <m/>
    <m/>
    <m/>
    <m/>
    <m/>
    <n v="0"/>
    <m/>
    <m/>
    <m/>
    <m/>
    <m/>
    <n v="0"/>
    <m/>
    <m/>
    <m/>
    <m/>
    <n v="1"/>
    <n v="750000"/>
  </r>
  <r>
    <m/>
    <s v="M"/>
    <s v="M"/>
    <s v="MN"/>
    <n v="999"/>
    <s v="MN999"/>
    <m/>
    <x v="5"/>
    <m/>
    <m/>
    <m/>
    <m/>
    <s v="CONSULTANT AGREEMENTS SETASIDE"/>
    <m/>
    <m/>
    <m/>
    <m/>
    <m/>
    <m/>
    <s v=""/>
    <m/>
    <m/>
    <m/>
    <m/>
    <s v=""/>
    <m/>
    <m/>
    <m/>
    <n v="8000000"/>
    <m/>
    <m/>
    <m/>
    <m/>
    <n v="0"/>
    <m/>
    <m/>
    <m/>
    <n v="0"/>
    <m/>
    <m/>
    <m/>
    <n v="0"/>
    <m/>
    <m/>
    <m/>
    <m/>
    <n v="0"/>
    <m/>
    <n v="8000000"/>
    <n v="8000000"/>
    <n v="559326559.54999995"/>
    <n v="230665173.93000001"/>
    <n v="2020"/>
    <m/>
    <m/>
    <m/>
    <m/>
    <m/>
    <m/>
    <m/>
    <m/>
    <m/>
    <m/>
    <m/>
    <m/>
    <m/>
    <m/>
    <n v="0"/>
    <m/>
    <m/>
    <m/>
    <m/>
    <m/>
    <n v="0"/>
    <m/>
    <m/>
    <n v="0"/>
    <m/>
    <m/>
    <m/>
    <m/>
    <m/>
    <n v="0"/>
    <m/>
    <m/>
    <m/>
    <m/>
    <m/>
    <n v="0"/>
    <m/>
    <m/>
    <m/>
    <m/>
    <m/>
    <n v="0"/>
    <m/>
    <m/>
    <m/>
    <m/>
    <m/>
    <n v="0"/>
    <m/>
    <m/>
    <m/>
    <m/>
    <m/>
    <n v="0"/>
    <m/>
    <m/>
    <m/>
    <m/>
    <m/>
    <n v="0"/>
    <m/>
    <m/>
    <m/>
    <m/>
    <n v="1"/>
    <n v="8000000"/>
    <s v="Consultant services"/>
    <m/>
    <m/>
    <m/>
    <n v="1"/>
    <n v="8000000"/>
  </r>
  <r>
    <m/>
    <n v="1"/>
    <n v="1"/>
    <s v="MN"/>
    <n v="999"/>
    <s v="MN 999"/>
    <s v="8801-SA-21"/>
    <x v="6"/>
    <m/>
    <m/>
    <m/>
    <m/>
    <s v="DISTRICTWIDE SETASIDE - SUPPLEMENTAL AGREEMENT -2021"/>
    <m/>
    <m/>
    <m/>
    <m/>
    <m/>
    <m/>
    <s v=""/>
    <m/>
    <m/>
    <m/>
    <m/>
    <s v=""/>
    <m/>
    <m/>
    <m/>
    <n v="8000000"/>
    <m/>
    <m/>
    <m/>
    <m/>
    <n v="0"/>
    <m/>
    <m/>
    <m/>
    <n v="0"/>
    <m/>
    <m/>
    <m/>
    <n v="0"/>
    <m/>
    <m/>
    <m/>
    <m/>
    <n v="0"/>
    <m/>
    <n v="8000000"/>
    <n v="8000000"/>
    <n v="0"/>
    <n v="0"/>
    <n v="2018"/>
    <m/>
    <m/>
    <m/>
    <m/>
    <m/>
    <m/>
    <m/>
    <m/>
    <m/>
    <m/>
    <m/>
    <m/>
    <m/>
    <n v="0"/>
    <n v="0"/>
    <m/>
    <m/>
    <m/>
    <m/>
    <m/>
    <n v="0"/>
    <m/>
    <m/>
    <n v="0"/>
    <m/>
    <m/>
    <m/>
    <m/>
    <m/>
    <n v="0"/>
    <m/>
    <m/>
    <m/>
    <m/>
    <m/>
    <n v="0"/>
    <m/>
    <m/>
    <m/>
    <m/>
    <m/>
    <n v="0"/>
    <m/>
    <m/>
    <m/>
    <m/>
    <m/>
    <n v="0"/>
    <m/>
    <m/>
    <m/>
    <m/>
    <m/>
    <n v="0"/>
    <m/>
    <m/>
    <m/>
    <m/>
    <m/>
    <n v="0"/>
    <m/>
    <m/>
    <m/>
    <m/>
    <n v="1"/>
    <n v="8000000"/>
    <s v="Supplemental agreements"/>
    <m/>
    <m/>
    <m/>
    <n v="1"/>
    <n v="8000000"/>
  </r>
  <r>
    <m/>
    <s v="M"/>
    <s v="M"/>
    <s v="MN"/>
    <n v="999"/>
    <s v="MN999"/>
    <m/>
    <x v="6"/>
    <m/>
    <m/>
    <m/>
    <m/>
    <s v="CONSULTANT AGREEMENTS SETASIDE"/>
    <m/>
    <m/>
    <m/>
    <m/>
    <m/>
    <m/>
    <s v=""/>
    <m/>
    <m/>
    <m/>
    <m/>
    <s v=""/>
    <m/>
    <m/>
    <m/>
    <n v="8000000"/>
    <m/>
    <m/>
    <m/>
    <m/>
    <n v="0"/>
    <m/>
    <m/>
    <m/>
    <n v="0"/>
    <m/>
    <m/>
    <m/>
    <n v="0"/>
    <m/>
    <m/>
    <m/>
    <m/>
    <n v="0"/>
    <m/>
    <n v="8000000"/>
    <n v="8000000"/>
    <n v="559326559.54999995"/>
    <n v="230665173.93000001"/>
    <n v="2021"/>
    <m/>
    <m/>
    <m/>
    <m/>
    <m/>
    <m/>
    <m/>
    <m/>
    <m/>
    <m/>
    <m/>
    <m/>
    <m/>
    <m/>
    <n v="0"/>
    <m/>
    <m/>
    <m/>
    <m/>
    <m/>
    <n v="0"/>
    <m/>
    <m/>
    <n v="0"/>
    <m/>
    <m/>
    <m/>
    <m/>
    <m/>
    <n v="0"/>
    <m/>
    <m/>
    <m/>
    <m/>
    <m/>
    <n v="0"/>
    <m/>
    <m/>
    <m/>
    <m/>
    <m/>
    <n v="0"/>
    <m/>
    <m/>
    <m/>
    <m/>
    <m/>
    <n v="0"/>
    <m/>
    <m/>
    <m/>
    <m/>
    <m/>
    <n v="0"/>
    <m/>
    <m/>
    <m/>
    <m/>
    <m/>
    <n v="0"/>
    <m/>
    <m/>
    <m/>
    <m/>
    <n v="1"/>
    <n v="8000000"/>
    <s v="Consultant services"/>
    <m/>
    <m/>
    <m/>
    <n v="1"/>
    <n v="8000000"/>
  </r>
  <r>
    <m/>
    <n v="1"/>
    <n v="1"/>
    <s v="MN"/>
    <n v="999"/>
    <s v="MN999"/>
    <s v="8801-SA-22"/>
    <x v="7"/>
    <m/>
    <m/>
    <m/>
    <m/>
    <s v="DISTRICTWIDE SETASIDE - SUPPLEMENTAL AGREEMENT -2022"/>
    <m/>
    <m/>
    <m/>
    <m/>
    <m/>
    <m/>
    <s v=""/>
    <m/>
    <m/>
    <m/>
    <m/>
    <s v=""/>
    <m/>
    <m/>
    <m/>
    <n v="8000000"/>
    <m/>
    <m/>
    <m/>
    <m/>
    <n v="0"/>
    <m/>
    <m/>
    <m/>
    <n v="0"/>
    <m/>
    <m/>
    <m/>
    <n v="0"/>
    <m/>
    <m/>
    <m/>
    <m/>
    <n v="0"/>
    <m/>
    <n v="8000000"/>
    <n v="8000000"/>
    <n v="0"/>
    <n v="0"/>
    <n v="2018"/>
    <m/>
    <m/>
    <m/>
    <m/>
    <m/>
    <m/>
    <m/>
    <m/>
    <m/>
    <m/>
    <m/>
    <m/>
    <m/>
    <n v="0"/>
    <n v="0"/>
    <m/>
    <m/>
    <m/>
    <m/>
    <m/>
    <n v="0"/>
    <m/>
    <m/>
    <n v="0"/>
    <m/>
    <m/>
    <m/>
    <m/>
    <m/>
    <n v="0"/>
    <m/>
    <m/>
    <m/>
    <m/>
    <m/>
    <n v="0"/>
    <m/>
    <m/>
    <m/>
    <m/>
    <m/>
    <n v="0"/>
    <m/>
    <m/>
    <m/>
    <m/>
    <m/>
    <n v="0"/>
    <m/>
    <m/>
    <m/>
    <m/>
    <m/>
    <n v="0"/>
    <m/>
    <m/>
    <m/>
    <m/>
    <m/>
    <n v="0"/>
    <m/>
    <m/>
    <m/>
    <m/>
    <n v="1"/>
    <n v="8000000"/>
    <s v="Supplemental agreements"/>
    <m/>
    <m/>
    <m/>
    <n v="1"/>
    <n v="8000000"/>
  </r>
  <r>
    <m/>
    <s v="M"/>
    <s v="M"/>
    <s v="MN"/>
    <n v="999"/>
    <s v="MN999"/>
    <m/>
    <x v="7"/>
    <m/>
    <m/>
    <m/>
    <m/>
    <s v="CONSULTANT AGREEMENTS SETASIDE"/>
    <m/>
    <m/>
    <m/>
    <m/>
    <m/>
    <m/>
    <s v=""/>
    <m/>
    <m/>
    <m/>
    <m/>
    <s v=""/>
    <m/>
    <m/>
    <m/>
    <n v="8000000"/>
    <m/>
    <m/>
    <m/>
    <m/>
    <n v="0"/>
    <m/>
    <m/>
    <m/>
    <n v="0"/>
    <m/>
    <m/>
    <m/>
    <n v="0"/>
    <m/>
    <m/>
    <m/>
    <m/>
    <n v="0"/>
    <m/>
    <n v="8000000"/>
    <n v="8000000"/>
    <n v="559326559.54999995"/>
    <n v="230665173.93000001"/>
    <n v="2022"/>
    <m/>
    <m/>
    <m/>
    <m/>
    <m/>
    <m/>
    <m/>
    <m/>
    <m/>
    <m/>
    <m/>
    <m/>
    <m/>
    <m/>
    <n v="0"/>
    <m/>
    <m/>
    <m/>
    <m/>
    <m/>
    <n v="0"/>
    <m/>
    <m/>
    <n v="0"/>
    <m/>
    <m/>
    <m/>
    <m/>
    <m/>
    <n v="0"/>
    <m/>
    <m/>
    <m/>
    <m/>
    <m/>
    <n v="0"/>
    <m/>
    <m/>
    <m/>
    <m/>
    <m/>
    <n v="0"/>
    <m/>
    <m/>
    <m/>
    <m/>
    <m/>
    <n v="0"/>
    <m/>
    <m/>
    <m/>
    <m/>
    <m/>
    <n v="0"/>
    <m/>
    <m/>
    <m/>
    <m/>
    <m/>
    <n v="0"/>
    <m/>
    <m/>
    <m/>
    <m/>
    <n v="1"/>
    <n v="8000000"/>
    <s v="Consultant services"/>
    <m/>
    <m/>
    <m/>
    <n v="1"/>
    <n v="8000000"/>
  </r>
  <r>
    <m/>
    <n v="1"/>
    <n v="1"/>
    <s v="MN"/>
    <n v="999"/>
    <s v="MN999"/>
    <s v="8801-SA-23"/>
    <x v="8"/>
    <m/>
    <m/>
    <m/>
    <m/>
    <s v="DISTRICTWIDE SETASIDE - SUPPLEMENTAL AGREEMENT -2023"/>
    <m/>
    <m/>
    <m/>
    <m/>
    <m/>
    <m/>
    <s v=""/>
    <m/>
    <m/>
    <m/>
    <m/>
    <s v=""/>
    <m/>
    <m/>
    <m/>
    <n v="8000000"/>
    <m/>
    <m/>
    <m/>
    <m/>
    <n v="0"/>
    <m/>
    <m/>
    <m/>
    <n v="0"/>
    <m/>
    <m/>
    <m/>
    <n v="0"/>
    <m/>
    <m/>
    <m/>
    <m/>
    <n v="0"/>
    <m/>
    <n v="8000000"/>
    <n v="8000000"/>
    <n v="0"/>
    <n v="0"/>
    <n v="2018"/>
    <m/>
    <m/>
    <m/>
    <m/>
    <m/>
    <m/>
    <m/>
    <m/>
    <m/>
    <m/>
    <m/>
    <m/>
    <m/>
    <n v="0"/>
    <n v="0"/>
    <m/>
    <m/>
    <m/>
    <m/>
    <m/>
    <n v="0"/>
    <m/>
    <m/>
    <n v="0"/>
    <m/>
    <m/>
    <m/>
    <m/>
    <m/>
    <n v="0"/>
    <m/>
    <m/>
    <m/>
    <m/>
    <m/>
    <n v="0"/>
    <m/>
    <m/>
    <m/>
    <m/>
    <m/>
    <n v="0"/>
    <m/>
    <m/>
    <m/>
    <m/>
    <m/>
    <n v="0"/>
    <m/>
    <m/>
    <m/>
    <m/>
    <m/>
    <n v="0"/>
    <m/>
    <m/>
    <m/>
    <m/>
    <m/>
    <n v="0"/>
    <m/>
    <m/>
    <m/>
    <m/>
    <n v="1"/>
    <n v="8000000"/>
    <s v="Supplemental agreements"/>
    <m/>
    <m/>
    <m/>
    <n v="1"/>
    <n v="8000000"/>
  </r>
  <r>
    <m/>
    <s v="M"/>
    <s v="M"/>
    <s v="MN"/>
    <n v="999"/>
    <s v="MN999"/>
    <m/>
    <x v="8"/>
    <m/>
    <m/>
    <m/>
    <m/>
    <s v="CONSULTANT AGREEMENTS SETASIDE"/>
    <m/>
    <m/>
    <m/>
    <m/>
    <m/>
    <m/>
    <s v=""/>
    <m/>
    <m/>
    <m/>
    <m/>
    <s v=""/>
    <m/>
    <m/>
    <m/>
    <n v="8000000"/>
    <m/>
    <m/>
    <m/>
    <m/>
    <n v="0"/>
    <m/>
    <m/>
    <m/>
    <n v="0"/>
    <m/>
    <m/>
    <m/>
    <n v="0"/>
    <m/>
    <m/>
    <m/>
    <m/>
    <n v="0"/>
    <m/>
    <n v="8000000"/>
    <n v="8000000"/>
    <n v="559326559.54999995"/>
    <n v="230665173.93000001"/>
    <n v="2023"/>
    <m/>
    <m/>
    <m/>
    <m/>
    <m/>
    <m/>
    <m/>
    <m/>
    <m/>
    <m/>
    <m/>
    <m/>
    <m/>
    <m/>
    <n v="0"/>
    <m/>
    <m/>
    <m/>
    <m/>
    <m/>
    <n v="0"/>
    <m/>
    <m/>
    <n v="0"/>
    <m/>
    <m/>
    <m/>
    <m/>
    <m/>
    <n v="0"/>
    <m/>
    <m/>
    <m/>
    <m/>
    <m/>
    <n v="0"/>
    <m/>
    <m/>
    <m/>
    <m/>
    <m/>
    <n v="0"/>
    <m/>
    <m/>
    <m/>
    <m/>
    <m/>
    <n v="0"/>
    <m/>
    <m/>
    <m/>
    <m/>
    <m/>
    <n v="0"/>
    <m/>
    <m/>
    <m/>
    <m/>
    <m/>
    <n v="0"/>
    <m/>
    <m/>
    <m/>
    <m/>
    <n v="1"/>
    <n v="8000000"/>
    <s v="Consultant services"/>
    <m/>
    <m/>
    <m/>
    <n v="1"/>
    <n v="8000000"/>
  </r>
  <r>
    <m/>
    <n v="6"/>
    <n v="6"/>
    <s v="US"/>
    <n v="14"/>
    <s v="US 14"/>
    <s v="7402-28"/>
    <x v="1"/>
    <m/>
    <s v="S"/>
    <s v="MNDOT"/>
    <m/>
    <s v="I-35 TO DODGE CENTER, MEDIUM BITUMINOUS MILL AND OVERLAY"/>
    <s v="174+00.210"/>
    <s v="188+00.701"/>
    <n v="16.21"/>
    <m/>
    <s v="MULTICOUNTY"/>
    <s v="RS"/>
    <s v="1-P "/>
    <s v="1-P"/>
    <m/>
    <s v="PVTR - PAVEMENT RESURFACE AND REHABILITATION"/>
    <s v="BITUMINOUS OVERLAY"/>
    <s v="NHPP  "/>
    <s v="NHPP"/>
    <m/>
    <m/>
    <n v="5909000"/>
    <n v="0"/>
    <n v="0"/>
    <n v="4727200"/>
    <n v="0"/>
    <n v="4727200"/>
    <n v="0"/>
    <n v="0"/>
    <n v="0"/>
    <n v="0"/>
    <n v="0"/>
    <n v="0"/>
    <n v="0"/>
    <n v="0"/>
    <n v="0"/>
    <n v="0"/>
    <n v="1181800"/>
    <n v="0"/>
    <n v="1181800"/>
    <n v="0"/>
    <n v="0"/>
    <n v="5909000"/>
    <n v="19439168"/>
    <n v="1181800"/>
    <n v="2015"/>
    <m/>
    <m/>
    <m/>
    <m/>
    <m/>
    <m/>
    <s v="NO"/>
    <s v="NO"/>
    <s v="1st District"/>
    <s v="NO"/>
    <s v="NO"/>
    <s v="Yes"/>
    <s v="NO"/>
    <n v="1"/>
    <n v="5909000"/>
    <m/>
    <m/>
    <m/>
    <m/>
    <m/>
    <n v="0"/>
    <m/>
    <m/>
    <n v="0"/>
    <m/>
    <m/>
    <m/>
    <m/>
    <m/>
    <n v="0"/>
    <m/>
    <m/>
    <m/>
    <m/>
    <m/>
    <n v="0"/>
    <m/>
    <m/>
    <m/>
    <m/>
    <m/>
    <n v="0"/>
    <m/>
    <m/>
    <m/>
    <m/>
    <m/>
    <n v="0"/>
    <m/>
    <m/>
    <m/>
    <m/>
    <m/>
    <n v="0"/>
    <m/>
    <m/>
    <m/>
    <m/>
    <m/>
    <n v="0"/>
    <m/>
    <m/>
    <m/>
    <m/>
    <m/>
    <n v="0"/>
    <m/>
    <m/>
    <m/>
    <m/>
    <n v="1"/>
    <n v="5909000"/>
  </r>
  <r>
    <m/>
    <n v="6"/>
    <n v="6"/>
    <s v="I"/>
    <n v="35"/>
    <s v="I 35"/>
    <s v="7480-113"/>
    <x v="0"/>
    <m/>
    <s v="S"/>
    <s v="MNDOT"/>
    <m/>
    <s v="**AB**AC** NB AND SB FROM 0.5 MI N OF S LIMITS OF OWATONNA (40.787) TO 0.25 MI N OF N JCT US 14 (42.856), RECONSTRUCT PAVEMENT AND NB AND SB FROM BRIDGE STREET TO N JCT US 14, OWATONNA, CONSTRUCT AUXILIARY LANE AND REPLACE BRIDGES 74815, 74816, 74817 AND 74818  (AC PROJECT - PAYBACK IN 2015 AND 2016)"/>
    <s v="040+00.787"/>
    <s v="042+00.856"/>
    <n v="2.0699999999999998"/>
    <s v="OWATONNA"/>
    <s v="STEELE"/>
    <s v="RC"/>
    <s v="1-P 1-B"/>
    <s v="1-P"/>
    <s v="1-B"/>
    <s v="GSBR - GRADE, SURFACE, AND BRIDGE"/>
    <s v="GRADE, SURFACE &amp; BRIDGE"/>
    <s v="NHPP  "/>
    <s v="NHPP"/>
    <m/>
    <m/>
    <n v="6000000"/>
    <n v="0"/>
    <n v="0"/>
    <n v="3587000"/>
    <n v="0"/>
    <n v="3587000"/>
    <n v="0"/>
    <n v="18130000"/>
    <n v="0"/>
    <n v="18130000"/>
    <n v="0"/>
    <n v="0"/>
    <n v="0"/>
    <n v="0"/>
    <n v="0"/>
    <n v="0"/>
    <n v="2413000"/>
    <n v="0"/>
    <n v="2413000"/>
    <n v="0"/>
    <n v="0"/>
    <n v="24130000"/>
    <n v="34212637.459999993"/>
    <n v="5561031.6899999995"/>
    <n v="2014"/>
    <m/>
    <m/>
    <m/>
    <m/>
    <m/>
    <m/>
    <s v="NO"/>
    <s v="NO"/>
    <s v="1st District"/>
    <s v="NO"/>
    <s v="NO"/>
    <s v="Yes"/>
    <s v="NO"/>
    <n v="0.82099999999999995"/>
    <n v="4926000"/>
    <m/>
    <m/>
    <m/>
    <m/>
    <m/>
    <n v="0"/>
    <m/>
    <n v="0.115"/>
    <n v="690000"/>
    <m/>
    <m/>
    <m/>
    <m/>
    <n v="3.2000000000000001E-2"/>
    <n v="192000"/>
    <m/>
    <m/>
    <m/>
    <m/>
    <m/>
    <n v="0"/>
    <m/>
    <m/>
    <m/>
    <m/>
    <m/>
    <n v="0"/>
    <m/>
    <m/>
    <m/>
    <m/>
    <n v="2.3E-2"/>
    <n v="138000"/>
    <m/>
    <m/>
    <m/>
    <m/>
    <n v="8.9999999999999993E-3"/>
    <n v="53999.999999999993"/>
    <m/>
    <m/>
    <m/>
    <m/>
    <m/>
    <n v="0"/>
    <m/>
    <m/>
    <m/>
    <m/>
    <m/>
    <n v="0"/>
    <m/>
    <m/>
    <m/>
    <m/>
    <n v="1"/>
    <n v="6000000"/>
  </r>
  <r>
    <m/>
    <n v="6"/>
    <n v="6"/>
    <s v="I"/>
    <n v="35"/>
    <s v="I 35"/>
    <s v="7480-113AC1"/>
    <x v="1"/>
    <m/>
    <s v="S"/>
    <s v="MNDOT"/>
    <m/>
    <s v="**AC** NB AND SB FROM 0.5 MI N OF S LIMITS OF OWATONNA (40.787) TO 0.25 MI N OF N JCT US 14 (42.856), RECONSTRUCT PAVEMENT AND NB AND SB FROM BRIDGE STREET TO N JCT US 14, OWATONNA, CONSTRUCT AUXILIARY LANE AND REPLACE BRIDGES 74815, 74816, 74817 AND 74818 (AC  PAYBACK - 1 OF 2)"/>
    <s v="040+00.787"/>
    <s v="042+00.856"/>
    <n v="2.0699999999999998"/>
    <s v="OWATONNA"/>
    <s v="STEELE"/>
    <s v="RC"/>
    <s v="1-P 1-B"/>
    <s v="1-P"/>
    <s v="1-B"/>
    <s v="GSBR - GRADE, SURFACE, AND BRIDGE"/>
    <s v="GRADE, SURFACE &amp; BRIDGE"/>
    <s v="NHPP  "/>
    <s v="NHPP"/>
    <m/>
    <m/>
    <n v="10000000"/>
    <n v="0"/>
    <n v="0"/>
    <n v="0"/>
    <n v="0"/>
    <n v="0"/>
    <n v="0"/>
    <n v="0"/>
    <n v="0"/>
    <n v="0"/>
    <n v="0"/>
    <n v="10000000"/>
    <n v="0"/>
    <n v="10000000"/>
    <n v="0"/>
    <n v="0"/>
    <n v="0"/>
    <n v="0"/>
    <n v="0"/>
    <n v="0"/>
    <n v="0"/>
    <n v="0"/>
    <n v="42724849"/>
    <n v="3296876"/>
    <n v="2015"/>
    <m/>
    <m/>
    <m/>
    <m/>
    <m/>
    <m/>
    <s v="NO"/>
    <s v="NO"/>
    <s v="1st District"/>
    <s v="NO"/>
    <s v="NO"/>
    <s v="NO"/>
    <s v="NO"/>
    <n v="0.82099999999999995"/>
    <n v="8209999.9999999991"/>
    <n v="0"/>
    <n v="0"/>
    <n v="0"/>
    <n v="0"/>
    <n v="0"/>
    <n v="0"/>
    <n v="0"/>
    <n v="0.115"/>
    <n v="1150000"/>
    <n v="0"/>
    <n v="0"/>
    <n v="0"/>
    <n v="0"/>
    <n v="3.2000000000000001E-2"/>
    <n v="320000"/>
    <n v="0"/>
    <n v="0"/>
    <n v="0"/>
    <n v="0"/>
    <n v="0"/>
    <n v="0"/>
    <n v="0"/>
    <n v="0"/>
    <n v="0"/>
    <n v="0"/>
    <n v="0"/>
    <n v="0"/>
    <n v="0"/>
    <n v="0"/>
    <n v="0"/>
    <n v="0"/>
    <n v="2.3E-2"/>
    <n v="230000"/>
    <n v="0"/>
    <n v="0"/>
    <n v="0"/>
    <n v="0"/>
    <n v="8.9999999999999993E-3"/>
    <n v="90000"/>
    <n v="0"/>
    <n v="0"/>
    <n v="0"/>
    <n v="0"/>
    <n v="0"/>
    <n v="0"/>
    <n v="0"/>
    <n v="0"/>
    <n v="0"/>
    <n v="0"/>
    <n v="0"/>
    <n v="0"/>
    <n v="0"/>
    <n v="0"/>
    <n v="0"/>
    <n v="0"/>
    <n v="1"/>
    <n v="10000000"/>
  </r>
  <r>
    <m/>
    <n v="6"/>
    <n v="6"/>
    <s v="I"/>
    <n v="35"/>
    <s v="I 35"/>
    <s v="7480-113AC2"/>
    <x v="2"/>
    <m/>
    <s v="S"/>
    <s v="MNDOT"/>
    <m/>
    <s v="**AC** NB AND SB FROM 0.5 MI N OF S LIMITS OF OWATONNA (40.787) TO 0.25 MI N OF N JCT US 14 (42.856), RECONSTRUCT PAVEMENT AND NB AND SB FROM BRIDGE STREET TO N JCT US 14, OWATONNA, CONSTRUCT AUXILIARY LANE AND REPLACE BRIDGES 74815, 74816, 74817 AND 74818 (AC  PAYBACK  - 2 OF 2)"/>
    <s v="040+00.787"/>
    <s v="042+00.856"/>
    <n v="2.0699999999999998"/>
    <s v="OWATONNA"/>
    <s v="STEELE"/>
    <s v="RC"/>
    <s v="1-P 1-B"/>
    <s v="1-P"/>
    <s v="1-B"/>
    <s v="GSBR - GRADE, SURFACE, AND BRIDGE"/>
    <s v="MILL AND OVERLAY"/>
    <s v="NHPP  "/>
    <s v="NHPP"/>
    <m/>
    <m/>
    <n v="8130000"/>
    <n v="0"/>
    <n v="0"/>
    <n v="0"/>
    <n v="0"/>
    <n v="0"/>
    <n v="0"/>
    <n v="0"/>
    <n v="0"/>
    <n v="0"/>
    <n v="0"/>
    <n v="8130000"/>
    <n v="0"/>
    <n v="8130000"/>
    <n v="0"/>
    <n v="0"/>
    <n v="0"/>
    <n v="0"/>
    <n v="0"/>
    <n v="0"/>
    <n v="0"/>
    <n v="0"/>
    <n v="26483412"/>
    <n v="0"/>
    <n v="2016"/>
    <m/>
    <m/>
    <m/>
    <m/>
    <m/>
    <m/>
    <s v="NO"/>
    <s v="NO"/>
    <s v="1st District"/>
    <s v="NO"/>
    <s v="NO"/>
    <s v="NO"/>
    <m/>
    <n v="0.82099999999999995"/>
    <n v="6674730"/>
    <m/>
    <m/>
    <m/>
    <m/>
    <n v="0"/>
    <n v="0"/>
    <m/>
    <n v="0.115"/>
    <n v="934950"/>
    <m/>
    <m/>
    <m/>
    <m/>
    <n v="3.2000000000000001E-2"/>
    <n v="260160"/>
    <m/>
    <m/>
    <m/>
    <m/>
    <m/>
    <n v="0"/>
    <m/>
    <m/>
    <m/>
    <m/>
    <m/>
    <n v="0"/>
    <m/>
    <m/>
    <m/>
    <m/>
    <n v="2.3E-2"/>
    <n v="186990"/>
    <m/>
    <m/>
    <m/>
    <m/>
    <n v="8.9999999999999993E-3"/>
    <n v="73170"/>
    <m/>
    <m/>
    <m/>
    <m/>
    <m/>
    <n v="0"/>
    <m/>
    <m/>
    <m/>
    <m/>
    <m/>
    <n v="0"/>
    <m/>
    <m/>
    <m/>
    <m/>
    <n v="1"/>
    <n v="8130000"/>
  </r>
  <r>
    <m/>
    <n v="6"/>
    <n v="6"/>
    <s v="I"/>
    <n v="35"/>
    <s v="I 35"/>
    <s v="7480-120"/>
    <x v="0"/>
    <m/>
    <s v="S"/>
    <s v="MNDOT"/>
    <m/>
    <s v="MEDF0RD, RECONSTRUCTION OF ROUND-A-BOUTS"/>
    <s v="047+00.808"/>
    <s v="048+00.222"/>
    <n v="0.41399999999999998"/>
    <s v="MEDFORD"/>
    <s v="STEELE"/>
    <s v="SC"/>
    <s v="7-O-P "/>
    <s v="7-O-P"/>
    <m/>
    <s v="GRSU - GRADE AND SURFACE"/>
    <s v="GRADE AND SURFACE"/>
    <s v="SF  "/>
    <s v="SF"/>
    <m/>
    <m/>
    <n v="261468"/>
    <n v="0"/>
    <n v="0"/>
    <n v="0"/>
    <n v="0"/>
    <n v="0"/>
    <n v="0"/>
    <n v="0"/>
    <n v="0"/>
    <n v="0"/>
    <n v="0"/>
    <n v="0"/>
    <n v="0"/>
    <n v="0"/>
    <n v="0"/>
    <n v="0"/>
    <n v="261468"/>
    <n v="0"/>
    <n v="261468"/>
    <n v="0"/>
    <n v="0"/>
    <n v="261468"/>
    <n v="34212637.459999993"/>
    <n v="5822499.6899999995"/>
    <n v="2014"/>
    <m/>
    <m/>
    <m/>
    <m/>
    <m/>
    <m/>
    <s v="NO"/>
    <s v="NO"/>
    <s v="1st District"/>
    <s v="NO"/>
    <s v="NO"/>
    <s v="Yes"/>
    <s v="NO"/>
    <m/>
    <n v="0"/>
    <m/>
    <m/>
    <m/>
    <m/>
    <m/>
    <n v="0"/>
    <m/>
    <m/>
    <n v="0"/>
    <m/>
    <m/>
    <m/>
    <m/>
    <n v="1"/>
    <n v="261468"/>
    <m/>
    <m/>
    <m/>
    <m/>
    <m/>
    <n v="0"/>
    <m/>
    <m/>
    <m/>
    <m/>
    <m/>
    <n v="0"/>
    <m/>
    <m/>
    <m/>
    <m/>
    <m/>
    <n v="0"/>
    <m/>
    <m/>
    <m/>
    <m/>
    <m/>
    <n v="0"/>
    <m/>
    <m/>
    <m/>
    <m/>
    <m/>
    <n v="0"/>
    <m/>
    <m/>
    <m/>
    <m/>
    <m/>
    <n v="0"/>
    <m/>
    <m/>
    <m/>
    <m/>
    <n v="1"/>
    <n v="261468"/>
  </r>
  <r>
    <m/>
    <n v="4"/>
    <n v="4"/>
    <s v="MN"/>
    <n v="12"/>
    <s v="MN 12"/>
    <s v="7605-38"/>
    <x v="1"/>
    <s v="2015-34"/>
    <s v="S"/>
    <s v="MNDOT"/>
    <m/>
    <s v="KERKHOVEN TO PENNOCK - BITUMINOUS OVERLAY (DESIGNED BY District 8, FUNDED BY DIST 4 &amp; DIST 8, DIST 1 SP 3403-66 $1,900,000 DIST 4 SP 7605-38 $1,548,600, TIED TO 3403-66)"/>
    <n v="1548600"/>
    <n v="0"/>
    <n v="0"/>
    <n v="1238880"/>
    <n v="0"/>
    <n v="1238880"/>
    <n v="0"/>
    <n v="0"/>
    <n v="0"/>
    <n v="0"/>
    <n v="0"/>
    <n v="0"/>
    <n v="0"/>
    <n v="0"/>
    <n v="0"/>
    <n v="1548600"/>
    <n v="309720"/>
    <n v="0"/>
    <n v="309720"/>
    <n v="0"/>
    <n v="0"/>
    <n v="1548600"/>
    <n v="34066022.5"/>
    <n v="20957353"/>
    <n v="2015"/>
    <m/>
    <m/>
    <m/>
    <m/>
    <m/>
    <m/>
    <s v="NO"/>
    <s v="NO"/>
    <s v="7th District"/>
    <s v="NO"/>
    <n v="0"/>
    <s v="YES"/>
    <s v="NO"/>
    <n v="0.97199999999999998"/>
    <n v="1505239.2"/>
    <m/>
    <m/>
    <m/>
    <m/>
    <m/>
    <n v="0"/>
    <m/>
    <m/>
    <m/>
    <m/>
    <n v="2.2100000000000002E-2"/>
    <n v="34224.060000000005"/>
    <m/>
    <n v="0.97199999999999998"/>
    <n v="1505239.2"/>
    <m/>
    <m/>
    <m/>
    <m/>
    <m/>
    <n v="0"/>
    <m/>
    <n v="2.2100000000000002E-2"/>
    <n v="34224.060000000005"/>
    <m/>
    <m/>
    <m/>
    <m/>
    <m/>
    <n v="0"/>
    <m/>
    <m/>
    <m/>
    <m/>
    <m/>
    <n v="0"/>
    <m/>
    <m/>
    <m/>
    <m/>
    <m/>
    <n v="0"/>
    <m/>
    <m/>
    <m/>
    <m/>
    <m/>
    <n v="0"/>
    <m/>
    <m/>
    <m/>
    <m/>
    <m/>
    <n v="0"/>
    <m/>
    <m/>
    <m/>
    <m/>
    <n v="5.7999999999999996E-3"/>
    <n v="8981.8799999999992"/>
    <m/>
    <m/>
    <m/>
    <m/>
    <m/>
    <n v="0"/>
    <m/>
    <m/>
    <m/>
    <m/>
    <n v="0.99990000000000001"/>
    <n v="1548445.14"/>
  </r>
  <r>
    <n v="133"/>
    <n v="4"/>
    <n v="4"/>
    <s v="US"/>
    <n v="12"/>
    <s v="US 12"/>
    <s v="7605-89"/>
    <x v="9"/>
    <s v="2017-23"/>
    <s v="S"/>
    <s v="MNDOT"/>
    <m/>
    <s v="JCT. CSAH 25 (E. OF BENSON) TO KERKHOVEN, MILL AND OVERLAY"/>
    <n v="5303500"/>
    <n v="0"/>
    <n v="0"/>
    <n v="4242800"/>
    <n v="0"/>
    <n v="4242800"/>
    <n v="0"/>
    <n v="0"/>
    <n v="0"/>
    <n v="0"/>
    <n v="0"/>
    <n v="0"/>
    <n v="0"/>
    <n v="0"/>
    <n v="0"/>
    <n v="5303500"/>
    <n v="1060700"/>
    <n v="0"/>
    <n v="1060700"/>
    <n v="0"/>
    <n v="0"/>
    <n v="5303500"/>
    <n v="105586187.5"/>
    <n v="53874730"/>
    <n v="2017"/>
    <m/>
    <m/>
    <m/>
    <m/>
    <m/>
    <m/>
    <s v="NO"/>
    <s v="NO"/>
    <s v="7th District"/>
    <s v="NO"/>
    <n v="0"/>
    <s v="YES"/>
    <s v="NO"/>
    <n v="1"/>
    <n v="5303500"/>
    <m/>
    <m/>
    <m/>
    <m/>
    <m/>
    <n v="0"/>
    <m/>
    <m/>
    <m/>
    <m/>
    <m/>
    <n v="0"/>
    <m/>
    <n v="1"/>
    <n v="5303500"/>
    <m/>
    <m/>
    <m/>
    <m/>
    <m/>
    <n v="0"/>
    <m/>
    <m/>
    <n v="0"/>
    <m/>
    <m/>
    <m/>
    <m/>
    <m/>
    <n v="0"/>
    <m/>
    <m/>
    <m/>
    <m/>
    <m/>
    <n v="0"/>
    <m/>
    <m/>
    <m/>
    <m/>
    <m/>
    <n v="0"/>
    <m/>
    <m/>
    <m/>
    <m/>
    <m/>
    <n v="0"/>
    <m/>
    <m/>
    <m/>
    <m/>
    <m/>
    <n v="0"/>
    <m/>
    <m/>
    <m/>
    <m/>
    <m/>
    <n v="0"/>
    <m/>
    <m/>
    <m/>
    <m/>
    <m/>
    <n v="0"/>
    <m/>
    <m/>
    <m/>
    <m/>
    <n v="1"/>
    <n v="5303500"/>
  </r>
  <r>
    <m/>
    <n v="4"/>
    <n v="4"/>
    <s v="MN"/>
    <n v="29"/>
    <s v="MN 29"/>
    <s v="7607-29"/>
    <x v="1"/>
    <s v="2015-36"/>
    <s v="S"/>
    <s v="MNDOT"/>
    <m/>
    <s v="**BP08** THORTON AVE. IN BENSON TO JCT OF MN 40 - MILL &amp; BITUMINOUS OVERLAY &amp; REPLACE BRIDGE #6550, 6551, 6552 (BRIDGE #6652 CHAPTER 152 FUNDS)(DESIGNED BY District 4, FUNDED BY DIST 4 &amp; DIST 8, DIST 4 $6,437,400 DIST 8 SP 1208-09$780,000, TIED TO 1208-09)"/>
    <n v="6437400"/>
    <n v="0"/>
    <n v="0"/>
    <n v="0"/>
    <n v="0"/>
    <n v="0"/>
    <n v="0"/>
    <n v="0"/>
    <n v="0"/>
    <n v="0"/>
    <n v="0"/>
    <n v="0"/>
    <n v="0"/>
    <n v="0"/>
    <n v="0"/>
    <n v="6437400"/>
    <n v="3545400"/>
    <n v="0"/>
    <n v="3545400"/>
    <n v="2892000"/>
    <n v="0"/>
    <n v="6437400"/>
    <n v="34008422.5"/>
    <n v="21893353"/>
    <n v="2015"/>
    <m/>
    <s v="told to leave as is Koryn and Ed will look at when rebalancing.  D8 HAS FED FUNDS AND A BOND IS USED.  WE SHOULD SWITCH TO BOTH US USING FEDERAL OR NEITHER.  ALSO THE COST WENT DOWN_x000a_updated estimate shows a cost reduction on D4 portion of $618k"/>
    <m/>
    <m/>
    <m/>
    <m/>
    <s v="NO"/>
    <s v="NO"/>
    <s v="7th District"/>
    <s v="NO"/>
    <n v="0"/>
    <s v="YES"/>
    <s v="NO"/>
    <n v="0.37936603000000002"/>
    <n v="2442130.8815220003"/>
    <m/>
    <m/>
    <m/>
    <m/>
    <n v="0.41152396699999999"/>
    <n v="2649144.3851657999"/>
    <m/>
    <m/>
    <m/>
    <m/>
    <n v="0.16511226800000001"/>
    <n v="1062893.7140232001"/>
    <m/>
    <n v="0.37936603000000002"/>
    <n v="2442130.8815220003"/>
    <m/>
    <m/>
    <m/>
    <m/>
    <n v="0.41152396699999999"/>
    <n v="2649144.3851657999"/>
    <m/>
    <n v="0.16511226800000001"/>
    <n v="1062893.7140232001"/>
    <m/>
    <m/>
    <m/>
    <m/>
    <n v="3.5698756999999998E-2"/>
    <n v="229807.17831179997"/>
    <m/>
    <m/>
    <m/>
    <m/>
    <m/>
    <n v="0"/>
    <m/>
    <m/>
    <m/>
    <m/>
    <m/>
    <n v="0"/>
    <m/>
    <m/>
    <m/>
    <m/>
    <m/>
    <n v="0"/>
    <m/>
    <m/>
    <m/>
    <m/>
    <m/>
    <n v="0"/>
    <m/>
    <m/>
    <m/>
    <m/>
    <n v="8.2989789999999997E-3"/>
    <n v="53423.847414600001"/>
    <m/>
    <m/>
    <m/>
    <m/>
    <m/>
    <n v="0"/>
    <m/>
    <m/>
    <m/>
    <m/>
    <n v="1.0000000010000001"/>
    <n v="6437400.0064373994"/>
  </r>
  <r>
    <m/>
    <n v="4"/>
    <n v="4"/>
    <s v="MN"/>
    <s v="9, 12, 29"/>
    <s v="MN 9, 12, 29"/>
    <s v="7608-19"/>
    <x v="9"/>
    <s v="2017-20"/>
    <s v="S"/>
    <s v="MNDOT"/>
    <m/>
    <s v="BENSON MILL AND OVERLAY, ADA "/>
    <n v="2814000"/>
    <n v="0"/>
    <n v="0"/>
    <n v="2251200"/>
    <n v="0"/>
    <n v="2251200"/>
    <n v="0"/>
    <n v="0"/>
    <n v="0"/>
    <n v="0"/>
    <n v="0"/>
    <n v="0"/>
    <n v="0"/>
    <n v="0"/>
    <n v="0"/>
    <n v="2814000"/>
    <n v="562800"/>
    <n v="0"/>
    <n v="562800"/>
    <n v="0"/>
    <n v="0"/>
    <n v="2814000"/>
    <n v="105660437.5"/>
    <n v="53874730"/>
    <n v="2017"/>
    <m/>
    <s v=" "/>
    <m/>
    <m/>
    <m/>
    <m/>
    <s v="YES"/>
    <s v="NO"/>
    <s v="7th District"/>
    <s v="NO"/>
    <n v="0"/>
    <s v="YES"/>
    <s v="NO"/>
    <n v="0.73299999999999998"/>
    <n v="2062662"/>
    <m/>
    <m/>
    <m/>
    <m/>
    <m/>
    <n v="0"/>
    <m/>
    <m/>
    <m/>
    <m/>
    <n v="1.09E-2"/>
    <n v="30672.6"/>
    <m/>
    <n v="0.73299999999999998"/>
    <n v="2062662"/>
    <m/>
    <m/>
    <m/>
    <m/>
    <m/>
    <n v="0"/>
    <m/>
    <n v="1.09E-2"/>
    <n v="30672.6"/>
    <m/>
    <m/>
    <m/>
    <m/>
    <m/>
    <n v="0"/>
    <m/>
    <m/>
    <m/>
    <m/>
    <m/>
    <n v="0"/>
    <m/>
    <m/>
    <m/>
    <m/>
    <m/>
    <n v="0"/>
    <m/>
    <m/>
    <m/>
    <m/>
    <m/>
    <n v="0"/>
    <m/>
    <m/>
    <m/>
    <m/>
    <n v="0.19589999999999999"/>
    <n v="551262.6"/>
    <m/>
    <m/>
    <m/>
    <m/>
    <n v="6.0199999999999997E-2"/>
    <n v="169402.8"/>
    <m/>
    <m/>
    <m/>
    <m/>
    <m/>
    <n v="0"/>
    <m/>
    <m/>
    <m/>
    <m/>
    <n v="1"/>
    <n v="2814000"/>
  </r>
  <r>
    <m/>
    <n v="4"/>
    <n v="4"/>
    <s v="US"/>
    <n v="59"/>
    <s v="US 59"/>
    <s v="7609-10"/>
    <x v="9"/>
    <s v="2017-21"/>
    <s v="S"/>
    <s v="MNDOT"/>
    <m/>
    <s v="TH 119 TO JCT. TH 12, MILL AND OVERLAY"/>
    <n v="3400000"/>
    <n v="0"/>
    <n v="0"/>
    <n v="2720000"/>
    <n v="0"/>
    <n v="2720000"/>
    <n v="0"/>
    <n v="0"/>
    <n v="0"/>
    <n v="0"/>
    <n v="0"/>
    <n v="0"/>
    <n v="0"/>
    <n v="0"/>
    <n v="0"/>
    <n v="3400000"/>
    <n v="680000"/>
    <n v="0"/>
    <n v="680000"/>
    <n v="0"/>
    <n v="0"/>
    <n v="3400000"/>
    <n v="107085839.5"/>
    <n v="53874730"/>
    <n v="2017"/>
    <m/>
    <m/>
    <m/>
    <m/>
    <m/>
    <m/>
    <s v="NO"/>
    <s v="YES"/>
    <s v="7th District"/>
    <s v="NO"/>
    <n v="0"/>
    <s v="YES"/>
    <s v="NO"/>
    <n v="1"/>
    <n v="3400000"/>
    <m/>
    <m/>
    <m/>
    <m/>
    <m/>
    <n v="0"/>
    <m/>
    <m/>
    <m/>
    <m/>
    <m/>
    <n v="0"/>
    <m/>
    <n v="1"/>
    <n v="3400000"/>
    <m/>
    <m/>
    <m/>
    <m/>
    <m/>
    <n v="0"/>
    <m/>
    <m/>
    <n v="0"/>
    <m/>
    <m/>
    <m/>
    <m/>
    <m/>
    <n v="0"/>
    <m/>
    <m/>
    <m/>
    <m/>
    <m/>
    <n v="0"/>
    <m/>
    <m/>
    <m/>
    <m/>
    <m/>
    <n v="0"/>
    <m/>
    <m/>
    <m/>
    <m/>
    <m/>
    <n v="0"/>
    <m/>
    <m/>
    <m/>
    <m/>
    <m/>
    <n v="0"/>
    <m/>
    <m/>
    <m/>
    <m/>
    <m/>
    <n v="0"/>
    <m/>
    <m/>
    <m/>
    <m/>
    <m/>
    <n v="0"/>
    <m/>
    <m/>
    <m/>
    <m/>
    <n v="1"/>
    <n v="3400000"/>
  </r>
  <r>
    <m/>
    <n v="3"/>
    <n v="3"/>
    <s v="MN"/>
    <n v="27"/>
    <s v="MN 27"/>
    <s v="7704-14"/>
    <x v="9"/>
    <s v="2016-01"/>
    <s v="S"/>
    <s v="MNDOT"/>
    <m/>
    <s v="N JCT TH 71 TO 9TH ST NE IN LONG PRAIRIE, MILL AND OVERLAY"/>
    <s v="111+00.329"/>
    <s v="112+00.0400"/>
    <n v="0.71"/>
    <m/>
    <s v="TODD"/>
    <s v="RS"/>
    <s v="1-P "/>
    <s v="1-P"/>
    <m/>
    <s v="PVTR - PAVEMENT RESURFACE AND REHABILITATION"/>
    <s v="MILL AND OVERLAY"/>
    <s v="SF  "/>
    <s v="SF"/>
    <m/>
    <m/>
    <n v="500000"/>
    <n v="0"/>
    <n v="0"/>
    <n v="0"/>
    <n v="0"/>
    <n v="0"/>
    <n v="0"/>
    <n v="0"/>
    <n v="0"/>
    <n v="0"/>
    <n v="0"/>
    <n v="0"/>
    <n v="0"/>
    <n v="0"/>
    <n v="0"/>
    <n v="0"/>
    <n v="0"/>
    <n v="0"/>
    <n v="0"/>
    <n v="0"/>
    <n v="0"/>
    <n v="0"/>
    <n v="0"/>
    <n v="0"/>
    <n v="0"/>
    <n v="0"/>
    <n v="500000"/>
    <n v="0"/>
    <n v="500000"/>
    <n v="0"/>
    <n v="0"/>
    <n v="500000"/>
    <n v="26977300"/>
    <n v="5670000"/>
    <n v="2017"/>
    <m/>
    <m/>
    <m/>
    <n v="0.88500000000000001"/>
    <n v="442500"/>
    <m/>
    <m/>
    <m/>
    <m/>
    <m/>
    <n v="0"/>
    <m/>
    <n v="0.115"/>
    <n v="57500"/>
    <s v="Pavement markings"/>
    <m/>
    <m/>
    <m/>
    <m/>
    <n v="0"/>
    <m/>
    <m/>
    <m/>
    <m/>
    <m/>
    <n v="0"/>
    <m/>
    <m/>
    <m/>
    <m/>
    <m/>
    <n v="0"/>
    <m/>
    <m/>
    <m/>
    <m/>
    <m/>
    <n v="0"/>
    <m/>
    <m/>
    <m/>
    <m/>
    <m/>
    <n v="0"/>
    <m/>
    <m/>
    <m/>
    <m/>
    <m/>
    <n v="0"/>
    <m/>
    <m/>
    <m/>
    <m/>
    <m/>
    <n v="0"/>
    <m/>
    <m/>
    <m/>
    <m/>
    <n v="1"/>
    <n v="500000"/>
  </r>
  <r>
    <m/>
    <n v="3"/>
    <n v="3"/>
    <s v="US"/>
    <n v="71"/>
    <s v="US 71"/>
    <s v="7707-24"/>
    <x v="9"/>
    <m/>
    <s v="S"/>
    <s v="MNDOT"/>
    <m/>
    <s v="N OF SOUTH LIMITS IN LONG PRAIRIE N TO S END OF LONG PRAIRIE RIVER BRIDGE (BRIDGE #6852), MILL AND OVERLAY"/>
    <s v="185+00.744"/>
    <s v="186+00.555"/>
    <n v="0.82"/>
    <m/>
    <s v="TODD"/>
    <s v="RS"/>
    <s v="1-P "/>
    <s v="1-P"/>
    <m/>
    <s v="PVTR - PAVEMENT RESURFACE AND REHABILITATION"/>
    <s v="MILL AND OVERLAY"/>
    <s v="NHPP SF "/>
    <s v="NHPP"/>
    <s v="SF"/>
    <m/>
    <n v="500000"/>
    <n v="0"/>
    <n v="0"/>
    <n v="0"/>
    <n v="400000"/>
    <n v="0"/>
    <n v="0"/>
    <n v="0"/>
    <n v="0"/>
    <n v="0"/>
    <n v="0"/>
    <n v="0"/>
    <n v="400000"/>
    <n v="400000"/>
    <n v="0"/>
    <n v="400000"/>
    <n v="0"/>
    <n v="0"/>
    <n v="0"/>
    <n v="0"/>
    <n v="0"/>
    <n v="0"/>
    <n v="0"/>
    <n v="0"/>
    <n v="0"/>
    <n v="0"/>
    <n v="100000"/>
    <n v="0"/>
    <n v="100000"/>
    <n v="0"/>
    <n v="0"/>
    <n v="500000"/>
    <n v="27377300"/>
    <n v="7170000"/>
    <n v="2017"/>
    <m/>
    <m/>
    <m/>
    <n v="0.95"/>
    <n v="475000"/>
    <m/>
    <m/>
    <m/>
    <m/>
    <m/>
    <n v="0"/>
    <m/>
    <n v="0.05"/>
    <n v="25000"/>
    <s v="Pavement markings"/>
    <m/>
    <m/>
    <m/>
    <m/>
    <n v="0"/>
    <m/>
    <m/>
    <m/>
    <m/>
    <m/>
    <n v="0"/>
    <m/>
    <m/>
    <m/>
    <m/>
    <m/>
    <n v="0"/>
    <m/>
    <m/>
    <m/>
    <m/>
    <m/>
    <n v="0"/>
    <m/>
    <m/>
    <m/>
    <m/>
    <m/>
    <n v="0"/>
    <m/>
    <m/>
    <m/>
    <m/>
    <m/>
    <n v="0"/>
    <m/>
    <m/>
    <m/>
    <m/>
    <m/>
    <n v="0"/>
    <m/>
    <m/>
    <m/>
    <m/>
    <n v="1"/>
    <n v="500000"/>
  </r>
  <r>
    <m/>
    <n v="3"/>
    <n v="3"/>
    <s v="US"/>
    <n v="71"/>
    <s v="US 71"/>
    <s v="7708-39"/>
    <x v="0"/>
    <s v="2015-03"/>
    <s v="S"/>
    <s v="MNDOT"/>
    <m/>
    <s v="IN BROWERVILLE FROM BR #6227 TO BR #6228, RECONSTRUCTION, INCLUDING CURB &amp; GUTTER, SIDEWALK, STORM SEWER, CITY WORK INCLUDES WATER MAIN AND SANITARY SEWER"/>
    <s v="193+00.813"/>
    <s v="194+00.701"/>
    <n v="0.9"/>
    <s v="BROWERVILLE"/>
    <s v="TODD"/>
    <s v="RS"/>
    <s v="1-P "/>
    <s v="1-P"/>
    <m/>
    <s v="PVTR - PAVEMENT RESURFACE AND REHABILITATION"/>
    <s v="MILL AND OVERLAY"/>
    <s v="NHPP SF LF"/>
    <s v="NHPP"/>
    <s v="SF"/>
    <s v="LF"/>
    <n v="3425000"/>
    <n v="0"/>
    <n v="0"/>
    <n v="0"/>
    <n v="2160000"/>
    <n v="0"/>
    <n v="0"/>
    <n v="0"/>
    <n v="0"/>
    <n v="0"/>
    <n v="0"/>
    <n v="0"/>
    <n v="2160000"/>
    <n v="2160000"/>
    <n v="0"/>
    <n v="2160000"/>
    <n v="0"/>
    <n v="0"/>
    <n v="0"/>
    <n v="0"/>
    <n v="725000"/>
    <n v="0"/>
    <n v="0"/>
    <n v="0"/>
    <n v="0"/>
    <n v="0"/>
    <n v="540000"/>
    <n v="0"/>
    <n v="540000"/>
    <n v="0"/>
    <n v="725000"/>
    <n v="3425000"/>
    <n v="25980626"/>
    <n v="13702137"/>
    <n v="2014"/>
    <m/>
    <m/>
    <m/>
    <n v="0.82099999999999995"/>
    <n v="2216700"/>
    <m/>
    <m/>
    <m/>
    <m/>
    <m/>
    <n v="0"/>
    <m/>
    <n v="0.115"/>
    <n v="310500"/>
    <s v="Drainage and culverts"/>
    <m/>
    <m/>
    <m/>
    <n v="3.2000000000000001E-2"/>
    <n v="86400"/>
    <s v="Low cost high benefit"/>
    <m/>
    <m/>
    <m/>
    <m/>
    <n v="0"/>
    <m/>
    <m/>
    <m/>
    <m/>
    <m/>
    <n v="0"/>
    <m/>
    <m/>
    <m/>
    <m/>
    <n v="2.3E-2"/>
    <n v="62100"/>
    <m/>
    <m/>
    <m/>
    <m/>
    <n v="8.9999999999999993E-3"/>
    <n v="24299.999999999996"/>
    <m/>
    <m/>
    <m/>
    <m/>
    <m/>
    <n v="0"/>
    <m/>
    <m/>
    <m/>
    <m/>
    <m/>
    <n v="0"/>
    <m/>
    <m/>
    <m/>
    <m/>
    <n v="1"/>
    <n v="2700000"/>
  </r>
  <r>
    <m/>
    <n v="3"/>
    <n v="3"/>
    <s v="US"/>
    <n v="71"/>
    <s v="US 71"/>
    <s v="7709-16"/>
    <x v="9"/>
    <m/>
    <s v="S"/>
    <s v="MNDOT"/>
    <m/>
    <s v="BERTHA TO WADENA/TODD CO LINE, MILL AND OVERLAY"/>
    <s v="211+00.774"/>
    <s v="219+00.635"/>
    <n v="7.9"/>
    <m/>
    <s v="MULTICOUNTY"/>
    <s v="RS"/>
    <s v="1-P "/>
    <s v="1-P"/>
    <m/>
    <s v="PVTR - PAVEMENT RESURFACE AND REHABILITATION"/>
    <s v="MILL AND OVERLAY"/>
    <s v="NHPP SF "/>
    <s v="NHPP"/>
    <s v="SF"/>
    <m/>
    <n v="3000000"/>
    <n v="0"/>
    <n v="0"/>
    <n v="0"/>
    <n v="2400000"/>
    <n v="0"/>
    <n v="0"/>
    <n v="0"/>
    <n v="0"/>
    <n v="0"/>
    <n v="0"/>
    <n v="0"/>
    <n v="2400000"/>
    <n v="2400000"/>
    <n v="0"/>
    <n v="2400000"/>
    <n v="0"/>
    <n v="0"/>
    <n v="0"/>
    <n v="0"/>
    <n v="0"/>
    <n v="0"/>
    <n v="0"/>
    <n v="0"/>
    <n v="0"/>
    <n v="0"/>
    <n v="600000"/>
    <n v="0"/>
    <n v="600000"/>
    <n v="0"/>
    <n v="0"/>
    <n v="3000000"/>
    <n v="29777300"/>
    <n v="7770000"/>
    <n v="2017"/>
    <m/>
    <m/>
    <m/>
    <n v="0.88500000000000001"/>
    <n v="2655000"/>
    <m/>
    <m/>
    <m/>
    <m/>
    <m/>
    <n v="0"/>
    <m/>
    <n v="0.115"/>
    <n v="345000"/>
    <s v="Pavement markings"/>
    <m/>
    <m/>
    <m/>
    <m/>
    <n v="0"/>
    <m/>
    <m/>
    <m/>
    <m/>
    <m/>
    <n v="0"/>
    <m/>
    <m/>
    <m/>
    <m/>
    <m/>
    <n v="0"/>
    <m/>
    <m/>
    <m/>
    <m/>
    <m/>
    <n v="0"/>
    <m/>
    <m/>
    <m/>
    <m/>
    <m/>
    <n v="0"/>
    <m/>
    <m/>
    <m/>
    <m/>
    <m/>
    <n v="0"/>
    <m/>
    <m/>
    <m/>
    <m/>
    <m/>
    <n v="0"/>
    <m/>
    <m/>
    <m/>
    <m/>
    <n v="1"/>
    <n v="3000000"/>
  </r>
  <r>
    <m/>
    <n v="4"/>
    <n v="4"/>
    <s v="MN"/>
    <n v="27"/>
    <s v="MN 27"/>
    <s v="7802-32"/>
    <x v="0"/>
    <s v="2014-33"/>
    <s v="S"/>
    <s v="MNDOT"/>
    <m/>
    <s v="JCT. TH 28 TO RP 12.9 AND TH 117 FROM S. DAKOTA BRIDGE TO JCT. OF TH 27- MILL &amp; BITUMINOUS SURFACING"/>
    <n v="2339384"/>
    <n v="0"/>
    <n v="0"/>
    <n v="1871507"/>
    <n v="0"/>
    <n v="1871507"/>
    <n v="0"/>
    <n v="0"/>
    <n v="0"/>
    <n v="0"/>
    <n v="0"/>
    <n v="0"/>
    <n v="0"/>
    <n v="0"/>
    <n v="0"/>
    <n v="2339384"/>
    <n v="467877"/>
    <n v="0"/>
    <n v="467877"/>
    <n v="0"/>
    <n v="0"/>
    <n v="2339384"/>
    <n v="39537156.700000003"/>
    <n v="20946877.800000001"/>
    <n v="2014"/>
    <m/>
    <m/>
    <m/>
    <m/>
    <m/>
    <m/>
    <s v="NO"/>
    <s v="NO"/>
    <s v="7th District"/>
    <s v="NO"/>
    <n v="0"/>
    <s v="YES"/>
    <s v="NO"/>
    <n v="0.84559796399999998"/>
    <n v="1978178.347414176"/>
    <m/>
    <m/>
    <m/>
    <m/>
    <m/>
    <n v="0"/>
    <m/>
    <m/>
    <m/>
    <m/>
    <n v="0.107893877"/>
    <n v="252405.209551768"/>
    <m/>
    <n v="0.84559796399999998"/>
    <n v="1978178.347414176"/>
    <m/>
    <m/>
    <m/>
    <m/>
    <m/>
    <n v="0"/>
    <m/>
    <n v="0.107893877"/>
    <n v="252405.209551768"/>
    <m/>
    <m/>
    <m/>
    <m/>
    <n v="2.2352092E-2"/>
    <n v="52290.126391327998"/>
    <m/>
    <m/>
    <m/>
    <m/>
    <m/>
    <n v="0"/>
    <m/>
    <m/>
    <m/>
    <m/>
    <m/>
    <n v="0"/>
    <m/>
    <m/>
    <m/>
    <m/>
    <m/>
    <n v="0"/>
    <m/>
    <m/>
    <m/>
    <m/>
    <m/>
    <n v="0"/>
    <m/>
    <m/>
    <m/>
    <m/>
    <n v="2.4156067E-2"/>
    <n v="56510.316642728001"/>
    <m/>
    <m/>
    <m/>
    <m/>
    <m/>
    <n v="0"/>
    <m/>
    <m/>
    <m/>
    <m/>
    <n v="0.99999999999999989"/>
    <n v="2339384"/>
  </r>
  <r>
    <m/>
    <n v="6"/>
    <n v="6"/>
    <s v="MN"/>
    <n v="42"/>
    <s v="MN 42"/>
    <s v="7901-47"/>
    <x v="2"/>
    <m/>
    <s v="S"/>
    <s v="MNDOT"/>
    <m/>
    <s v="ON T.H. 42 (ELGIN), REPLACE BRIDGE 5969 "/>
    <s v="009+00.019"/>
    <s v="009+00.454"/>
    <n v="0"/>
    <m/>
    <s v="WABASHA"/>
    <s v="BR"/>
    <s v="1-B "/>
    <s v="1-B"/>
    <m/>
    <s v="BRPC - BRIDGE REPLACEMENT OR CONSTRUCTION"/>
    <s v="BRIDGE REPLACEMENT"/>
    <s v="STP5K  "/>
    <s v="STP5K"/>
    <m/>
    <m/>
    <n v="652746"/>
    <n v="0"/>
    <n v="0"/>
    <n v="522197"/>
    <n v="0"/>
    <n v="522197"/>
    <n v="0"/>
    <n v="0"/>
    <n v="0"/>
    <n v="0"/>
    <n v="0"/>
    <n v="0"/>
    <n v="0"/>
    <n v="0"/>
    <n v="0"/>
    <n v="0"/>
    <n v="130549"/>
    <n v="0"/>
    <n v="130549"/>
    <n v="0"/>
    <n v="0"/>
    <n v="652746"/>
    <n v="27005609"/>
    <n v="130549"/>
    <n v="2016"/>
    <m/>
    <n v="60.5"/>
    <m/>
    <m/>
    <m/>
    <m/>
    <s v="NO"/>
    <s v="NO"/>
    <s v="2nd District"/>
    <s v="NO"/>
    <s v="NO"/>
    <s v="Yes"/>
    <s v="NO"/>
    <m/>
    <n v="0"/>
    <m/>
    <m/>
    <m/>
    <m/>
    <n v="0.92900000000000005"/>
    <n v="606401.03399999999"/>
    <m/>
    <m/>
    <n v="0"/>
    <m/>
    <m/>
    <m/>
    <m/>
    <m/>
    <n v="0"/>
    <m/>
    <m/>
    <m/>
    <m/>
    <m/>
    <n v="0"/>
    <m/>
    <m/>
    <m/>
    <m/>
    <m/>
    <n v="0"/>
    <m/>
    <m/>
    <m/>
    <m/>
    <n v="3.5000000000000003E-2"/>
    <n v="22846.11"/>
    <m/>
    <m/>
    <m/>
    <m/>
    <n v="3.5999999999999997E-2"/>
    <n v="23498.856"/>
    <m/>
    <m/>
    <m/>
    <m/>
    <m/>
    <n v="0"/>
    <m/>
    <m/>
    <m/>
    <m/>
    <m/>
    <n v="0"/>
    <m/>
    <m/>
    <m/>
    <m/>
    <n v="1"/>
    <n v="652746"/>
  </r>
  <r>
    <n v="88"/>
    <n v="6"/>
    <n v="6"/>
    <s v="MN"/>
    <n v="42"/>
    <s v="MN 42"/>
    <s v="7901-48"/>
    <x v="9"/>
    <m/>
    <s v="S"/>
    <s v="MNDOT"/>
    <m/>
    <s v="NEAR KELLOGG, REPLACE BRIDGE 5787 "/>
    <s v="027+00.149"/>
    <s v="027+00.149"/>
    <n v="0"/>
    <m/>
    <s v="WABASHA"/>
    <s v="BR"/>
    <s v=" "/>
    <m/>
    <m/>
    <s v="BRPC - BRIDGE REPLACEMENT OR CONSTRUCTION"/>
    <s v="BRIDGE REPLACEMENT"/>
    <s v="SF  "/>
    <s v="SF"/>
    <m/>
    <m/>
    <n v="1100000"/>
    <n v="0"/>
    <n v="0"/>
    <n v="0"/>
    <n v="0"/>
    <n v="0"/>
    <n v="0"/>
    <n v="0"/>
    <n v="0"/>
    <n v="0"/>
    <n v="0"/>
    <n v="0"/>
    <n v="0"/>
    <n v="0"/>
    <n v="0"/>
    <n v="0"/>
    <n v="1100000"/>
    <n v="0"/>
    <n v="1100000"/>
    <n v="0"/>
    <n v="0"/>
    <n v="1100000"/>
    <n v="13864800"/>
    <n v="4394848"/>
    <n v="2017"/>
    <m/>
    <n v="62"/>
    <m/>
    <m/>
    <m/>
    <m/>
    <s v="NO"/>
    <s v="NO"/>
    <s v="2nd District"/>
    <s v="NO"/>
    <s v="NO"/>
    <s v="Yes"/>
    <m/>
    <n v="0.92900000000000005"/>
    <n v="1021900"/>
    <m/>
    <m/>
    <m/>
    <m/>
    <m/>
    <n v="0"/>
    <m/>
    <m/>
    <n v="0"/>
    <m/>
    <m/>
    <m/>
    <m/>
    <m/>
    <n v="0"/>
    <m/>
    <m/>
    <m/>
    <m/>
    <m/>
    <n v="0"/>
    <m/>
    <m/>
    <m/>
    <m/>
    <m/>
    <n v="0"/>
    <m/>
    <m/>
    <m/>
    <m/>
    <n v="3.5000000000000003E-2"/>
    <n v="38500.000000000007"/>
    <m/>
    <m/>
    <m/>
    <m/>
    <n v="3.5999999999999997E-2"/>
    <n v="39600"/>
    <m/>
    <m/>
    <m/>
    <m/>
    <m/>
    <n v="0"/>
    <m/>
    <m/>
    <m/>
    <m/>
    <m/>
    <n v="0"/>
    <m/>
    <m/>
    <m/>
    <m/>
    <n v="1"/>
    <n v="1100000"/>
  </r>
  <r>
    <m/>
    <n v="6"/>
    <n v="6"/>
    <s v="MN"/>
    <n v="60"/>
    <s v="MN 60"/>
    <s v="7902-21"/>
    <x v="0"/>
    <m/>
    <s v="S"/>
    <s v="MNDOT"/>
    <m/>
    <s v="NEAR MAZEPPA, REPLACE BRIDGE 6532 WITH BRIDGE 79012"/>
    <s v="186+00.690"/>
    <s v="186+00.840"/>
    <n v="0.15"/>
    <m/>
    <s v="GOODHUE"/>
    <s v="BR"/>
    <s v="1-B "/>
    <s v="1-B"/>
    <m/>
    <s v="BRPC - BRIDGE REPLACEMENT OR CONSTRUCTION"/>
    <s v="BRIDGE REPLACEMENT"/>
    <s v="STP5K  "/>
    <s v="STP5K"/>
    <m/>
    <m/>
    <n v="1980000"/>
    <n v="0"/>
    <n v="0"/>
    <n v="1584000"/>
    <n v="0"/>
    <n v="1584000"/>
    <n v="0"/>
    <n v="0"/>
    <n v="0"/>
    <n v="0"/>
    <n v="0"/>
    <n v="0"/>
    <n v="0"/>
    <n v="0"/>
    <n v="0"/>
    <n v="0"/>
    <n v="396000"/>
    <n v="0"/>
    <n v="396000"/>
    <n v="0"/>
    <n v="0"/>
    <n v="1980000"/>
    <n v="40586317.459999993"/>
    <n v="8315919.6899999995"/>
    <n v="2014"/>
    <m/>
    <n v="70"/>
    <m/>
    <m/>
    <m/>
    <m/>
    <s v="NO"/>
    <s v="NO"/>
    <s v="2nd District"/>
    <s v="NO"/>
    <s v="NO"/>
    <s v="Yes"/>
    <s v="NO"/>
    <m/>
    <n v="0"/>
    <m/>
    <m/>
    <m/>
    <m/>
    <n v="0.92900000000000005"/>
    <n v="1839420"/>
    <m/>
    <m/>
    <n v="0"/>
    <m/>
    <m/>
    <m/>
    <m/>
    <m/>
    <n v="0"/>
    <m/>
    <m/>
    <m/>
    <m/>
    <m/>
    <n v="0"/>
    <m/>
    <m/>
    <m/>
    <m/>
    <m/>
    <n v="0"/>
    <m/>
    <m/>
    <m/>
    <m/>
    <n v="3.5000000000000003E-2"/>
    <n v="69300"/>
    <m/>
    <m/>
    <m/>
    <m/>
    <n v="3.5999999999999997E-2"/>
    <n v="71280"/>
    <m/>
    <m/>
    <m/>
    <m/>
    <m/>
    <n v="0"/>
    <m/>
    <m/>
    <m/>
    <m/>
    <m/>
    <n v="0"/>
    <m/>
    <m/>
    <m/>
    <m/>
    <n v="1"/>
    <n v="1980000"/>
  </r>
  <r>
    <m/>
    <n v="6"/>
    <n v="6"/>
    <s v="MN"/>
    <n v="60"/>
    <s v="MN 60"/>
    <s v="7902-23"/>
    <x v="1"/>
    <m/>
    <s v="S"/>
    <s v="MNDOT"/>
    <m/>
    <s v="NEAR MAZEPPA, REPLACE BRIDGE 6832 "/>
    <s v="188+000.296"/>
    <s v="188+00.448"/>
    <n v="0.152"/>
    <m/>
    <s v="WABASHA"/>
    <s v="BR"/>
    <s v="1-B "/>
    <s v="1-B"/>
    <m/>
    <s v="BRPC - BRIDGE REPLACEMENT OR CONSTRUCTION"/>
    <s v="BRIDGE REPLACEMENT"/>
    <s v="STP5K  "/>
    <s v="STP5K"/>
    <m/>
    <m/>
    <n v="1309000"/>
    <n v="0"/>
    <n v="0"/>
    <n v="1047200"/>
    <n v="0"/>
    <n v="1047200"/>
    <n v="0"/>
    <n v="0"/>
    <n v="0"/>
    <n v="0"/>
    <n v="0"/>
    <n v="0"/>
    <n v="0"/>
    <n v="0"/>
    <n v="0"/>
    <n v="0"/>
    <n v="261800"/>
    <n v="0"/>
    <n v="261800"/>
    <n v="0"/>
    <n v="0"/>
    <n v="1309000"/>
    <n v="65164449"/>
    <n v="4206776"/>
    <n v="2015"/>
    <m/>
    <n v="81.400000000000006"/>
    <m/>
    <m/>
    <m/>
    <m/>
    <s v="NO"/>
    <s v="NO"/>
    <s v="2nd District"/>
    <s v="NO"/>
    <s v="NO"/>
    <s v="Yes"/>
    <s v="NO"/>
    <m/>
    <n v="0"/>
    <m/>
    <m/>
    <m/>
    <m/>
    <n v="1"/>
    <n v="1309000"/>
    <m/>
    <m/>
    <n v="0"/>
    <m/>
    <m/>
    <m/>
    <m/>
    <m/>
    <n v="0"/>
    <m/>
    <m/>
    <m/>
    <m/>
    <m/>
    <n v="0"/>
    <m/>
    <m/>
    <m/>
    <m/>
    <m/>
    <n v="0"/>
    <m/>
    <m/>
    <m/>
    <m/>
    <m/>
    <n v="0"/>
    <m/>
    <m/>
    <m/>
    <m/>
    <m/>
    <n v="0"/>
    <m/>
    <m/>
    <m/>
    <m/>
    <m/>
    <n v="0"/>
    <m/>
    <m/>
    <m/>
    <m/>
    <m/>
    <n v="0"/>
    <m/>
    <m/>
    <m/>
    <m/>
    <n v="1"/>
    <n v="1309000"/>
  </r>
  <r>
    <m/>
    <n v="6"/>
    <n v="6"/>
    <s v="MN"/>
    <n v="60"/>
    <s v="MN 60"/>
    <s v="7903-45"/>
    <x v="0"/>
    <m/>
    <s v="S"/>
    <s v="MNDOT"/>
    <m/>
    <s v="**BP08**TH 60 OVER TROUT CREEK, REPLACE BRIDGE 5397 WITH BRIDGE 79011"/>
    <s v="211+00.989"/>
    <s v="211+00.989"/>
    <n v="0"/>
    <m/>
    <s v="WABASHA"/>
    <s v="BR"/>
    <s v="1-B "/>
    <s v="1-B"/>
    <m/>
    <s v="BRPC - BRIDGE REPLACEMENT OR CONSTRUCTION"/>
    <s v="BRIDGE REPLACEMENT"/>
    <s v="BF  "/>
    <s v="BF"/>
    <m/>
    <m/>
    <n v="1241000"/>
    <n v="0"/>
    <n v="0"/>
    <n v="0"/>
    <n v="0"/>
    <n v="0"/>
    <n v="0"/>
    <n v="0"/>
    <n v="0"/>
    <n v="0"/>
    <n v="0"/>
    <n v="0"/>
    <n v="0"/>
    <n v="0"/>
    <n v="0"/>
    <n v="0"/>
    <n v="0"/>
    <n v="0"/>
    <n v="0"/>
    <n v="1241000"/>
    <n v="0"/>
    <n v="1241000"/>
    <n v="40586317.459999993"/>
    <n v="8315919.6899999995"/>
    <n v="2014"/>
    <m/>
    <n v="72"/>
    <s v="BP08"/>
    <m/>
    <m/>
    <m/>
    <s v="NO"/>
    <s v="NO"/>
    <s v="2nd District"/>
    <s v="NO"/>
    <s v="NO"/>
    <s v="NO"/>
    <s v="NO"/>
    <m/>
    <n v="0"/>
    <m/>
    <m/>
    <m/>
    <m/>
    <n v="0.92900000000000005"/>
    <n v="1152889"/>
    <m/>
    <m/>
    <n v="0"/>
    <m/>
    <m/>
    <m/>
    <m/>
    <m/>
    <n v="0"/>
    <m/>
    <m/>
    <m/>
    <m/>
    <m/>
    <n v="0"/>
    <m/>
    <m/>
    <m/>
    <m/>
    <m/>
    <n v="0"/>
    <m/>
    <m/>
    <m/>
    <m/>
    <n v="3.5000000000000003E-2"/>
    <n v="43435.000000000007"/>
    <m/>
    <m/>
    <m/>
    <m/>
    <n v="3.5999999999999997E-2"/>
    <n v="44676"/>
    <m/>
    <m/>
    <m/>
    <m/>
    <m/>
    <n v="0"/>
    <m/>
    <m/>
    <m/>
    <m/>
    <m/>
    <n v="0"/>
    <m/>
    <m/>
    <m/>
    <m/>
    <n v="1"/>
    <n v="1241000"/>
  </r>
  <r>
    <m/>
    <n v="6"/>
    <n v="6"/>
    <s v="US"/>
    <n v="63"/>
    <s v="US 63"/>
    <s v="7908-30"/>
    <x v="1"/>
    <m/>
    <s v="S"/>
    <s v="MNDOT"/>
    <m/>
    <s v="OVER MILLER CREEK, REPLACE BRIDGES 9166 AND 9167"/>
    <s v="070+00.989"/>
    <s v="070+00.989"/>
    <n v="0"/>
    <m/>
    <s v="WABASHA"/>
    <s v="BR"/>
    <s v="1-B "/>
    <s v="1-B"/>
    <m/>
    <s v="BRPC - BRIDGE REPLACEMENT OR CONSTRUCTION"/>
    <s v="BRIDGE REPLACEMENT"/>
    <s v="STP5K  "/>
    <s v="STP5K"/>
    <m/>
    <m/>
    <n v="2446000"/>
    <n v="0"/>
    <n v="0"/>
    <n v="1956800"/>
    <n v="0"/>
    <n v="1956800"/>
    <n v="0"/>
    <n v="0"/>
    <n v="0"/>
    <n v="0"/>
    <n v="0"/>
    <n v="0"/>
    <n v="0"/>
    <n v="0"/>
    <n v="0"/>
    <n v="0"/>
    <n v="489200"/>
    <n v="0"/>
    <n v="489200"/>
    <n v="0"/>
    <n v="0"/>
    <n v="2446000"/>
    <n v="74521159"/>
    <n v="8889277"/>
    <n v="2015"/>
    <m/>
    <n v="65.599999999999994"/>
    <m/>
    <m/>
    <m/>
    <m/>
    <s v="NO"/>
    <s v="NO"/>
    <s v="2nd District"/>
    <s v="NO"/>
    <s v="NO"/>
    <s v="Yes"/>
    <s v="NO"/>
    <m/>
    <n v="0"/>
    <m/>
    <m/>
    <m/>
    <m/>
    <n v="1"/>
    <n v="2446000"/>
    <m/>
    <m/>
    <n v="0"/>
    <m/>
    <m/>
    <m/>
    <m/>
    <m/>
    <n v="0"/>
    <m/>
    <m/>
    <m/>
    <m/>
    <m/>
    <n v="0"/>
    <m/>
    <m/>
    <m/>
    <m/>
    <m/>
    <n v="0"/>
    <m/>
    <m/>
    <m/>
    <m/>
    <m/>
    <n v="0"/>
    <m/>
    <m/>
    <m/>
    <m/>
    <m/>
    <n v="0"/>
    <m/>
    <m/>
    <m/>
    <m/>
    <m/>
    <n v="0"/>
    <m/>
    <m/>
    <m/>
    <m/>
    <m/>
    <n v="0"/>
    <m/>
    <m/>
    <m/>
    <m/>
    <n v="1"/>
    <n v="2446000"/>
  </r>
  <r>
    <m/>
    <n v="7"/>
    <n v="7"/>
    <s v="MN"/>
    <n v="13"/>
    <s v="MN 13"/>
    <s v="8101-48"/>
    <x v="9"/>
    <m/>
    <s v="S"/>
    <s v="MNDOT"/>
    <m/>
    <s v="FROM JCT TH 30 AT NEW RICHLAND TO 1.5 MI SOUTH OF WASECA, MILL &amp; OVERLAY AND REHAB BR#81001 &amp; 81002"/>
    <s v="018+00.471"/>
    <s v="029+00.360"/>
    <n v="10.9"/>
    <m/>
    <s v="WASECA"/>
    <s v="RS"/>
    <m/>
    <m/>
    <m/>
    <s v="PVTR - PAVEMENT RESURFACE AND REHABILITATION"/>
    <s v="MILL AND OVERLAY"/>
    <s v="STP5K  "/>
    <s v="STP5K"/>
    <m/>
    <m/>
    <n v="4080000"/>
    <n v="0"/>
    <n v="0"/>
    <n v="3264000"/>
    <n v="0"/>
    <n v="3264000"/>
    <n v="0"/>
    <n v="0"/>
    <n v="0"/>
    <n v="0"/>
    <n v="0"/>
    <n v="0"/>
    <n v="0"/>
    <n v="0"/>
    <n v="0"/>
    <n v="0"/>
    <n v="816000"/>
    <n v="0"/>
    <n v="816000"/>
    <n v="0"/>
    <n v="0"/>
    <n v="5256863"/>
    <n v="49266000"/>
    <n v="8306800"/>
    <n v="2017"/>
    <m/>
    <m/>
    <m/>
    <m/>
    <m/>
    <m/>
    <m/>
    <s v="NO"/>
    <m/>
    <s v="NO"/>
    <s v="NO"/>
    <s v="Yes"/>
    <s v="NO"/>
    <n v="0.82099999999999995"/>
    <n v="3349680"/>
    <m/>
    <m/>
    <m/>
    <m/>
    <m/>
    <n v="0"/>
    <m/>
    <n v="0.115"/>
    <n v="469200"/>
    <m/>
    <m/>
    <m/>
    <m/>
    <n v="3.2000000000000001E-2"/>
    <n v="130560"/>
    <m/>
    <m/>
    <m/>
    <m/>
    <m/>
    <n v="0"/>
    <m/>
    <m/>
    <m/>
    <m/>
    <m/>
    <n v="0"/>
    <m/>
    <m/>
    <m/>
    <m/>
    <n v="2.3E-2"/>
    <n v="93840"/>
    <m/>
    <m/>
    <m/>
    <m/>
    <n v="8.9999999999999993E-3"/>
    <n v="36720"/>
    <m/>
    <m/>
    <m/>
    <m/>
    <m/>
    <n v="0"/>
    <m/>
    <m/>
    <m/>
    <m/>
    <m/>
    <n v="0"/>
    <m/>
    <m/>
    <m/>
    <m/>
    <n v="1"/>
    <n v="4080000"/>
  </r>
  <r>
    <m/>
    <n v="7"/>
    <n v="7"/>
    <s v="MN"/>
    <n v="13"/>
    <s v="MN 13"/>
    <s v="8101-48B"/>
    <x v="9"/>
    <m/>
    <s v="S"/>
    <s v="MNDOT"/>
    <m/>
    <s v="FROM JCT TH 30 AT NEW RICHLAND TO 1.5 MI SOUTH OF WASECA, MILL &amp; OVERLAY AND REHAB BR#81001 &amp; 81002"/>
    <s v="018+00.471"/>
    <s v="029+00.360"/>
    <n v="10.9"/>
    <m/>
    <s v="WASECA"/>
    <s v="RS"/>
    <m/>
    <m/>
    <m/>
    <s v="PVTR - PAVEMENT RESURFACE AND REHABILITATION"/>
    <s v="MILL AND OVERLAY"/>
    <s v="STP5K  "/>
    <s v="STP5K"/>
    <m/>
    <m/>
    <n v="800000"/>
    <n v="0"/>
    <n v="0"/>
    <n v="640000"/>
    <n v="0"/>
    <n v="640000"/>
    <n v="0"/>
    <n v="0"/>
    <n v="0"/>
    <n v="0"/>
    <n v="0"/>
    <n v="0"/>
    <n v="0"/>
    <n v="0"/>
    <n v="0"/>
    <n v="0"/>
    <n v="160000"/>
    <n v="0"/>
    <n v="160000"/>
    <n v="0"/>
    <n v="0"/>
    <n v="5256863"/>
    <n v="61690000"/>
    <n v="11412800"/>
    <n v="2017"/>
    <m/>
    <m/>
    <m/>
    <m/>
    <m/>
    <m/>
    <m/>
    <s v="NO"/>
    <m/>
    <s v="NO"/>
    <s v="NO"/>
    <s v="Yes"/>
    <s v="NO"/>
    <n v="0.82099999999999995"/>
    <n v="656800"/>
    <m/>
    <m/>
    <m/>
    <m/>
    <m/>
    <n v="0"/>
    <m/>
    <n v="0.115"/>
    <n v="92000"/>
    <m/>
    <m/>
    <m/>
    <m/>
    <n v="3.2000000000000001E-2"/>
    <n v="25600"/>
    <m/>
    <m/>
    <m/>
    <m/>
    <m/>
    <n v="0"/>
    <m/>
    <m/>
    <m/>
    <m/>
    <m/>
    <n v="0"/>
    <m/>
    <m/>
    <m/>
    <m/>
    <n v="2.3E-2"/>
    <n v="18400"/>
    <m/>
    <m/>
    <m/>
    <m/>
    <n v="8.9999999999999993E-3"/>
    <n v="7199.9999999999991"/>
    <m/>
    <m/>
    <m/>
    <m/>
    <m/>
    <n v="0"/>
    <m/>
    <m/>
    <m/>
    <m/>
    <m/>
    <n v="0"/>
    <m/>
    <m/>
    <m/>
    <m/>
    <n v="1"/>
    <n v="800000"/>
  </r>
  <r>
    <m/>
    <s v="M"/>
    <s v="M"/>
    <s v="MN"/>
    <n v="36"/>
    <s v="MN 36"/>
    <s v="8204-62"/>
    <x v="1"/>
    <m/>
    <s v="S"/>
    <s v="MNDOT"/>
    <n v="7"/>
    <s v="FROM I-694 IN PINE SPRINGS TO JUST EAST OF HIGHLANDS TRAIL N. IN GRANT- LANDSCAPING"/>
    <m/>
    <m/>
    <m/>
    <m/>
    <m/>
    <m/>
    <m/>
    <m/>
    <m/>
    <m/>
    <m/>
    <m/>
    <m/>
    <m/>
    <m/>
    <n v="50000"/>
    <m/>
    <m/>
    <m/>
    <m/>
    <m/>
    <m/>
    <m/>
    <m/>
    <m/>
    <m/>
    <m/>
    <m/>
    <m/>
    <m/>
    <m/>
    <m/>
    <m/>
    <m/>
    <m/>
    <n v="0"/>
    <m/>
    <m/>
    <m/>
    <m/>
    <m/>
    <m/>
    <m/>
    <m/>
    <m/>
    <m/>
    <m/>
    <m/>
    <m/>
    <m/>
    <m/>
    <m/>
    <m/>
    <m/>
    <n v="0"/>
    <m/>
    <m/>
    <m/>
    <m/>
    <m/>
    <n v="0"/>
    <m/>
    <m/>
    <n v="0"/>
    <m/>
    <m/>
    <m/>
    <m/>
    <m/>
    <n v="0"/>
    <m/>
    <n v="1"/>
    <m/>
    <m/>
    <m/>
    <n v="0"/>
    <m/>
    <m/>
    <m/>
    <m/>
    <m/>
    <n v="0"/>
    <m/>
    <m/>
    <m/>
    <m/>
    <m/>
    <n v="0"/>
    <m/>
    <m/>
    <m/>
    <m/>
    <m/>
    <n v="0"/>
    <m/>
    <m/>
    <m/>
    <m/>
    <n v="1"/>
    <n v="50000"/>
    <m/>
    <m/>
    <m/>
    <m/>
    <m/>
    <n v="0"/>
    <m/>
    <m/>
    <m/>
    <m/>
    <n v="1"/>
    <n v="50000"/>
  </r>
  <r>
    <m/>
    <s v="M"/>
    <s v="M"/>
    <s v="US"/>
    <n v="61"/>
    <s v="US 61"/>
    <s v="8205-137"/>
    <x v="2"/>
    <m/>
    <s v="S"/>
    <s v="MNDOT"/>
    <n v="7"/>
    <s v="FROM MAYCREST AVE TO US10 INTERSECTION IN DENMARK TOWNSHIP-CONSTRUCT TURN LANES, MAYCREST AVE CONNECTION, MILL AND OVERLAY, STORM SEWER, PONDS, GUARDRAIL, ADA CURB RAMPS"/>
    <m/>
    <m/>
    <m/>
    <m/>
    <m/>
    <m/>
    <m/>
    <m/>
    <m/>
    <m/>
    <m/>
    <m/>
    <m/>
    <m/>
    <m/>
    <n v="5370000"/>
    <m/>
    <m/>
    <m/>
    <m/>
    <m/>
    <m/>
    <m/>
    <m/>
    <m/>
    <m/>
    <m/>
    <m/>
    <m/>
    <m/>
    <m/>
    <m/>
    <m/>
    <m/>
    <m/>
    <n v="0"/>
    <m/>
    <m/>
    <m/>
    <m/>
    <m/>
    <m/>
    <m/>
    <m/>
    <m/>
    <m/>
    <m/>
    <m/>
    <m/>
    <m/>
    <m/>
    <m/>
    <m/>
    <n v="0.44500943398065079"/>
    <n v="2389700.6604760946"/>
    <m/>
    <m/>
    <m/>
    <m/>
    <m/>
    <n v="0"/>
    <m/>
    <n v="0.12442588704641058"/>
    <n v="668167.0134392248"/>
    <s v="Drainage and culverts"/>
    <m/>
    <m/>
    <m/>
    <n v="2.1028571428571428E-2"/>
    <n v="112923.42857142857"/>
    <s v="Sustained crash locations"/>
    <n v="1"/>
    <m/>
    <m/>
    <m/>
    <n v="0"/>
    <m/>
    <m/>
    <m/>
    <m/>
    <n v="0.35982578895417205"/>
    <n v="1932264.486683904"/>
    <m/>
    <m/>
    <m/>
    <m/>
    <m/>
    <n v="0"/>
    <m/>
    <m/>
    <m/>
    <m/>
    <n v="1.4165588375110449E-3"/>
    <n v="7606.9209574343113"/>
    <m/>
    <m/>
    <m/>
    <m/>
    <m/>
    <n v="0"/>
    <m/>
    <m/>
    <m/>
    <m/>
    <n v="4.829375975268424E-2"/>
    <n v="259337.48987191438"/>
    <s v="Right of way"/>
    <m/>
    <m/>
    <m/>
    <n v="1"/>
    <n v="5370000"/>
  </r>
  <r>
    <m/>
    <s v="M"/>
    <s v="M"/>
    <s v="US"/>
    <n v="61"/>
    <s v="US 61"/>
    <s v="8205-141"/>
    <x v="2"/>
    <m/>
    <s v="S"/>
    <s v="MNDOT"/>
    <n v="7"/>
    <s v="WASHINGTON CSAH19 OVER US61 IN COTTAGE GROVE - CLEAN BEARINGS, REPLACE JOINTS &amp; MINOR SUBSTRUCTURE REPAIRS ON BRIDGE #9071"/>
    <m/>
    <m/>
    <m/>
    <m/>
    <m/>
    <m/>
    <m/>
    <m/>
    <m/>
    <m/>
    <m/>
    <m/>
    <m/>
    <m/>
    <m/>
    <n v="130000"/>
    <m/>
    <m/>
    <m/>
    <m/>
    <m/>
    <m/>
    <m/>
    <m/>
    <m/>
    <m/>
    <m/>
    <m/>
    <m/>
    <m/>
    <m/>
    <m/>
    <m/>
    <m/>
    <m/>
    <n v="0"/>
    <m/>
    <m/>
    <m/>
    <m/>
    <m/>
    <m/>
    <m/>
    <m/>
    <m/>
    <m/>
    <m/>
    <m/>
    <m/>
    <m/>
    <m/>
    <m/>
    <m/>
    <m/>
    <n v="0"/>
    <m/>
    <m/>
    <m/>
    <m/>
    <n v="1"/>
    <n v="130000"/>
    <m/>
    <m/>
    <n v="0"/>
    <m/>
    <m/>
    <m/>
    <m/>
    <m/>
    <n v="0"/>
    <m/>
    <n v="1"/>
    <m/>
    <m/>
    <m/>
    <n v="0"/>
    <m/>
    <m/>
    <m/>
    <m/>
    <m/>
    <n v="0"/>
    <m/>
    <m/>
    <m/>
    <m/>
    <m/>
    <n v="0"/>
    <m/>
    <m/>
    <m/>
    <m/>
    <m/>
    <n v="0"/>
    <m/>
    <m/>
    <m/>
    <m/>
    <m/>
    <n v="0"/>
    <m/>
    <m/>
    <m/>
    <m/>
    <m/>
    <n v="0"/>
    <m/>
    <m/>
    <m/>
    <m/>
    <n v="1"/>
    <n v="130000"/>
  </r>
  <r>
    <m/>
    <s v="M"/>
    <s v="M"/>
    <s v="US"/>
    <n v="61"/>
    <s v="US 61"/>
    <s v="8206-45"/>
    <x v="2"/>
    <m/>
    <s v="S"/>
    <s v="MNDOT"/>
    <n v="7"/>
    <s v="NORTH AND SOUTH INTERSECTIONS OF TH 97 AND US61 IN FOREST LAKE-RECONSTRUCT, REMOVE SIGNALS AND CONSTRUCT  ROUNDABOUTS, REVISE SCHOOL ENTRANCE TO FOREST LAKE HIGH SCHOOL, PROVIDE GRADE SEPARATED BIKE/PED FACILITIES "/>
    <m/>
    <m/>
    <m/>
    <m/>
    <m/>
    <m/>
    <m/>
    <m/>
    <m/>
    <m/>
    <m/>
    <m/>
    <m/>
    <m/>
    <m/>
    <n v="6720000"/>
    <m/>
    <m/>
    <m/>
    <m/>
    <m/>
    <m/>
    <m/>
    <m/>
    <m/>
    <m/>
    <m/>
    <m/>
    <m/>
    <m/>
    <m/>
    <m/>
    <m/>
    <m/>
    <m/>
    <n v="0"/>
    <m/>
    <m/>
    <m/>
    <m/>
    <m/>
    <m/>
    <m/>
    <m/>
    <m/>
    <m/>
    <m/>
    <m/>
    <m/>
    <m/>
    <m/>
    <m/>
    <m/>
    <m/>
    <n v="0"/>
    <m/>
    <m/>
    <m/>
    <m/>
    <m/>
    <n v="0"/>
    <m/>
    <n v="0.17997323477676228"/>
    <n v="1209420.1376998425"/>
    <s v="Drainage and culverts"/>
    <m/>
    <m/>
    <m/>
    <m/>
    <n v="0"/>
    <m/>
    <n v="1"/>
    <m/>
    <m/>
    <m/>
    <n v="0"/>
    <m/>
    <m/>
    <m/>
    <m/>
    <n v="0.48220589026030269"/>
    <n v="3240423.5825492339"/>
    <m/>
    <m/>
    <m/>
    <m/>
    <m/>
    <n v="0"/>
    <m/>
    <m/>
    <m/>
    <m/>
    <n v="0.32162282315056318"/>
    <n v="2161305.3715717844"/>
    <m/>
    <m/>
    <m/>
    <m/>
    <m/>
    <n v="0"/>
    <m/>
    <m/>
    <m/>
    <m/>
    <n v="1.6198051812371876E-2"/>
    <n v="108850.90817913901"/>
    <s v="Right of way"/>
    <m/>
    <m/>
    <m/>
    <n v="1"/>
    <n v="6719999.9999999991"/>
  </r>
  <r>
    <m/>
    <s v="M"/>
    <s v="M"/>
    <s v="MN"/>
    <n v="96"/>
    <s v="MN 96"/>
    <s v="8211-35"/>
    <x v="0"/>
    <m/>
    <s v="S"/>
    <s v="MNDOT"/>
    <n v="7"/>
    <s v="AT WASHINGTON CSAH 15 (MANNING AVE) IN GRANT -ROUNDABOUT"/>
    <m/>
    <m/>
    <m/>
    <m/>
    <m/>
    <m/>
    <m/>
    <m/>
    <m/>
    <m/>
    <m/>
    <m/>
    <m/>
    <m/>
    <m/>
    <n v="702000"/>
    <m/>
    <m/>
    <m/>
    <m/>
    <m/>
    <m/>
    <m/>
    <m/>
    <m/>
    <m/>
    <m/>
    <m/>
    <m/>
    <m/>
    <m/>
    <m/>
    <m/>
    <m/>
    <m/>
    <n v="0"/>
    <m/>
    <m/>
    <m/>
    <m/>
    <m/>
    <m/>
    <m/>
    <m/>
    <m/>
    <m/>
    <m/>
    <m/>
    <m/>
    <m/>
    <m/>
    <m/>
    <m/>
    <m/>
    <n v="0"/>
    <m/>
    <m/>
    <m/>
    <m/>
    <m/>
    <n v="0"/>
    <m/>
    <m/>
    <n v="0"/>
    <m/>
    <m/>
    <m/>
    <m/>
    <m/>
    <n v="0"/>
    <m/>
    <n v="1"/>
    <m/>
    <m/>
    <m/>
    <n v="0"/>
    <m/>
    <m/>
    <m/>
    <m/>
    <m/>
    <n v="0"/>
    <m/>
    <m/>
    <m/>
    <m/>
    <m/>
    <n v="0"/>
    <m/>
    <m/>
    <m/>
    <m/>
    <m/>
    <n v="0"/>
    <m/>
    <m/>
    <m/>
    <m/>
    <n v="1"/>
    <n v="702000"/>
    <m/>
    <m/>
    <m/>
    <m/>
    <m/>
    <n v="0"/>
    <m/>
    <m/>
    <m/>
    <m/>
    <n v="1"/>
    <n v="702000"/>
  </r>
  <r>
    <m/>
    <s v="M"/>
    <s v="M"/>
    <s v="MN"/>
    <s v="36"/>
    <s v="MN 36"/>
    <s v="8214-114AH"/>
    <x v="2"/>
    <m/>
    <s v="S"/>
    <s v="MNDOT"/>
    <n v="7"/>
    <s v="ST CROIX MIT  ITEM -  KOLLINER PARK: REMOVAL OF NON-HISTORIC ELEMENTS TO ALLOW REVERSION TO &quot;NATURAL&quot;-WISCONSIN LET"/>
    <m/>
    <m/>
    <m/>
    <m/>
    <m/>
    <m/>
    <m/>
    <m/>
    <m/>
    <m/>
    <m/>
    <m/>
    <m/>
    <m/>
    <m/>
    <n v="9518"/>
    <m/>
    <m/>
    <m/>
    <m/>
    <m/>
    <m/>
    <m/>
    <m/>
    <m/>
    <m/>
    <m/>
    <m/>
    <m/>
    <m/>
    <m/>
    <m/>
    <m/>
    <m/>
    <m/>
    <n v="4759"/>
    <m/>
    <m/>
    <m/>
    <m/>
    <m/>
    <m/>
    <m/>
    <m/>
    <m/>
    <m/>
    <m/>
    <m/>
    <m/>
    <m/>
    <m/>
    <m/>
    <m/>
    <m/>
    <n v="0"/>
    <m/>
    <m/>
    <m/>
    <m/>
    <m/>
    <n v="0"/>
    <m/>
    <m/>
    <n v="0"/>
    <m/>
    <m/>
    <m/>
    <m/>
    <m/>
    <n v="0"/>
    <m/>
    <n v="1"/>
    <m/>
    <m/>
    <m/>
    <n v="0"/>
    <m/>
    <m/>
    <m/>
    <m/>
    <m/>
    <n v="0"/>
    <m/>
    <m/>
    <m/>
    <m/>
    <m/>
    <n v="0"/>
    <m/>
    <m/>
    <m/>
    <m/>
    <m/>
    <n v="0"/>
    <m/>
    <m/>
    <m/>
    <m/>
    <n v="1"/>
    <n v="4759"/>
    <m/>
    <m/>
    <m/>
    <m/>
    <m/>
    <n v="0"/>
    <m/>
    <m/>
    <m/>
    <m/>
    <n v="1"/>
    <n v="4759"/>
  </r>
  <r>
    <n v="97"/>
    <s v="M"/>
    <s v="M"/>
    <s v="MN"/>
    <s v="36"/>
    <s v="MN 36"/>
    <s v="8214-114AK"/>
    <x v="2"/>
    <m/>
    <s v="S"/>
    <s v="MNDOT"/>
    <n v="7"/>
    <s v="FROM N SUNNYSIDE DR TO CHESTNUT ST IN STILLWATER - MULTI-USE LOOP TRAIL AS PART OF ST CROIX MITIGATION PACKAGE"/>
    <m/>
    <m/>
    <m/>
    <m/>
    <m/>
    <m/>
    <m/>
    <m/>
    <m/>
    <m/>
    <m/>
    <m/>
    <m/>
    <m/>
    <m/>
    <n v="2000000"/>
    <m/>
    <m/>
    <m/>
    <m/>
    <m/>
    <m/>
    <m/>
    <m/>
    <m/>
    <m/>
    <m/>
    <m/>
    <m/>
    <m/>
    <m/>
    <m/>
    <m/>
    <m/>
    <m/>
    <n v="1000000"/>
    <m/>
    <m/>
    <m/>
    <m/>
    <m/>
    <m/>
    <m/>
    <m/>
    <m/>
    <m/>
    <m/>
    <m/>
    <m/>
    <m/>
    <m/>
    <m/>
    <m/>
    <m/>
    <n v="0"/>
    <m/>
    <m/>
    <m/>
    <m/>
    <m/>
    <n v="0"/>
    <m/>
    <m/>
    <n v="0"/>
    <m/>
    <m/>
    <m/>
    <m/>
    <m/>
    <n v="0"/>
    <m/>
    <n v="1"/>
    <m/>
    <m/>
    <m/>
    <n v="0"/>
    <m/>
    <m/>
    <m/>
    <m/>
    <m/>
    <n v="0"/>
    <m/>
    <m/>
    <m/>
    <m/>
    <n v="0.5"/>
    <n v="500000"/>
    <m/>
    <m/>
    <m/>
    <m/>
    <n v="0.5"/>
    <n v="500000"/>
    <m/>
    <m/>
    <m/>
    <m/>
    <m/>
    <n v="0"/>
    <m/>
    <m/>
    <m/>
    <m/>
    <m/>
    <n v="0"/>
    <m/>
    <m/>
    <m/>
    <m/>
    <n v="1"/>
    <n v="1000000"/>
  </r>
  <r>
    <m/>
    <s v="M"/>
    <s v="M"/>
    <s v="MN"/>
    <s v="36"/>
    <s v="MN 36"/>
    <s v="8214-114B"/>
    <x v="0"/>
    <m/>
    <s v="S"/>
    <s v="MNDOT"/>
    <n v="7"/>
    <s v="**MN191**ST CROIX RIVER X-ING, STILLWATER-(MN)TH 36/(WI) TH 64-DESIGN, RIGHT OF WAY &amp; CONSTRUCTION OF UTILITY RELOCATION FOR REPLACEMENT OF BR 4654 (SAFETEA-LU)"/>
    <m/>
    <m/>
    <m/>
    <m/>
    <m/>
    <m/>
    <m/>
    <m/>
    <m/>
    <m/>
    <m/>
    <m/>
    <m/>
    <m/>
    <m/>
    <n v="3249501"/>
    <m/>
    <m/>
    <m/>
    <m/>
    <m/>
    <m/>
    <m/>
    <m/>
    <m/>
    <m/>
    <m/>
    <m/>
    <m/>
    <m/>
    <m/>
    <m/>
    <m/>
    <m/>
    <m/>
    <n v="649900"/>
    <m/>
    <m/>
    <m/>
    <m/>
    <m/>
    <m/>
    <m/>
    <m/>
    <m/>
    <m/>
    <m/>
    <m/>
    <m/>
    <m/>
    <m/>
    <m/>
    <m/>
    <m/>
    <n v="0"/>
    <m/>
    <m/>
    <m/>
    <m/>
    <n v="0.2"/>
    <n v="519920.2"/>
    <m/>
    <m/>
    <n v="0"/>
    <m/>
    <m/>
    <m/>
    <m/>
    <m/>
    <n v="0"/>
    <m/>
    <n v="1"/>
    <m/>
    <m/>
    <m/>
    <n v="0"/>
    <m/>
    <m/>
    <m/>
    <m/>
    <m/>
    <n v="0"/>
    <m/>
    <m/>
    <m/>
    <m/>
    <m/>
    <n v="0"/>
    <m/>
    <m/>
    <m/>
    <m/>
    <m/>
    <n v="0"/>
    <m/>
    <m/>
    <m/>
    <m/>
    <m/>
    <n v="0"/>
    <m/>
    <m/>
    <m/>
    <m/>
    <n v="0.8"/>
    <n v="2079680.8"/>
    <s v="Consultant services"/>
    <m/>
    <m/>
    <m/>
    <n v="1"/>
    <n v="2599601"/>
  </r>
  <r>
    <n v="71"/>
    <s v="M"/>
    <s v="M"/>
    <s v="MN"/>
    <s v="36"/>
    <s v="MN 36"/>
    <s v="8214-114CCAC1"/>
    <x v="1"/>
    <m/>
    <s v="S"/>
    <s v="MNDOT"/>
    <n v="7"/>
    <s v="**MN217**AC*ST CROIX RIVER X-ING AT STILLWATER-(MN)TH 36/(WI) TH 64-DESIGN, MITIGATION IMPLEMENTATION, CONSTRUCT, &amp; ACQUIRE RW (SAFETEA-LU)(AC PAYBACK 1 OF 2)"/>
    <m/>
    <m/>
    <m/>
    <m/>
    <m/>
    <m/>
    <m/>
    <m/>
    <m/>
    <m/>
    <m/>
    <m/>
    <m/>
    <m/>
    <m/>
    <n v="2500000"/>
    <m/>
    <m/>
    <m/>
    <m/>
    <m/>
    <m/>
    <m/>
    <m/>
    <m/>
    <m/>
    <m/>
    <m/>
    <m/>
    <m/>
    <m/>
    <m/>
    <m/>
    <m/>
    <m/>
    <n v="0"/>
    <m/>
    <m/>
    <m/>
    <m/>
    <m/>
    <m/>
    <m/>
    <m/>
    <m/>
    <m/>
    <m/>
    <m/>
    <m/>
    <m/>
    <m/>
    <m/>
    <m/>
    <m/>
    <n v="0"/>
    <m/>
    <m/>
    <m/>
    <m/>
    <n v="0.92900000000000005"/>
    <n v="2322500"/>
    <m/>
    <m/>
    <n v="0"/>
    <m/>
    <m/>
    <m/>
    <m/>
    <m/>
    <n v="0"/>
    <m/>
    <n v="1"/>
    <m/>
    <m/>
    <m/>
    <n v="0"/>
    <m/>
    <m/>
    <m/>
    <m/>
    <m/>
    <n v="0"/>
    <m/>
    <m/>
    <m/>
    <m/>
    <n v="3.5000000000000003E-2"/>
    <n v="87500.000000000015"/>
    <m/>
    <m/>
    <m/>
    <m/>
    <n v="3.5999999999999997E-2"/>
    <n v="90000"/>
    <m/>
    <m/>
    <m/>
    <m/>
    <m/>
    <n v="0"/>
    <m/>
    <m/>
    <m/>
    <m/>
    <m/>
    <n v="0"/>
    <m/>
    <m/>
    <m/>
    <m/>
    <n v="1"/>
    <n v="2500000"/>
  </r>
  <r>
    <m/>
    <s v="M"/>
    <s v="M"/>
    <s v="MN"/>
    <s v="36"/>
    <s v="MN 36"/>
    <s v="8214-114CCAC2"/>
    <x v="2"/>
    <m/>
    <s v="S"/>
    <s v="MNDOT"/>
    <n v="7"/>
    <s v="**MN217**AC**ST CROIX RIVER X-ING AT STILLWATER-(MN)TH 36/(WI) TH 64-DESIGN, MITIGATION IMPLEMENTATION, CONSTRUCT, &amp; ACQUIRE RW (SAFETEA-LU)(AC PAYBACK 2 OF 2)"/>
    <m/>
    <m/>
    <m/>
    <m/>
    <m/>
    <m/>
    <m/>
    <m/>
    <m/>
    <m/>
    <m/>
    <m/>
    <m/>
    <m/>
    <m/>
    <n v="1437808"/>
    <m/>
    <m/>
    <m/>
    <m/>
    <m/>
    <m/>
    <m/>
    <m/>
    <m/>
    <m/>
    <m/>
    <m/>
    <m/>
    <m/>
    <m/>
    <m/>
    <m/>
    <m/>
    <m/>
    <n v="0"/>
    <m/>
    <m/>
    <m/>
    <m/>
    <m/>
    <m/>
    <m/>
    <m/>
    <m/>
    <m/>
    <m/>
    <m/>
    <m/>
    <m/>
    <m/>
    <m/>
    <m/>
    <m/>
    <n v="0"/>
    <m/>
    <m/>
    <m/>
    <m/>
    <m/>
    <n v="0"/>
    <m/>
    <m/>
    <n v="0"/>
    <m/>
    <m/>
    <m/>
    <m/>
    <m/>
    <n v="0"/>
    <m/>
    <n v="1"/>
    <m/>
    <m/>
    <m/>
    <n v="0"/>
    <m/>
    <m/>
    <m/>
    <m/>
    <m/>
    <n v="0"/>
    <m/>
    <m/>
    <m/>
    <m/>
    <m/>
    <n v="0"/>
    <m/>
    <m/>
    <m/>
    <m/>
    <m/>
    <n v="0"/>
    <m/>
    <m/>
    <m/>
    <m/>
    <n v="1"/>
    <n v="1437808"/>
    <m/>
    <m/>
    <m/>
    <m/>
    <m/>
    <n v="0"/>
    <m/>
    <m/>
    <m/>
    <m/>
    <n v="1"/>
    <n v="1437808"/>
  </r>
  <r>
    <m/>
    <s v="M"/>
    <s v="M"/>
    <s v="MN"/>
    <s v="36"/>
    <s v="MN 36"/>
    <s v="8214-114MIT15"/>
    <x v="1"/>
    <m/>
    <s v="S"/>
    <s v="MNDOT"/>
    <n v="7"/>
    <s v="OVER ST CROIX RIVER NEAR STILLWATER-MITIGATION ITEMS FOR REPLACEMENT OF RIVER BRIDGE 4654(INCLUDES $2.4M FOR ENDOWMENT FUND FROM MN)"/>
    <m/>
    <m/>
    <m/>
    <m/>
    <m/>
    <m/>
    <m/>
    <m/>
    <m/>
    <m/>
    <m/>
    <m/>
    <m/>
    <m/>
    <m/>
    <n v="2460000"/>
    <m/>
    <m/>
    <m/>
    <m/>
    <m/>
    <m/>
    <m/>
    <m/>
    <m/>
    <m/>
    <m/>
    <m/>
    <m/>
    <m/>
    <m/>
    <m/>
    <m/>
    <m/>
    <m/>
    <n v="30000"/>
    <m/>
    <m/>
    <m/>
    <m/>
    <m/>
    <m/>
    <m/>
    <m/>
    <m/>
    <m/>
    <m/>
    <m/>
    <m/>
    <m/>
    <m/>
    <m/>
    <m/>
    <m/>
    <n v="0"/>
    <m/>
    <m/>
    <m/>
    <m/>
    <m/>
    <n v="0"/>
    <m/>
    <m/>
    <n v="0"/>
    <m/>
    <m/>
    <m/>
    <m/>
    <m/>
    <n v="0"/>
    <m/>
    <n v="1"/>
    <m/>
    <m/>
    <m/>
    <n v="0"/>
    <m/>
    <m/>
    <m/>
    <m/>
    <m/>
    <n v="0"/>
    <m/>
    <m/>
    <m/>
    <m/>
    <m/>
    <n v="0"/>
    <m/>
    <m/>
    <m/>
    <m/>
    <m/>
    <n v="0"/>
    <m/>
    <m/>
    <m/>
    <m/>
    <n v="1"/>
    <n v="2430000"/>
    <m/>
    <m/>
    <m/>
    <m/>
    <m/>
    <n v="0"/>
    <m/>
    <m/>
    <m/>
    <m/>
    <n v="1"/>
    <n v="2430000"/>
  </r>
  <r>
    <m/>
    <s v="M"/>
    <s v="M"/>
    <s v="MN"/>
    <s v="36"/>
    <s v="MN 36"/>
    <s v="8214-114RW1"/>
    <x v="0"/>
    <m/>
    <s v="S"/>
    <s v="MNDOT"/>
    <n v="7"/>
    <s v="ST CROIX RIVER X-ING AT STILLWATER-(MN)TH 36/(WI) TH 64-RIGHT OF WAY ACQUISITION"/>
    <m/>
    <m/>
    <m/>
    <m/>
    <m/>
    <m/>
    <m/>
    <m/>
    <m/>
    <m/>
    <m/>
    <m/>
    <m/>
    <m/>
    <m/>
    <n v="2130000"/>
    <m/>
    <m/>
    <m/>
    <m/>
    <m/>
    <m/>
    <m/>
    <m/>
    <m/>
    <m/>
    <m/>
    <m/>
    <m/>
    <m/>
    <m/>
    <m/>
    <m/>
    <m/>
    <m/>
    <n v="0"/>
    <m/>
    <m/>
    <m/>
    <m/>
    <m/>
    <m/>
    <m/>
    <m/>
    <m/>
    <m/>
    <m/>
    <m/>
    <m/>
    <m/>
    <m/>
    <m/>
    <m/>
    <m/>
    <n v="0"/>
    <m/>
    <m/>
    <m/>
    <m/>
    <m/>
    <n v="0"/>
    <m/>
    <m/>
    <n v="0"/>
    <m/>
    <m/>
    <m/>
    <m/>
    <m/>
    <n v="0"/>
    <m/>
    <n v="1"/>
    <m/>
    <m/>
    <m/>
    <n v="0"/>
    <m/>
    <m/>
    <m/>
    <m/>
    <m/>
    <n v="0"/>
    <m/>
    <m/>
    <m/>
    <m/>
    <m/>
    <n v="0"/>
    <m/>
    <m/>
    <m/>
    <m/>
    <m/>
    <n v="0"/>
    <m/>
    <m/>
    <m/>
    <m/>
    <m/>
    <n v="0"/>
    <m/>
    <m/>
    <m/>
    <m/>
    <n v="1"/>
    <n v="2130000"/>
    <s v="Right of way"/>
    <m/>
    <m/>
    <m/>
    <n v="1"/>
    <n v="2130000"/>
  </r>
  <r>
    <m/>
    <s v="M"/>
    <s v="M"/>
    <s v="MN"/>
    <s v="36"/>
    <s v="MN 36"/>
    <s v="8214-114RW2"/>
    <x v="1"/>
    <m/>
    <s v="S"/>
    <s v="MNDOT"/>
    <n v="7"/>
    <s v="ST CROIX RIVER X-ING AT STILLWATER-(MN)TH 36/(WI) TH 64-RIGHT OF WAY ACQUISITION"/>
    <m/>
    <m/>
    <m/>
    <m/>
    <m/>
    <m/>
    <m/>
    <m/>
    <m/>
    <m/>
    <m/>
    <m/>
    <m/>
    <m/>
    <m/>
    <n v="1000000"/>
    <m/>
    <m/>
    <m/>
    <m/>
    <m/>
    <m/>
    <m/>
    <m/>
    <m/>
    <m/>
    <m/>
    <m/>
    <m/>
    <m/>
    <m/>
    <m/>
    <m/>
    <m/>
    <m/>
    <n v="0"/>
    <m/>
    <m/>
    <m/>
    <m/>
    <m/>
    <m/>
    <m/>
    <m/>
    <m/>
    <m/>
    <m/>
    <m/>
    <m/>
    <m/>
    <m/>
    <m/>
    <m/>
    <m/>
    <n v="0"/>
    <m/>
    <m/>
    <m/>
    <m/>
    <m/>
    <n v="0"/>
    <m/>
    <m/>
    <n v="0"/>
    <m/>
    <m/>
    <m/>
    <m/>
    <m/>
    <n v="0"/>
    <m/>
    <n v="1"/>
    <m/>
    <m/>
    <m/>
    <n v="0"/>
    <m/>
    <m/>
    <m/>
    <m/>
    <m/>
    <n v="0"/>
    <m/>
    <m/>
    <m/>
    <m/>
    <m/>
    <n v="0"/>
    <m/>
    <m/>
    <m/>
    <m/>
    <m/>
    <n v="0"/>
    <m/>
    <m/>
    <m/>
    <m/>
    <m/>
    <n v="0"/>
    <m/>
    <m/>
    <m/>
    <m/>
    <n v="1"/>
    <n v="1000000"/>
    <s v="Right of way"/>
    <m/>
    <m/>
    <m/>
    <n v="1"/>
    <n v="1000000"/>
  </r>
  <r>
    <m/>
    <s v="M"/>
    <s v="M"/>
    <s v="MN"/>
    <s v="36"/>
    <s v="MN 36"/>
    <s v="8214-114Z"/>
    <x v="1"/>
    <m/>
    <s v="S"/>
    <s v="MNDOT"/>
    <n v="7"/>
    <s v="ST CROIX MIT ITEM - BLUFFLAND RESTORATION - REMOVAL OF BUCKHORN SIGN, PARTIAL RESTORATION OF WISCONSIN APPROACH (REMOVAL OF PAVEMENT FROM EAST END OF BRIDGE TO STH 35 AND PORTIONS OF CTH E) - WISCONSIN LET"/>
    <m/>
    <m/>
    <m/>
    <m/>
    <m/>
    <m/>
    <m/>
    <m/>
    <m/>
    <m/>
    <m/>
    <m/>
    <m/>
    <m/>
    <m/>
    <n v="90651"/>
    <m/>
    <m/>
    <m/>
    <m/>
    <m/>
    <m/>
    <m/>
    <m/>
    <m/>
    <m/>
    <m/>
    <m/>
    <m/>
    <m/>
    <m/>
    <m/>
    <m/>
    <m/>
    <m/>
    <n v="45325"/>
    <m/>
    <m/>
    <m/>
    <m/>
    <m/>
    <m/>
    <m/>
    <m/>
    <m/>
    <m/>
    <m/>
    <m/>
    <m/>
    <m/>
    <m/>
    <m/>
    <m/>
    <m/>
    <n v="0"/>
    <m/>
    <m/>
    <m/>
    <m/>
    <n v="0.5"/>
    <n v="22663"/>
    <m/>
    <m/>
    <n v="0"/>
    <m/>
    <m/>
    <m/>
    <m/>
    <m/>
    <n v="0"/>
    <m/>
    <n v="1"/>
    <m/>
    <m/>
    <m/>
    <n v="0"/>
    <m/>
    <m/>
    <m/>
    <m/>
    <m/>
    <n v="0"/>
    <m/>
    <m/>
    <m/>
    <m/>
    <m/>
    <n v="0"/>
    <m/>
    <m/>
    <m/>
    <m/>
    <m/>
    <n v="0"/>
    <m/>
    <m/>
    <m/>
    <m/>
    <m/>
    <n v="0"/>
    <m/>
    <m/>
    <m/>
    <m/>
    <n v="0.5"/>
    <n v="22663"/>
    <s v="Right of way"/>
    <m/>
    <m/>
    <m/>
    <n v="1"/>
    <n v="45326"/>
  </r>
  <r>
    <m/>
    <s v="M"/>
    <s v="M"/>
    <s v="MN"/>
    <s v="36"/>
    <s v="MN 36"/>
    <s v="8214-144"/>
    <x v="1"/>
    <m/>
    <s v="S"/>
    <s v="MNDOT"/>
    <n v="7"/>
    <s v="**MN126** ST CROIX RIVER X-ING AT STILLWATER-(MN)TH 36/(WI) TH 64-PRE DESIGN AND STUDY OF LONG TERM RDWY APPROACH ALTERNATIVES TO TH 36/SH 64 FOR ST CROIX RIVER CROSSING (SAFETEA-LU)"/>
    <m/>
    <m/>
    <m/>
    <m/>
    <m/>
    <m/>
    <m/>
    <m/>
    <m/>
    <m/>
    <m/>
    <m/>
    <m/>
    <m/>
    <m/>
    <n v="67990"/>
    <m/>
    <m/>
    <m/>
    <m/>
    <m/>
    <m/>
    <m/>
    <m/>
    <m/>
    <m/>
    <m/>
    <m/>
    <m/>
    <m/>
    <m/>
    <m/>
    <m/>
    <m/>
    <m/>
    <n v="0"/>
    <m/>
    <m/>
    <m/>
    <m/>
    <m/>
    <m/>
    <m/>
    <m/>
    <m/>
    <m/>
    <m/>
    <m/>
    <m/>
    <m/>
    <m/>
    <m/>
    <m/>
    <m/>
    <n v="0"/>
    <m/>
    <m/>
    <m/>
    <m/>
    <m/>
    <n v="0"/>
    <m/>
    <m/>
    <n v="0"/>
    <m/>
    <m/>
    <m/>
    <m/>
    <m/>
    <n v="0"/>
    <m/>
    <n v="1"/>
    <m/>
    <m/>
    <m/>
    <n v="0"/>
    <m/>
    <m/>
    <m/>
    <m/>
    <m/>
    <n v="0"/>
    <m/>
    <m/>
    <m/>
    <m/>
    <m/>
    <n v="0"/>
    <m/>
    <m/>
    <m/>
    <m/>
    <m/>
    <n v="0"/>
    <m/>
    <m/>
    <m/>
    <m/>
    <n v="1"/>
    <n v="67990"/>
    <m/>
    <m/>
    <m/>
    <m/>
    <m/>
    <n v="0"/>
    <m/>
    <m/>
    <m/>
    <m/>
    <n v="1"/>
    <n v="67990"/>
  </r>
  <r>
    <m/>
    <s v="M"/>
    <s v="M"/>
    <s v="MN"/>
    <s v="36"/>
    <s v="MN 36"/>
    <s v="8214-160"/>
    <x v="1"/>
    <m/>
    <s v="S"/>
    <s v="MNDOT"/>
    <n v="7"/>
    <s v="FROM OSGOOD AVE TO WESTSIDE OF MN95 - LANDSCAPING"/>
    <m/>
    <m/>
    <m/>
    <m/>
    <m/>
    <m/>
    <m/>
    <m/>
    <m/>
    <m/>
    <m/>
    <m/>
    <m/>
    <m/>
    <m/>
    <n v="450000"/>
    <m/>
    <m/>
    <m/>
    <m/>
    <m/>
    <m/>
    <m/>
    <m/>
    <m/>
    <m/>
    <m/>
    <m/>
    <m/>
    <m/>
    <m/>
    <m/>
    <m/>
    <m/>
    <m/>
    <n v="0"/>
    <m/>
    <m/>
    <m/>
    <m/>
    <m/>
    <m/>
    <m/>
    <m/>
    <m/>
    <m/>
    <m/>
    <m/>
    <m/>
    <m/>
    <m/>
    <m/>
    <m/>
    <m/>
    <n v="0"/>
    <m/>
    <m/>
    <m/>
    <m/>
    <m/>
    <n v="0"/>
    <m/>
    <n v="1"/>
    <n v="450000"/>
    <s v="Other structures"/>
    <m/>
    <m/>
    <m/>
    <m/>
    <n v="0"/>
    <m/>
    <n v="1"/>
    <m/>
    <m/>
    <m/>
    <n v="0"/>
    <m/>
    <m/>
    <m/>
    <m/>
    <m/>
    <n v="0"/>
    <m/>
    <m/>
    <m/>
    <m/>
    <m/>
    <n v="0"/>
    <m/>
    <m/>
    <m/>
    <m/>
    <m/>
    <n v="0"/>
    <m/>
    <m/>
    <m/>
    <m/>
    <m/>
    <n v="0"/>
    <m/>
    <m/>
    <m/>
    <m/>
    <m/>
    <n v="0"/>
    <m/>
    <m/>
    <m/>
    <m/>
    <n v="1"/>
    <n v="450000"/>
  </r>
  <r>
    <m/>
    <s v="M"/>
    <s v="M"/>
    <s v="MN"/>
    <s v="36"/>
    <s v="MN 36"/>
    <s v="8214-161"/>
    <x v="9"/>
    <m/>
    <s v="S"/>
    <s v="MNDOT"/>
    <n v="7"/>
    <s v="EASTSIDE OF MN95 TO ST CROIX RIVER FROM BAYPORT TO LIFT BRIDGE - LANDSCAPING "/>
    <m/>
    <m/>
    <m/>
    <m/>
    <m/>
    <m/>
    <m/>
    <m/>
    <m/>
    <m/>
    <m/>
    <m/>
    <m/>
    <m/>
    <m/>
    <n v="175000"/>
    <m/>
    <m/>
    <m/>
    <m/>
    <m/>
    <m/>
    <m/>
    <m/>
    <m/>
    <m/>
    <m/>
    <m/>
    <m/>
    <m/>
    <m/>
    <m/>
    <m/>
    <m/>
    <m/>
    <n v="0"/>
    <m/>
    <m/>
    <m/>
    <m/>
    <m/>
    <m/>
    <m/>
    <m/>
    <m/>
    <m/>
    <m/>
    <m/>
    <m/>
    <m/>
    <m/>
    <m/>
    <m/>
    <m/>
    <n v="0"/>
    <m/>
    <m/>
    <m/>
    <m/>
    <m/>
    <n v="0"/>
    <m/>
    <n v="1"/>
    <n v="175000"/>
    <s v="Other structures"/>
    <m/>
    <m/>
    <m/>
    <m/>
    <n v="0"/>
    <m/>
    <n v="1"/>
    <m/>
    <m/>
    <m/>
    <n v="0"/>
    <m/>
    <m/>
    <m/>
    <m/>
    <m/>
    <n v="0"/>
    <m/>
    <m/>
    <m/>
    <m/>
    <m/>
    <n v="0"/>
    <m/>
    <m/>
    <m/>
    <m/>
    <m/>
    <n v="0"/>
    <m/>
    <m/>
    <m/>
    <m/>
    <m/>
    <n v="0"/>
    <m/>
    <m/>
    <m/>
    <m/>
    <m/>
    <n v="0"/>
    <m/>
    <m/>
    <m/>
    <m/>
    <n v="1"/>
    <n v="175000"/>
  </r>
  <r>
    <m/>
    <n v="3"/>
    <n v="3"/>
    <s v="MN"/>
    <n v="999"/>
    <s v="MN999"/>
    <m/>
    <x v="6"/>
    <m/>
    <m/>
    <m/>
    <m/>
    <s v="BARC SETASIDE"/>
    <m/>
    <m/>
    <m/>
    <m/>
    <m/>
    <m/>
    <s v=""/>
    <m/>
    <m/>
    <m/>
    <m/>
    <s v=""/>
    <m/>
    <m/>
    <m/>
    <n v="6030000"/>
    <m/>
    <m/>
    <m/>
    <m/>
    <n v="0"/>
    <m/>
    <m/>
    <m/>
    <n v="0"/>
    <m/>
    <m/>
    <m/>
    <n v="0"/>
    <m/>
    <m/>
    <m/>
    <m/>
    <n v="0"/>
    <m/>
    <n v="6030000"/>
    <n v="6030000"/>
    <n v="601411453.54999995"/>
    <n v="237874990.93000001"/>
    <n v="2021"/>
    <m/>
    <m/>
    <m/>
    <m/>
    <m/>
    <m/>
    <m/>
    <m/>
    <m/>
    <m/>
    <m/>
    <m/>
    <m/>
    <n v="0.78300000000000003"/>
    <n v="4721490"/>
    <m/>
    <m/>
    <m/>
    <m/>
    <m/>
    <n v="0"/>
    <m/>
    <n v="0.217"/>
    <n v="1308510"/>
    <m/>
    <m/>
    <m/>
    <m/>
    <m/>
    <n v="0"/>
    <m/>
    <m/>
    <m/>
    <m/>
    <m/>
    <n v="0"/>
    <m/>
    <m/>
    <m/>
    <m/>
    <m/>
    <n v="0"/>
    <m/>
    <m/>
    <m/>
    <m/>
    <m/>
    <n v="0"/>
    <m/>
    <m/>
    <m/>
    <m/>
    <m/>
    <n v="0"/>
    <m/>
    <m/>
    <m/>
    <m/>
    <m/>
    <n v="0"/>
    <m/>
    <m/>
    <m/>
    <m/>
    <m/>
    <n v="0"/>
    <m/>
    <m/>
    <m/>
    <m/>
    <n v="1"/>
    <n v="6030000"/>
  </r>
  <r>
    <m/>
    <n v="3"/>
    <n v="3"/>
    <s v="MN"/>
    <n v="999"/>
    <s v="MN999"/>
    <m/>
    <x v="7"/>
    <m/>
    <m/>
    <m/>
    <m/>
    <s v="BARC SETASIDE"/>
    <m/>
    <m/>
    <m/>
    <m/>
    <m/>
    <m/>
    <s v=""/>
    <m/>
    <m/>
    <m/>
    <m/>
    <s v=""/>
    <m/>
    <m/>
    <m/>
    <n v="6030000"/>
    <m/>
    <m/>
    <m/>
    <m/>
    <n v="0"/>
    <m/>
    <m/>
    <m/>
    <n v="0"/>
    <m/>
    <m/>
    <m/>
    <n v="0"/>
    <m/>
    <m/>
    <m/>
    <m/>
    <n v="0"/>
    <m/>
    <n v="6030000"/>
    <n v="6030000"/>
    <n v="601411453.54999995"/>
    <n v="237874990.93000001"/>
    <n v="2022"/>
    <m/>
    <m/>
    <m/>
    <m/>
    <m/>
    <m/>
    <m/>
    <m/>
    <m/>
    <m/>
    <m/>
    <m/>
    <m/>
    <n v="0.78300000000000003"/>
    <n v="4721490"/>
    <m/>
    <m/>
    <m/>
    <m/>
    <m/>
    <n v="0"/>
    <m/>
    <n v="0.217"/>
    <n v="1308510"/>
    <m/>
    <m/>
    <m/>
    <m/>
    <m/>
    <n v="0"/>
    <m/>
    <m/>
    <m/>
    <m/>
    <m/>
    <n v="0"/>
    <m/>
    <m/>
    <m/>
    <m/>
    <m/>
    <n v="0"/>
    <m/>
    <m/>
    <m/>
    <m/>
    <m/>
    <n v="0"/>
    <m/>
    <m/>
    <m/>
    <m/>
    <m/>
    <n v="0"/>
    <m/>
    <m/>
    <m/>
    <m/>
    <m/>
    <n v="0"/>
    <m/>
    <m/>
    <m/>
    <m/>
    <m/>
    <n v="0"/>
    <m/>
    <m/>
    <m/>
    <m/>
    <n v="1"/>
    <n v="6030000"/>
  </r>
  <r>
    <m/>
    <n v="3"/>
    <n v="3"/>
    <s v="MN"/>
    <n v="999"/>
    <s v="MN999"/>
    <m/>
    <x v="8"/>
    <m/>
    <m/>
    <m/>
    <m/>
    <s v="BARC SETASIDE"/>
    <m/>
    <m/>
    <m/>
    <m/>
    <m/>
    <m/>
    <s v=""/>
    <m/>
    <m/>
    <m/>
    <m/>
    <s v=""/>
    <m/>
    <m/>
    <m/>
    <n v="6030000"/>
    <m/>
    <m/>
    <m/>
    <m/>
    <n v="0"/>
    <m/>
    <m/>
    <m/>
    <n v="0"/>
    <m/>
    <m/>
    <m/>
    <n v="0"/>
    <m/>
    <m/>
    <m/>
    <m/>
    <n v="0"/>
    <m/>
    <n v="6030000"/>
    <n v="6030000"/>
    <n v="601411453.54999995"/>
    <n v="237874990.93000001"/>
    <n v="2023"/>
    <m/>
    <m/>
    <m/>
    <m/>
    <m/>
    <m/>
    <m/>
    <m/>
    <m/>
    <m/>
    <m/>
    <m/>
    <m/>
    <n v="0.78300000000000003"/>
    <n v="4721490"/>
    <m/>
    <m/>
    <m/>
    <m/>
    <m/>
    <n v="0"/>
    <m/>
    <n v="0.217"/>
    <n v="1308510"/>
    <m/>
    <m/>
    <m/>
    <m/>
    <m/>
    <n v="0"/>
    <m/>
    <m/>
    <m/>
    <m/>
    <m/>
    <n v="0"/>
    <m/>
    <m/>
    <m/>
    <m/>
    <m/>
    <n v="0"/>
    <m/>
    <m/>
    <m/>
    <m/>
    <m/>
    <n v="0"/>
    <m/>
    <m/>
    <m/>
    <m/>
    <m/>
    <n v="0"/>
    <m/>
    <m/>
    <m/>
    <m/>
    <m/>
    <n v="0"/>
    <m/>
    <m/>
    <m/>
    <m/>
    <m/>
    <n v="0"/>
    <m/>
    <m/>
    <m/>
    <m/>
    <n v="1"/>
    <n v="6030000"/>
  </r>
  <r>
    <m/>
    <s v="M"/>
    <s v="M"/>
    <s v="MN"/>
    <s v="36"/>
    <s v="MN 36"/>
    <s v="8214-164"/>
    <x v="1"/>
    <m/>
    <s v="S"/>
    <s v="MNDOT"/>
    <n v="7"/>
    <s v="FROM W OF GREELEY AVE/CSAH 66 (W LIMIT OF ST. CROIX CROSSING PROJECT) TO E OF OSGOOD AVE - LANDSCAPING "/>
    <m/>
    <m/>
    <m/>
    <m/>
    <m/>
    <m/>
    <m/>
    <m/>
    <m/>
    <m/>
    <m/>
    <m/>
    <m/>
    <m/>
    <m/>
    <n v="350000"/>
    <m/>
    <m/>
    <m/>
    <m/>
    <m/>
    <m/>
    <m/>
    <m/>
    <m/>
    <m/>
    <m/>
    <m/>
    <m/>
    <m/>
    <m/>
    <m/>
    <m/>
    <m/>
    <m/>
    <n v="0"/>
    <m/>
    <m/>
    <m/>
    <m/>
    <m/>
    <m/>
    <m/>
    <m/>
    <m/>
    <m/>
    <m/>
    <m/>
    <m/>
    <m/>
    <m/>
    <m/>
    <m/>
    <m/>
    <n v="0"/>
    <m/>
    <m/>
    <m/>
    <m/>
    <m/>
    <n v="0"/>
    <m/>
    <n v="1"/>
    <n v="350000"/>
    <s v="Other structures"/>
    <m/>
    <m/>
    <m/>
    <m/>
    <n v="0"/>
    <m/>
    <n v="1"/>
    <m/>
    <m/>
    <m/>
    <n v="0"/>
    <m/>
    <m/>
    <m/>
    <m/>
    <m/>
    <n v="0"/>
    <m/>
    <m/>
    <m/>
    <m/>
    <m/>
    <n v="0"/>
    <m/>
    <m/>
    <m/>
    <m/>
    <m/>
    <n v="0"/>
    <m/>
    <m/>
    <m/>
    <m/>
    <m/>
    <n v="0"/>
    <m/>
    <m/>
    <m/>
    <m/>
    <m/>
    <n v="0"/>
    <m/>
    <m/>
    <m/>
    <m/>
    <n v="1"/>
    <n v="350000"/>
  </r>
  <r>
    <m/>
    <s v="M"/>
    <s v="M"/>
    <s v="MN"/>
    <s v="36"/>
    <s v="MN 36"/>
    <s v="8214-165"/>
    <x v="0"/>
    <m/>
    <s v="S"/>
    <s v="MNDOT"/>
    <n v="7"/>
    <s v="BETWEEN OSGOOD AVE AND MN95 IN OAK PARK HEIGHTS - TYPE I STATE ENTRY SIGN "/>
    <m/>
    <m/>
    <m/>
    <m/>
    <m/>
    <m/>
    <m/>
    <m/>
    <m/>
    <m/>
    <m/>
    <m/>
    <m/>
    <m/>
    <m/>
    <n v="560000"/>
    <m/>
    <m/>
    <m/>
    <m/>
    <m/>
    <m/>
    <m/>
    <m/>
    <m/>
    <m/>
    <m/>
    <m/>
    <m/>
    <m/>
    <m/>
    <m/>
    <m/>
    <m/>
    <m/>
    <n v="0"/>
    <m/>
    <m/>
    <m/>
    <m/>
    <m/>
    <m/>
    <m/>
    <m/>
    <m/>
    <m/>
    <m/>
    <m/>
    <m/>
    <m/>
    <m/>
    <m/>
    <m/>
    <m/>
    <n v="0"/>
    <m/>
    <m/>
    <m/>
    <m/>
    <n v="0.5"/>
    <n v="280000"/>
    <m/>
    <n v="0.5"/>
    <n v="280000"/>
    <s v="Rest areas"/>
    <m/>
    <m/>
    <m/>
    <m/>
    <n v="0"/>
    <m/>
    <n v="1"/>
    <m/>
    <m/>
    <m/>
    <n v="0"/>
    <m/>
    <m/>
    <m/>
    <m/>
    <m/>
    <n v="0"/>
    <m/>
    <m/>
    <m/>
    <m/>
    <m/>
    <n v="0"/>
    <m/>
    <m/>
    <m/>
    <m/>
    <m/>
    <n v="0"/>
    <m/>
    <m/>
    <m/>
    <m/>
    <m/>
    <n v="0"/>
    <m/>
    <m/>
    <m/>
    <m/>
    <m/>
    <n v="0"/>
    <m/>
    <m/>
    <m/>
    <m/>
    <n v="1"/>
    <n v="560000"/>
  </r>
  <r>
    <m/>
    <s v="M"/>
    <s v="M"/>
    <s v="MN"/>
    <s v="36"/>
    <s v="MN 36"/>
    <s v="8217-4654D"/>
    <x v="9"/>
    <m/>
    <s v="S"/>
    <s v="MNDOT"/>
    <n v="7"/>
    <s v="**ELLA** OVER ST CROIX RIVER - LIFT BRIDGE MGMT PLAN AND REPAIR CONVERSION PROJECT FOR BRIDGE # 4654 AS PART OF ST CROIX MITIGATION PACKAGE"/>
    <m/>
    <m/>
    <m/>
    <m/>
    <m/>
    <m/>
    <m/>
    <m/>
    <m/>
    <m/>
    <m/>
    <m/>
    <m/>
    <m/>
    <m/>
    <n v="11600000"/>
    <m/>
    <m/>
    <m/>
    <m/>
    <m/>
    <m/>
    <m/>
    <m/>
    <m/>
    <m/>
    <m/>
    <m/>
    <m/>
    <m/>
    <m/>
    <m/>
    <m/>
    <m/>
    <m/>
    <n v="5800000"/>
    <m/>
    <m/>
    <m/>
    <m/>
    <m/>
    <m/>
    <m/>
    <m/>
    <m/>
    <m/>
    <m/>
    <m/>
    <m/>
    <m/>
    <m/>
    <m/>
    <m/>
    <m/>
    <n v="0"/>
    <m/>
    <m/>
    <m/>
    <m/>
    <n v="0.72899999999999998"/>
    <n v="4228200"/>
    <m/>
    <m/>
    <n v="0"/>
    <m/>
    <m/>
    <m/>
    <m/>
    <m/>
    <n v="0"/>
    <m/>
    <n v="1"/>
    <m/>
    <m/>
    <m/>
    <n v="0"/>
    <m/>
    <m/>
    <m/>
    <m/>
    <m/>
    <n v="0"/>
    <m/>
    <m/>
    <m/>
    <m/>
    <n v="3.5000000000000003E-2"/>
    <n v="203000.00000000003"/>
    <m/>
    <m/>
    <m/>
    <m/>
    <n v="3.5999999999999997E-2"/>
    <n v="208799.99999999997"/>
    <m/>
    <m/>
    <m/>
    <m/>
    <n v="0.2"/>
    <n v="1160000"/>
    <m/>
    <m/>
    <m/>
    <m/>
    <m/>
    <n v="0"/>
    <m/>
    <m/>
    <m/>
    <m/>
    <n v="1"/>
    <n v="5800000"/>
  </r>
  <r>
    <m/>
    <s v="M"/>
    <s v="M"/>
    <s v="MN"/>
    <s v="36"/>
    <s v="MN 36"/>
    <s v="8221-01"/>
    <x v="0"/>
    <m/>
    <s v="S"/>
    <s v="MNDOT"/>
    <n v="7"/>
    <s v="**AC**OVER ST CROIX RIVER NEAR STILLWATER &amp; OAK PARK HEIGHTS-NEW BRIDGE 82045 OVER ST. CROIX RIVER, INCLUDING RAMPS ON &amp; OFF TH 95 &amp; XCEL BARGE UNLOADER FACILITY REMOVAL (AC PROJECT, PAYBACKS IN 2015, 2016, AND 2017)"/>
    <m/>
    <m/>
    <m/>
    <m/>
    <m/>
    <m/>
    <m/>
    <m/>
    <m/>
    <m/>
    <m/>
    <m/>
    <m/>
    <m/>
    <m/>
    <n v="200280000"/>
    <m/>
    <m/>
    <m/>
    <m/>
    <m/>
    <m/>
    <m/>
    <m/>
    <m/>
    <m/>
    <m/>
    <m/>
    <m/>
    <m/>
    <m/>
    <m/>
    <m/>
    <m/>
    <m/>
    <n v="133700000"/>
    <m/>
    <m/>
    <m/>
    <m/>
    <m/>
    <m/>
    <m/>
    <m/>
    <m/>
    <m/>
    <m/>
    <m/>
    <m/>
    <m/>
    <m/>
    <m/>
    <m/>
    <m/>
    <n v="0"/>
    <m/>
    <m/>
    <m/>
    <m/>
    <n v="0.92900000000000005"/>
    <n v="61852820"/>
    <m/>
    <m/>
    <n v="0"/>
    <m/>
    <m/>
    <m/>
    <m/>
    <m/>
    <n v="0"/>
    <m/>
    <n v="1"/>
    <m/>
    <m/>
    <m/>
    <n v="0"/>
    <m/>
    <m/>
    <m/>
    <m/>
    <m/>
    <n v="0"/>
    <m/>
    <m/>
    <m/>
    <m/>
    <n v="3.5000000000000003E-2"/>
    <n v="2330300"/>
    <m/>
    <m/>
    <m/>
    <m/>
    <n v="3.5999999999999997E-2"/>
    <n v="2396880"/>
    <m/>
    <m/>
    <m/>
    <m/>
    <m/>
    <n v="0"/>
    <m/>
    <m/>
    <m/>
    <m/>
    <m/>
    <n v="0"/>
    <m/>
    <m/>
    <m/>
    <m/>
    <n v="1"/>
    <n v="66580000"/>
  </r>
  <r>
    <m/>
    <s v="M"/>
    <s v="M"/>
    <s v="MN"/>
    <s v="36"/>
    <s v="MN 36"/>
    <s v="8221-01AC1"/>
    <x v="1"/>
    <m/>
    <s v="S"/>
    <s v="MNDOT"/>
    <n v="7"/>
    <s v="**AC**OVER ST CROIX RIVER NEAR STILLWATER &amp; OAK PARK HEIGHTS-NEW BRIDGE 82045 OVER ST. CROIX RIVER, INCLUDING RAMPS ON &amp; OFF TH 95 (AC PAYBACK 1 OF 3)"/>
    <m/>
    <m/>
    <m/>
    <m/>
    <m/>
    <m/>
    <m/>
    <m/>
    <m/>
    <m/>
    <m/>
    <m/>
    <m/>
    <m/>
    <m/>
    <n v="53000000"/>
    <m/>
    <m/>
    <m/>
    <m/>
    <m/>
    <m/>
    <m/>
    <m/>
    <m/>
    <m/>
    <m/>
    <m/>
    <m/>
    <m/>
    <m/>
    <m/>
    <m/>
    <m/>
    <m/>
    <n v="0"/>
    <m/>
    <m/>
    <m/>
    <m/>
    <m/>
    <m/>
    <m/>
    <m/>
    <m/>
    <m/>
    <m/>
    <m/>
    <m/>
    <m/>
    <m/>
    <m/>
    <m/>
    <m/>
    <n v="0"/>
    <m/>
    <m/>
    <m/>
    <m/>
    <n v="0.92900000000000005"/>
    <n v="49237000"/>
    <m/>
    <m/>
    <n v="0"/>
    <m/>
    <m/>
    <m/>
    <m/>
    <m/>
    <n v="0"/>
    <m/>
    <n v="1"/>
    <m/>
    <m/>
    <m/>
    <n v="0"/>
    <m/>
    <m/>
    <m/>
    <m/>
    <m/>
    <n v="0"/>
    <m/>
    <m/>
    <m/>
    <m/>
    <n v="3.5000000000000003E-2"/>
    <n v="1855000.0000000002"/>
    <m/>
    <m/>
    <m/>
    <m/>
    <n v="3.5999999999999997E-2"/>
    <n v="1907999.9999999998"/>
    <m/>
    <m/>
    <m/>
    <m/>
    <m/>
    <n v="0"/>
    <m/>
    <m/>
    <m/>
    <m/>
    <m/>
    <n v="0"/>
    <m/>
    <m/>
    <m/>
    <m/>
    <n v="1"/>
    <n v="53000000"/>
  </r>
  <r>
    <m/>
    <s v="M"/>
    <s v="M"/>
    <s v="MN"/>
    <s v="36"/>
    <s v="MN 36"/>
    <s v="8221-01AC2"/>
    <x v="2"/>
    <m/>
    <s v="S"/>
    <s v="MNDOT"/>
    <n v="7"/>
    <s v="**AC**OVER ST CROIX RIVER NEAR STILLWATER &amp; OAK PARK HEIGHTS-NEW BRIDGE OVER ST. CROIX RIVER, INCLUDING RAMPS ON &amp; OFF TH 95 (AC PAYBACK 2 OF 3)"/>
    <m/>
    <m/>
    <m/>
    <m/>
    <m/>
    <m/>
    <m/>
    <m/>
    <m/>
    <m/>
    <m/>
    <m/>
    <m/>
    <m/>
    <m/>
    <n v="33000000"/>
    <m/>
    <m/>
    <m/>
    <m/>
    <m/>
    <m/>
    <m/>
    <m/>
    <m/>
    <m/>
    <m/>
    <m/>
    <m/>
    <m/>
    <m/>
    <m/>
    <m/>
    <m/>
    <m/>
    <n v="0"/>
    <m/>
    <m/>
    <m/>
    <m/>
    <m/>
    <m/>
    <m/>
    <m/>
    <m/>
    <m/>
    <m/>
    <m/>
    <m/>
    <m/>
    <m/>
    <m/>
    <m/>
    <m/>
    <n v="0"/>
    <m/>
    <m/>
    <m/>
    <m/>
    <n v="0.92900000000000005"/>
    <n v="30657000"/>
    <m/>
    <m/>
    <n v="0"/>
    <m/>
    <m/>
    <m/>
    <m/>
    <m/>
    <n v="0"/>
    <m/>
    <n v="1"/>
    <m/>
    <m/>
    <m/>
    <n v="0"/>
    <m/>
    <m/>
    <m/>
    <m/>
    <m/>
    <n v="0"/>
    <m/>
    <m/>
    <m/>
    <m/>
    <n v="3.5000000000000003E-2"/>
    <n v="1155000"/>
    <m/>
    <m/>
    <m/>
    <m/>
    <n v="3.5999999999999997E-2"/>
    <n v="1188000"/>
    <m/>
    <m/>
    <m/>
    <m/>
    <m/>
    <n v="0"/>
    <m/>
    <m/>
    <m/>
    <m/>
    <m/>
    <n v="0"/>
    <m/>
    <m/>
    <m/>
    <m/>
    <n v="1"/>
    <n v="33000000"/>
  </r>
  <r>
    <m/>
    <s v="M"/>
    <s v="M"/>
    <s v="MN"/>
    <s v="36"/>
    <s v="MN 36"/>
    <s v="8221-01AC3"/>
    <x v="9"/>
    <m/>
    <s v="S"/>
    <s v="MNDOT"/>
    <n v="7"/>
    <s v="**AC**OVER ST CROIX RIVER NEAR STILLWATER &amp; OAK PARK HEIGHTS-NEW BRIDGE OVER ST. CROIX RIVER, INCLUDING RAMPS ON &amp; OFF TH 95 (AC PAYBACK 3 OF 3)"/>
    <m/>
    <m/>
    <m/>
    <m/>
    <m/>
    <m/>
    <m/>
    <m/>
    <m/>
    <m/>
    <m/>
    <m/>
    <m/>
    <m/>
    <m/>
    <n v="4320000"/>
    <m/>
    <m/>
    <m/>
    <m/>
    <m/>
    <m/>
    <m/>
    <m/>
    <m/>
    <m/>
    <m/>
    <m/>
    <m/>
    <m/>
    <m/>
    <m/>
    <m/>
    <m/>
    <m/>
    <n v="0"/>
    <m/>
    <m/>
    <m/>
    <m/>
    <m/>
    <m/>
    <m/>
    <m/>
    <m/>
    <m/>
    <m/>
    <m/>
    <m/>
    <m/>
    <m/>
    <m/>
    <m/>
    <m/>
    <n v="0"/>
    <m/>
    <m/>
    <m/>
    <m/>
    <n v="0.92900000000000005"/>
    <n v="4013280"/>
    <m/>
    <m/>
    <n v="0"/>
    <m/>
    <m/>
    <m/>
    <m/>
    <m/>
    <n v="0"/>
    <m/>
    <n v="1"/>
    <m/>
    <m/>
    <m/>
    <n v="0"/>
    <m/>
    <m/>
    <m/>
    <m/>
    <m/>
    <n v="0"/>
    <m/>
    <m/>
    <m/>
    <m/>
    <n v="3.5000000000000003E-2"/>
    <n v="151200"/>
    <m/>
    <m/>
    <m/>
    <m/>
    <n v="3.5999999999999997E-2"/>
    <n v="155520"/>
    <m/>
    <m/>
    <m/>
    <m/>
    <m/>
    <n v="0"/>
    <m/>
    <m/>
    <m/>
    <m/>
    <m/>
    <n v="0"/>
    <m/>
    <m/>
    <m/>
    <m/>
    <n v="1"/>
    <n v="4320000"/>
  </r>
  <r>
    <m/>
    <s v="M"/>
    <s v="M"/>
    <s v="MN"/>
    <s v="36"/>
    <s v="MN 36"/>
    <s v="8221-01CE"/>
    <x v="0"/>
    <m/>
    <s v="S"/>
    <s v="MNDOT"/>
    <n v="7"/>
    <s v="CONSTRUCTION ENGINEERING BY CONSULTANTS FOR ST CROIX RIVER NEAR STILLWATER &amp; OAK PARK HEIGHTS-NEW BRIDGE 82045 OVER ST. CROIX RIVER, INCLUDING RAMPS ON &amp; OFF TH 95"/>
    <m/>
    <m/>
    <m/>
    <m/>
    <m/>
    <m/>
    <m/>
    <m/>
    <m/>
    <m/>
    <m/>
    <m/>
    <m/>
    <m/>
    <m/>
    <n v="9440000"/>
    <m/>
    <m/>
    <m/>
    <m/>
    <m/>
    <m/>
    <m/>
    <m/>
    <m/>
    <m/>
    <m/>
    <m/>
    <m/>
    <m/>
    <m/>
    <m/>
    <m/>
    <m/>
    <m/>
    <n v="4400000"/>
    <m/>
    <m/>
    <m/>
    <m/>
    <m/>
    <m/>
    <m/>
    <m/>
    <m/>
    <m/>
    <m/>
    <m/>
    <m/>
    <m/>
    <m/>
    <m/>
    <m/>
    <m/>
    <n v="0"/>
    <m/>
    <m/>
    <m/>
    <m/>
    <n v="0.85"/>
    <n v="4284000"/>
    <m/>
    <m/>
    <n v="0"/>
    <m/>
    <m/>
    <m/>
    <m/>
    <m/>
    <n v="0"/>
    <m/>
    <n v="1"/>
    <m/>
    <m/>
    <m/>
    <n v="0"/>
    <m/>
    <m/>
    <m/>
    <m/>
    <m/>
    <n v="0"/>
    <m/>
    <m/>
    <m/>
    <m/>
    <n v="3.5000000000000003E-2"/>
    <n v="176400.00000000003"/>
    <m/>
    <m/>
    <m/>
    <m/>
    <n v="3.5999999999999997E-2"/>
    <n v="181440"/>
    <m/>
    <m/>
    <m/>
    <m/>
    <m/>
    <n v="0"/>
    <m/>
    <m/>
    <m/>
    <m/>
    <n v="7.9000000000000001E-2"/>
    <n v="398160"/>
    <s v="Consultant services"/>
    <m/>
    <m/>
    <m/>
    <n v="1"/>
    <n v="5040000"/>
  </r>
  <r>
    <m/>
    <s v="M"/>
    <s v="M"/>
    <s v="MN"/>
    <s v="36"/>
    <s v="MN 36"/>
    <s v="8221-01RR"/>
    <x v="0"/>
    <m/>
    <s v="S"/>
    <s v="MNDOT"/>
    <n v="7"/>
    <s v="RR AGREEMENT FOR ST CROIX RIVER NEAR STILLWATER &amp; OAK PARK HEIGHTS-NEW BRIDGE 82045 OVER ST. CROIX RIVER, INCLUDING RAMPS ON &amp; OFF TH 95"/>
    <m/>
    <m/>
    <m/>
    <m/>
    <m/>
    <m/>
    <m/>
    <m/>
    <m/>
    <m/>
    <m/>
    <m/>
    <m/>
    <m/>
    <m/>
    <n v="180000"/>
    <m/>
    <m/>
    <m/>
    <m/>
    <m/>
    <m/>
    <m/>
    <m/>
    <m/>
    <m/>
    <m/>
    <m/>
    <m/>
    <m/>
    <m/>
    <m/>
    <m/>
    <m/>
    <m/>
    <n v="90000"/>
    <m/>
    <m/>
    <m/>
    <m/>
    <m/>
    <m/>
    <m/>
    <m/>
    <m/>
    <m/>
    <m/>
    <m/>
    <m/>
    <m/>
    <m/>
    <m/>
    <m/>
    <m/>
    <n v="0"/>
    <m/>
    <m/>
    <m/>
    <m/>
    <m/>
    <n v="0"/>
    <m/>
    <m/>
    <n v="0"/>
    <m/>
    <m/>
    <m/>
    <m/>
    <m/>
    <n v="0"/>
    <m/>
    <n v="1"/>
    <m/>
    <m/>
    <m/>
    <n v="0"/>
    <m/>
    <m/>
    <m/>
    <m/>
    <m/>
    <n v="0"/>
    <m/>
    <m/>
    <m/>
    <m/>
    <m/>
    <n v="0"/>
    <m/>
    <m/>
    <m/>
    <m/>
    <m/>
    <n v="0"/>
    <m/>
    <m/>
    <m/>
    <m/>
    <n v="1"/>
    <n v="90000"/>
    <m/>
    <m/>
    <m/>
    <m/>
    <m/>
    <n v="0"/>
    <m/>
    <m/>
    <m/>
    <m/>
    <n v="1"/>
    <n v="90000"/>
  </r>
  <r>
    <m/>
    <s v="M"/>
    <s v="M"/>
    <s v="MN"/>
    <s v="36"/>
    <s v="MN 36"/>
    <s v="8221-82045AAC"/>
    <x v="0"/>
    <m/>
    <s v="S"/>
    <s v="MNDOT"/>
    <n v="7"/>
    <s v="**AC**AT BRIDGE 82045 OVER ST. CROIX RIVER - CONSTRUCT SUBSTRUCTURE (COFFERDAMS, DRILLED SHAFTS, FOOTINGS, &amp; STARTER COLUMN SEGMENTS) FOR 5 RIVER PIERS (AC PAYBACK 1 OF 1)"/>
    <m/>
    <m/>
    <m/>
    <m/>
    <m/>
    <m/>
    <m/>
    <m/>
    <m/>
    <m/>
    <m/>
    <m/>
    <m/>
    <m/>
    <m/>
    <n v="19200000"/>
    <m/>
    <m/>
    <m/>
    <m/>
    <m/>
    <m/>
    <m/>
    <m/>
    <m/>
    <m/>
    <m/>
    <m/>
    <m/>
    <m/>
    <m/>
    <m/>
    <m/>
    <m/>
    <m/>
    <n v="0"/>
    <m/>
    <m/>
    <m/>
    <m/>
    <m/>
    <m/>
    <m/>
    <m/>
    <m/>
    <m/>
    <m/>
    <m/>
    <m/>
    <m/>
    <m/>
    <m/>
    <m/>
    <m/>
    <n v="0"/>
    <m/>
    <m/>
    <m/>
    <m/>
    <n v="0.92900000000000005"/>
    <n v="17836800"/>
    <m/>
    <m/>
    <n v="0"/>
    <m/>
    <m/>
    <m/>
    <m/>
    <m/>
    <n v="0"/>
    <m/>
    <n v="1"/>
    <m/>
    <m/>
    <m/>
    <n v="0"/>
    <m/>
    <m/>
    <m/>
    <m/>
    <m/>
    <n v="0"/>
    <m/>
    <m/>
    <m/>
    <m/>
    <n v="3.5000000000000003E-2"/>
    <n v="672000.00000000012"/>
    <m/>
    <m/>
    <m/>
    <m/>
    <n v="3.5999999999999997E-2"/>
    <n v="691200"/>
    <m/>
    <m/>
    <m/>
    <m/>
    <m/>
    <n v="0"/>
    <m/>
    <m/>
    <m/>
    <m/>
    <m/>
    <n v="0"/>
    <m/>
    <m/>
    <m/>
    <m/>
    <n v="1"/>
    <n v="19200000"/>
  </r>
  <r>
    <m/>
    <s v="M"/>
    <s v="M"/>
    <s v="MN"/>
    <s v="36"/>
    <s v="MN 36"/>
    <s v="8221-82045PEAC"/>
    <x v="0"/>
    <m/>
    <s v="S"/>
    <s v="MNDOT"/>
    <n v="7"/>
    <s v="**AC**ST. CROIX RIVER CROSSING - DESIGN &amp; PREPARE 3 BRIDGE PLANS, SPECIAL PROVISIONS, ESTIMATES &amp; CONDUCT REVIEW OF HYDRAULIC ANALYSIS FOR THE ENTIRE CONSTRUCTION PROJECT (AC PAYBACK 1 OF 1)"/>
    <m/>
    <m/>
    <m/>
    <m/>
    <m/>
    <m/>
    <m/>
    <m/>
    <m/>
    <m/>
    <m/>
    <m/>
    <m/>
    <m/>
    <m/>
    <n v="5600000"/>
    <m/>
    <m/>
    <m/>
    <m/>
    <m/>
    <m/>
    <m/>
    <m/>
    <m/>
    <m/>
    <m/>
    <m/>
    <m/>
    <m/>
    <m/>
    <m/>
    <m/>
    <m/>
    <m/>
    <n v="0"/>
    <m/>
    <m/>
    <m/>
    <m/>
    <m/>
    <m/>
    <m/>
    <m/>
    <m/>
    <m/>
    <m/>
    <m/>
    <m/>
    <m/>
    <m/>
    <m/>
    <m/>
    <m/>
    <n v="0"/>
    <m/>
    <m/>
    <m/>
    <m/>
    <n v="0.92900000000000005"/>
    <n v="5202400"/>
    <m/>
    <m/>
    <n v="0"/>
    <m/>
    <m/>
    <m/>
    <m/>
    <m/>
    <n v="0"/>
    <m/>
    <n v="1"/>
    <m/>
    <m/>
    <m/>
    <n v="0"/>
    <m/>
    <m/>
    <m/>
    <m/>
    <m/>
    <n v="0"/>
    <m/>
    <m/>
    <m/>
    <m/>
    <n v="3.5000000000000003E-2"/>
    <n v="196000.00000000003"/>
    <m/>
    <m/>
    <m/>
    <m/>
    <n v="3.5999999999999997E-2"/>
    <n v="201599.99999999997"/>
    <m/>
    <m/>
    <m/>
    <m/>
    <m/>
    <n v="0"/>
    <m/>
    <m/>
    <m/>
    <m/>
    <m/>
    <n v="0"/>
    <m/>
    <m/>
    <m/>
    <m/>
    <n v="1"/>
    <n v="5600000"/>
  </r>
  <r>
    <m/>
    <n v="3"/>
    <n v="3"/>
    <s v="MN"/>
    <n v="999"/>
    <s v="MN999"/>
    <m/>
    <x v="3"/>
    <m/>
    <m/>
    <m/>
    <m/>
    <s v="BARC SETASIDE"/>
    <m/>
    <m/>
    <m/>
    <m/>
    <m/>
    <m/>
    <s v=""/>
    <m/>
    <m/>
    <m/>
    <m/>
    <s v=""/>
    <m/>
    <m/>
    <m/>
    <n v="6000000"/>
    <m/>
    <m/>
    <m/>
    <m/>
    <n v="0"/>
    <m/>
    <m/>
    <m/>
    <n v="0"/>
    <m/>
    <m/>
    <m/>
    <n v="0"/>
    <m/>
    <m/>
    <m/>
    <m/>
    <n v="0"/>
    <m/>
    <n v="6000000"/>
    <n v="6000000"/>
    <n v="601411453.54999995"/>
    <n v="237874990.93000001"/>
    <n v="2018"/>
    <m/>
    <m/>
    <m/>
    <m/>
    <m/>
    <m/>
    <m/>
    <m/>
    <m/>
    <m/>
    <m/>
    <m/>
    <m/>
    <n v="0.78300000000000003"/>
    <n v="4698000"/>
    <m/>
    <m/>
    <m/>
    <m/>
    <m/>
    <n v="0"/>
    <m/>
    <n v="0.217"/>
    <n v="1302000"/>
    <m/>
    <m/>
    <m/>
    <m/>
    <m/>
    <n v="0"/>
    <m/>
    <m/>
    <m/>
    <m/>
    <m/>
    <n v="0"/>
    <m/>
    <m/>
    <m/>
    <m/>
    <m/>
    <n v="0"/>
    <m/>
    <m/>
    <m/>
    <m/>
    <m/>
    <n v="0"/>
    <m/>
    <m/>
    <m/>
    <m/>
    <m/>
    <n v="0"/>
    <m/>
    <m/>
    <m/>
    <m/>
    <m/>
    <n v="0"/>
    <m/>
    <m/>
    <m/>
    <m/>
    <m/>
    <n v="0"/>
    <m/>
    <m/>
    <m/>
    <m/>
    <n v="1"/>
    <n v="6000000"/>
  </r>
  <r>
    <m/>
    <s v="M"/>
    <s v="M"/>
    <s v="MN"/>
    <n v="999"/>
    <s v="MN999"/>
    <m/>
    <x v="3"/>
    <m/>
    <m/>
    <m/>
    <m/>
    <s v="CMSP/SAFETY CAPACITY SETASIDE"/>
    <m/>
    <m/>
    <m/>
    <m/>
    <m/>
    <m/>
    <s v=""/>
    <m/>
    <m/>
    <m/>
    <m/>
    <s v=""/>
    <m/>
    <m/>
    <m/>
    <n v="6000000"/>
    <m/>
    <m/>
    <m/>
    <m/>
    <n v="0"/>
    <m/>
    <m/>
    <m/>
    <n v="0"/>
    <m/>
    <m/>
    <m/>
    <n v="0"/>
    <m/>
    <m/>
    <m/>
    <m/>
    <n v="0"/>
    <m/>
    <n v="6000000"/>
    <n v="6000000"/>
    <n v="601411453.54999995"/>
    <n v="237874990.93000001"/>
    <n v="2018"/>
    <m/>
    <m/>
    <m/>
    <m/>
    <m/>
    <m/>
    <m/>
    <m/>
    <m/>
    <m/>
    <m/>
    <m/>
    <m/>
    <m/>
    <n v="0"/>
    <m/>
    <m/>
    <m/>
    <m/>
    <m/>
    <n v="0"/>
    <m/>
    <m/>
    <n v="0"/>
    <m/>
    <m/>
    <m/>
    <m/>
    <m/>
    <n v="0"/>
    <m/>
    <m/>
    <m/>
    <m/>
    <m/>
    <n v="0"/>
    <m/>
    <m/>
    <m/>
    <m/>
    <n v="1"/>
    <n v="6000000"/>
    <m/>
    <m/>
    <m/>
    <m/>
    <m/>
    <n v="0"/>
    <m/>
    <m/>
    <m/>
    <m/>
    <m/>
    <n v="0"/>
    <m/>
    <m/>
    <m/>
    <m/>
    <m/>
    <n v="0"/>
    <m/>
    <m/>
    <m/>
    <m/>
    <m/>
    <n v="0"/>
    <m/>
    <m/>
    <m/>
    <m/>
    <n v="1"/>
    <n v="6000000"/>
  </r>
  <r>
    <m/>
    <s v="M"/>
    <s v="M"/>
    <s v="MN"/>
    <s v="36"/>
    <s v="MN 36"/>
    <s v="8221-82045PRAC"/>
    <x v="0"/>
    <m/>
    <s v="S"/>
    <s v="MNDOT"/>
    <n v="7"/>
    <s v="**AC**ST. CROIX RIVER CROSSING - PEER REVIEW OF FINAL BRIDGE DESIGN FOR 3 BRIDGES (82045, 82047, 82048) (AC PAYBACK 1 OF 1)"/>
    <m/>
    <m/>
    <m/>
    <m/>
    <m/>
    <m/>
    <m/>
    <m/>
    <m/>
    <m/>
    <m/>
    <m/>
    <m/>
    <m/>
    <m/>
    <n v="1000000"/>
    <m/>
    <m/>
    <m/>
    <m/>
    <m/>
    <m/>
    <m/>
    <m/>
    <m/>
    <m/>
    <m/>
    <m/>
    <m/>
    <m/>
    <m/>
    <m/>
    <m/>
    <m/>
    <m/>
    <n v="0"/>
    <m/>
    <m/>
    <m/>
    <m/>
    <m/>
    <m/>
    <m/>
    <m/>
    <m/>
    <m/>
    <m/>
    <m/>
    <m/>
    <m/>
    <m/>
    <m/>
    <m/>
    <m/>
    <n v="0"/>
    <m/>
    <m/>
    <m/>
    <m/>
    <n v="0.92900000000000005"/>
    <n v="929000"/>
    <m/>
    <m/>
    <n v="0"/>
    <m/>
    <m/>
    <m/>
    <m/>
    <m/>
    <n v="0"/>
    <m/>
    <n v="1"/>
    <m/>
    <m/>
    <m/>
    <n v="0"/>
    <m/>
    <m/>
    <m/>
    <m/>
    <m/>
    <n v="0"/>
    <m/>
    <m/>
    <m/>
    <m/>
    <n v="3.5000000000000003E-2"/>
    <n v="35000"/>
    <m/>
    <m/>
    <m/>
    <m/>
    <n v="3.5999999999999997E-2"/>
    <n v="36000"/>
    <m/>
    <m/>
    <m/>
    <m/>
    <m/>
    <n v="0"/>
    <m/>
    <m/>
    <m/>
    <m/>
    <m/>
    <n v="0"/>
    <m/>
    <m/>
    <m/>
    <m/>
    <n v="1"/>
    <n v="1000000"/>
  </r>
  <r>
    <m/>
    <n v="3"/>
    <n v="3"/>
    <s v="MN"/>
    <n v="999"/>
    <s v="MN999"/>
    <m/>
    <x v="4"/>
    <m/>
    <m/>
    <m/>
    <m/>
    <s v="BARC SETASIDE"/>
    <m/>
    <m/>
    <m/>
    <m/>
    <m/>
    <m/>
    <s v=""/>
    <m/>
    <m/>
    <m/>
    <m/>
    <s v=""/>
    <m/>
    <m/>
    <m/>
    <n v="6000000"/>
    <m/>
    <m/>
    <m/>
    <m/>
    <n v="0"/>
    <m/>
    <m/>
    <m/>
    <n v="0"/>
    <m/>
    <m/>
    <m/>
    <n v="0"/>
    <m/>
    <m/>
    <m/>
    <m/>
    <n v="0"/>
    <m/>
    <n v="6000000"/>
    <n v="6000000"/>
    <n v="601411453.54999995"/>
    <n v="237874990.93000001"/>
    <n v="2019"/>
    <m/>
    <m/>
    <m/>
    <m/>
    <m/>
    <m/>
    <m/>
    <m/>
    <m/>
    <m/>
    <m/>
    <m/>
    <m/>
    <n v="0.78300000000000003"/>
    <n v="4698000"/>
    <m/>
    <m/>
    <m/>
    <m/>
    <m/>
    <n v="0"/>
    <m/>
    <n v="0.217"/>
    <n v="1302000"/>
    <m/>
    <m/>
    <m/>
    <m/>
    <m/>
    <n v="0"/>
    <m/>
    <m/>
    <m/>
    <m/>
    <m/>
    <n v="0"/>
    <m/>
    <m/>
    <m/>
    <m/>
    <m/>
    <n v="0"/>
    <m/>
    <m/>
    <m/>
    <m/>
    <m/>
    <n v="0"/>
    <m/>
    <m/>
    <m/>
    <m/>
    <m/>
    <n v="0"/>
    <m/>
    <m/>
    <m/>
    <m/>
    <m/>
    <n v="0"/>
    <m/>
    <m/>
    <m/>
    <m/>
    <m/>
    <n v="0"/>
    <m/>
    <m/>
    <m/>
    <m/>
    <n v="1"/>
    <n v="6000000"/>
  </r>
  <r>
    <m/>
    <s v="M"/>
    <s v="M"/>
    <s v="MN"/>
    <n v="999"/>
    <s v="MN999"/>
    <m/>
    <x v="4"/>
    <m/>
    <m/>
    <m/>
    <m/>
    <s v="CMSP/SAFETY CAPACITY SETASIDE"/>
    <m/>
    <m/>
    <m/>
    <m/>
    <m/>
    <m/>
    <s v=""/>
    <m/>
    <m/>
    <m/>
    <m/>
    <s v=""/>
    <m/>
    <m/>
    <m/>
    <n v="6000000"/>
    <m/>
    <m/>
    <m/>
    <m/>
    <n v="0"/>
    <m/>
    <m/>
    <m/>
    <n v="0"/>
    <m/>
    <m/>
    <m/>
    <n v="0"/>
    <m/>
    <m/>
    <m/>
    <m/>
    <n v="0"/>
    <m/>
    <n v="6000000"/>
    <n v="6000000"/>
    <n v="601411453.54999995"/>
    <n v="237874990.93000001"/>
    <n v="2019"/>
    <m/>
    <m/>
    <m/>
    <m/>
    <m/>
    <m/>
    <m/>
    <m/>
    <m/>
    <m/>
    <m/>
    <m/>
    <m/>
    <m/>
    <n v="0"/>
    <m/>
    <m/>
    <m/>
    <m/>
    <m/>
    <n v="0"/>
    <m/>
    <m/>
    <n v="0"/>
    <m/>
    <m/>
    <m/>
    <m/>
    <m/>
    <n v="0"/>
    <m/>
    <m/>
    <m/>
    <m/>
    <m/>
    <n v="0"/>
    <m/>
    <m/>
    <m/>
    <m/>
    <n v="1"/>
    <n v="6000000"/>
    <m/>
    <m/>
    <m/>
    <m/>
    <m/>
    <n v="0"/>
    <m/>
    <m/>
    <m/>
    <m/>
    <m/>
    <n v="0"/>
    <m/>
    <m/>
    <m/>
    <m/>
    <m/>
    <n v="0"/>
    <m/>
    <m/>
    <m/>
    <m/>
    <m/>
    <n v="0"/>
    <m/>
    <m/>
    <m/>
    <m/>
    <n v="1"/>
    <n v="6000000"/>
  </r>
  <r>
    <m/>
    <s v="C"/>
    <s v="C"/>
    <s v="MN"/>
    <n v="999"/>
    <s v="MN999"/>
    <m/>
    <x v="4"/>
    <m/>
    <m/>
    <m/>
    <m/>
    <s v="DESTINATION INNOVATION SETASIDE"/>
    <m/>
    <m/>
    <m/>
    <m/>
    <m/>
    <m/>
    <s v=""/>
    <m/>
    <m/>
    <m/>
    <m/>
    <s v=""/>
    <m/>
    <m/>
    <m/>
    <n v="6000000"/>
    <m/>
    <m/>
    <m/>
    <m/>
    <n v="0"/>
    <m/>
    <m/>
    <m/>
    <n v="0"/>
    <m/>
    <m/>
    <m/>
    <n v="0"/>
    <m/>
    <m/>
    <m/>
    <m/>
    <n v="0"/>
    <m/>
    <n v="6000000"/>
    <n v="6000000"/>
    <n v="601411453.54999995"/>
    <n v="237874990.93000001"/>
    <n v="2019"/>
    <m/>
    <m/>
    <m/>
    <m/>
    <m/>
    <m/>
    <m/>
    <m/>
    <m/>
    <m/>
    <m/>
    <m/>
    <m/>
    <m/>
    <n v="0"/>
    <m/>
    <m/>
    <m/>
    <m/>
    <m/>
    <n v="0"/>
    <m/>
    <m/>
    <n v="0"/>
    <m/>
    <m/>
    <m/>
    <m/>
    <m/>
    <n v="0"/>
    <m/>
    <m/>
    <m/>
    <m/>
    <m/>
    <n v="0"/>
    <m/>
    <m/>
    <m/>
    <m/>
    <m/>
    <n v="0"/>
    <m/>
    <m/>
    <m/>
    <m/>
    <m/>
    <n v="0"/>
    <m/>
    <m/>
    <m/>
    <m/>
    <m/>
    <n v="0"/>
    <m/>
    <m/>
    <m/>
    <m/>
    <n v="1"/>
    <n v="6000000"/>
    <m/>
    <m/>
    <m/>
    <m/>
    <m/>
    <n v="0"/>
    <m/>
    <m/>
    <m/>
    <m/>
    <n v="1"/>
    <n v="6000000"/>
  </r>
  <r>
    <m/>
    <n v="3"/>
    <n v="3"/>
    <s v="MN"/>
    <n v="999"/>
    <s v="MN999"/>
    <m/>
    <x v="5"/>
    <m/>
    <m/>
    <m/>
    <m/>
    <s v="BARC SETASIDE"/>
    <m/>
    <m/>
    <m/>
    <m/>
    <m/>
    <m/>
    <s v=""/>
    <m/>
    <m/>
    <m/>
    <m/>
    <s v=""/>
    <m/>
    <m/>
    <m/>
    <n v="6000000"/>
    <m/>
    <m/>
    <m/>
    <m/>
    <n v="0"/>
    <m/>
    <m/>
    <m/>
    <n v="0"/>
    <m/>
    <m/>
    <m/>
    <n v="0"/>
    <m/>
    <m/>
    <m/>
    <m/>
    <n v="0"/>
    <m/>
    <n v="6000000"/>
    <n v="6000000"/>
    <n v="601411453.54999995"/>
    <n v="237874990.93000001"/>
    <n v="2020"/>
    <m/>
    <m/>
    <m/>
    <m/>
    <m/>
    <m/>
    <m/>
    <m/>
    <m/>
    <m/>
    <m/>
    <m/>
    <m/>
    <n v="0.78300000000000003"/>
    <n v="4698000"/>
    <m/>
    <m/>
    <m/>
    <m/>
    <m/>
    <n v="0"/>
    <m/>
    <n v="0.217"/>
    <n v="1302000"/>
    <m/>
    <m/>
    <m/>
    <m/>
    <m/>
    <n v="0"/>
    <m/>
    <m/>
    <m/>
    <m/>
    <m/>
    <n v="0"/>
    <m/>
    <m/>
    <m/>
    <m/>
    <m/>
    <n v="0"/>
    <m/>
    <m/>
    <m/>
    <m/>
    <m/>
    <n v="0"/>
    <m/>
    <m/>
    <m/>
    <m/>
    <m/>
    <n v="0"/>
    <m/>
    <m/>
    <m/>
    <m/>
    <m/>
    <n v="0"/>
    <m/>
    <m/>
    <m/>
    <m/>
    <m/>
    <n v="0"/>
    <m/>
    <m/>
    <m/>
    <m/>
    <n v="1"/>
    <n v="6000000"/>
  </r>
  <r>
    <m/>
    <s v="M"/>
    <s v="M"/>
    <s v="MN"/>
    <n v="999"/>
    <s v="MN999"/>
    <m/>
    <x v="5"/>
    <m/>
    <m/>
    <m/>
    <m/>
    <s v="CMSP/SAFETY CAPACITY SETASIDE"/>
    <m/>
    <m/>
    <m/>
    <m/>
    <m/>
    <m/>
    <s v=""/>
    <m/>
    <m/>
    <m/>
    <m/>
    <s v=""/>
    <m/>
    <m/>
    <m/>
    <n v="6000000"/>
    <m/>
    <m/>
    <m/>
    <m/>
    <n v="0"/>
    <m/>
    <m/>
    <m/>
    <n v="0"/>
    <m/>
    <m/>
    <m/>
    <n v="0"/>
    <m/>
    <m/>
    <m/>
    <m/>
    <n v="0"/>
    <m/>
    <n v="6000000"/>
    <n v="6000000"/>
    <n v="601411453.54999995"/>
    <n v="237874990.93000001"/>
    <n v="2020"/>
    <m/>
    <m/>
    <m/>
    <m/>
    <m/>
    <m/>
    <m/>
    <m/>
    <m/>
    <m/>
    <m/>
    <m/>
    <m/>
    <m/>
    <n v="0"/>
    <m/>
    <m/>
    <m/>
    <m/>
    <m/>
    <n v="0"/>
    <m/>
    <m/>
    <n v="0"/>
    <m/>
    <m/>
    <m/>
    <m/>
    <m/>
    <n v="0"/>
    <m/>
    <m/>
    <m/>
    <m/>
    <m/>
    <n v="0"/>
    <m/>
    <m/>
    <m/>
    <m/>
    <n v="1"/>
    <n v="6000000"/>
    <m/>
    <m/>
    <m/>
    <m/>
    <m/>
    <n v="0"/>
    <m/>
    <m/>
    <m/>
    <m/>
    <m/>
    <n v="0"/>
    <m/>
    <m/>
    <m/>
    <m/>
    <m/>
    <n v="0"/>
    <m/>
    <m/>
    <m/>
    <m/>
    <m/>
    <n v="0"/>
    <m/>
    <m/>
    <m/>
    <m/>
    <n v="1"/>
    <n v="6000000"/>
  </r>
  <r>
    <m/>
    <s v="M"/>
    <s v="M"/>
    <s v="I"/>
    <n v="35"/>
    <s v="I 35"/>
    <s v="8280-46"/>
    <x v="0"/>
    <m/>
    <s v="S"/>
    <s v="MNDOT"/>
    <n v="7"/>
    <s v="AT CSAH 2 IN FOREST LAKE-REPLACE LIGHTING SYSTEM"/>
    <m/>
    <m/>
    <m/>
    <m/>
    <m/>
    <m/>
    <m/>
    <m/>
    <m/>
    <m/>
    <m/>
    <m/>
    <m/>
    <m/>
    <m/>
    <n v="300000"/>
    <m/>
    <m/>
    <m/>
    <m/>
    <m/>
    <m/>
    <m/>
    <m/>
    <m/>
    <m/>
    <m/>
    <m/>
    <m/>
    <m/>
    <m/>
    <m/>
    <m/>
    <m/>
    <m/>
    <n v="0"/>
    <m/>
    <m/>
    <m/>
    <m/>
    <m/>
    <m/>
    <m/>
    <m/>
    <m/>
    <m/>
    <m/>
    <m/>
    <m/>
    <m/>
    <m/>
    <m/>
    <m/>
    <m/>
    <n v="0"/>
    <m/>
    <m/>
    <m/>
    <m/>
    <m/>
    <n v="0"/>
    <m/>
    <m/>
    <n v="0"/>
    <m/>
    <m/>
    <m/>
    <m/>
    <m/>
    <n v="0"/>
    <m/>
    <m/>
    <m/>
    <m/>
    <m/>
    <n v="0"/>
    <m/>
    <m/>
    <m/>
    <m/>
    <n v="1"/>
    <n v="300000"/>
    <m/>
    <m/>
    <m/>
    <m/>
    <m/>
    <n v="0"/>
    <m/>
    <m/>
    <m/>
    <m/>
    <m/>
    <n v="0"/>
    <m/>
    <m/>
    <m/>
    <m/>
    <m/>
    <n v="0"/>
    <m/>
    <m/>
    <m/>
    <m/>
    <m/>
    <n v="0"/>
    <m/>
    <m/>
    <m/>
    <m/>
    <n v="1"/>
    <n v="300000"/>
  </r>
  <r>
    <m/>
    <s v="M"/>
    <s v="M"/>
    <s v="MN"/>
    <n v="999"/>
    <s v="MN999"/>
    <m/>
    <x v="6"/>
    <m/>
    <m/>
    <m/>
    <m/>
    <s v="CMSP/SAFETY CAPACITY SETASIDE"/>
    <m/>
    <m/>
    <m/>
    <m/>
    <m/>
    <m/>
    <s v=""/>
    <m/>
    <m/>
    <m/>
    <m/>
    <s v=""/>
    <m/>
    <m/>
    <m/>
    <n v="6000000"/>
    <m/>
    <m/>
    <m/>
    <m/>
    <n v="0"/>
    <m/>
    <m/>
    <m/>
    <n v="0"/>
    <m/>
    <m/>
    <m/>
    <n v="0"/>
    <m/>
    <m/>
    <m/>
    <m/>
    <n v="0"/>
    <m/>
    <n v="6000000"/>
    <n v="6000000"/>
    <n v="601411453.54999995"/>
    <n v="237874990.93000001"/>
    <n v="2021"/>
    <m/>
    <m/>
    <m/>
    <m/>
    <m/>
    <m/>
    <m/>
    <m/>
    <m/>
    <m/>
    <m/>
    <m/>
    <m/>
    <m/>
    <n v="0"/>
    <m/>
    <m/>
    <m/>
    <m/>
    <m/>
    <n v="0"/>
    <m/>
    <m/>
    <n v="0"/>
    <m/>
    <m/>
    <m/>
    <m/>
    <m/>
    <n v="0"/>
    <m/>
    <m/>
    <m/>
    <m/>
    <m/>
    <n v="0"/>
    <m/>
    <m/>
    <m/>
    <m/>
    <n v="1"/>
    <n v="6000000"/>
    <m/>
    <m/>
    <m/>
    <m/>
    <m/>
    <n v="0"/>
    <m/>
    <m/>
    <m/>
    <m/>
    <m/>
    <n v="0"/>
    <m/>
    <m/>
    <m/>
    <m/>
    <m/>
    <n v="0"/>
    <m/>
    <m/>
    <m/>
    <m/>
    <m/>
    <n v="0"/>
    <m/>
    <m/>
    <m/>
    <m/>
    <n v="1"/>
    <n v="6000000"/>
  </r>
  <r>
    <m/>
    <s v="M"/>
    <s v="M"/>
    <s v="MN"/>
    <n v="999"/>
    <s v="MN999"/>
    <m/>
    <x v="7"/>
    <m/>
    <m/>
    <m/>
    <m/>
    <s v="CMSP/SAFETY CAPACITY SETASIDE"/>
    <m/>
    <m/>
    <m/>
    <m/>
    <m/>
    <m/>
    <s v=""/>
    <m/>
    <m/>
    <m/>
    <m/>
    <s v=""/>
    <m/>
    <m/>
    <m/>
    <n v="6000000"/>
    <m/>
    <m/>
    <m/>
    <m/>
    <n v="0"/>
    <m/>
    <m/>
    <m/>
    <n v="0"/>
    <m/>
    <m/>
    <m/>
    <n v="0"/>
    <m/>
    <m/>
    <m/>
    <m/>
    <n v="0"/>
    <m/>
    <n v="6000000"/>
    <n v="6000000"/>
    <n v="601411453.54999995"/>
    <n v="237874990.93000001"/>
    <n v="2022"/>
    <m/>
    <m/>
    <m/>
    <m/>
    <m/>
    <m/>
    <m/>
    <m/>
    <m/>
    <m/>
    <m/>
    <m/>
    <m/>
    <m/>
    <n v="0"/>
    <m/>
    <m/>
    <m/>
    <m/>
    <m/>
    <n v="0"/>
    <m/>
    <m/>
    <n v="0"/>
    <m/>
    <m/>
    <m/>
    <m/>
    <m/>
    <n v="0"/>
    <m/>
    <m/>
    <m/>
    <m/>
    <m/>
    <n v="0"/>
    <m/>
    <m/>
    <m/>
    <m/>
    <n v="1"/>
    <n v="6000000"/>
    <m/>
    <m/>
    <m/>
    <m/>
    <m/>
    <n v="0"/>
    <m/>
    <m/>
    <m/>
    <m/>
    <m/>
    <n v="0"/>
    <m/>
    <m/>
    <m/>
    <m/>
    <m/>
    <n v="0"/>
    <m/>
    <m/>
    <m/>
    <m/>
    <m/>
    <n v="0"/>
    <m/>
    <m/>
    <m/>
    <m/>
    <n v="1"/>
    <n v="6000000"/>
  </r>
  <r>
    <m/>
    <s v="M"/>
    <s v="M"/>
    <s v="MN"/>
    <n v="999"/>
    <s v="MN999"/>
    <m/>
    <x v="8"/>
    <m/>
    <m/>
    <m/>
    <m/>
    <s v="CMSP/SAFETY CAPACITY SETASIDE"/>
    <m/>
    <m/>
    <m/>
    <m/>
    <m/>
    <m/>
    <s v=""/>
    <m/>
    <m/>
    <m/>
    <m/>
    <s v=""/>
    <m/>
    <m/>
    <m/>
    <n v="6000000"/>
    <m/>
    <m/>
    <m/>
    <m/>
    <n v="0"/>
    <m/>
    <m/>
    <m/>
    <n v="0"/>
    <m/>
    <m/>
    <m/>
    <n v="0"/>
    <m/>
    <m/>
    <m/>
    <m/>
    <n v="0"/>
    <m/>
    <n v="6000000"/>
    <n v="6000000"/>
    <n v="601411453.54999995"/>
    <n v="237874990.93000001"/>
    <n v="2023"/>
    <m/>
    <m/>
    <m/>
    <m/>
    <m/>
    <m/>
    <m/>
    <m/>
    <m/>
    <m/>
    <m/>
    <m/>
    <m/>
    <m/>
    <n v="0"/>
    <m/>
    <m/>
    <m/>
    <m/>
    <m/>
    <n v="0"/>
    <m/>
    <m/>
    <n v="0"/>
    <m/>
    <m/>
    <m/>
    <m/>
    <m/>
    <n v="0"/>
    <m/>
    <m/>
    <m/>
    <m/>
    <m/>
    <n v="0"/>
    <m/>
    <m/>
    <m/>
    <m/>
    <n v="1"/>
    <n v="6000000"/>
    <m/>
    <m/>
    <m/>
    <m/>
    <m/>
    <n v="0"/>
    <m/>
    <m/>
    <m/>
    <m/>
    <m/>
    <n v="0"/>
    <m/>
    <m/>
    <m/>
    <m/>
    <m/>
    <n v="0"/>
    <m/>
    <m/>
    <m/>
    <m/>
    <m/>
    <n v="0"/>
    <m/>
    <m/>
    <m/>
    <m/>
    <n v="1"/>
    <n v="6000000"/>
  </r>
  <r>
    <m/>
    <s v="M"/>
    <s v="M"/>
    <s v="I"/>
    <n v="94"/>
    <s v="I 94"/>
    <s v="8282-109"/>
    <x v="1"/>
    <m/>
    <s v="S"/>
    <s v="MNDOT"/>
    <n v="7"/>
    <s v="FROM I494/694 IN WOODBURY TO ST CROIX RIVER IN LAKELAND-INCIDENT MGMT SYSTEM AND RAMP METERS AT RADIO DR, WOODBURY DR AND MANNING AVE"/>
    <m/>
    <m/>
    <m/>
    <m/>
    <m/>
    <m/>
    <m/>
    <m/>
    <m/>
    <m/>
    <m/>
    <m/>
    <m/>
    <m/>
    <m/>
    <n v="1000000"/>
    <m/>
    <m/>
    <m/>
    <m/>
    <m/>
    <m/>
    <m/>
    <m/>
    <m/>
    <m/>
    <m/>
    <m/>
    <m/>
    <m/>
    <m/>
    <m/>
    <m/>
    <m/>
    <m/>
    <n v="0"/>
    <m/>
    <m/>
    <m/>
    <m/>
    <m/>
    <m/>
    <m/>
    <m/>
    <m/>
    <m/>
    <m/>
    <m/>
    <m/>
    <m/>
    <m/>
    <m/>
    <m/>
    <m/>
    <n v="0"/>
    <m/>
    <m/>
    <m/>
    <m/>
    <m/>
    <n v="0"/>
    <m/>
    <m/>
    <n v="0"/>
    <m/>
    <m/>
    <m/>
    <m/>
    <m/>
    <n v="0"/>
    <m/>
    <n v="1"/>
    <m/>
    <m/>
    <m/>
    <n v="0"/>
    <m/>
    <m/>
    <m/>
    <m/>
    <n v="1"/>
    <n v="1000000"/>
    <m/>
    <m/>
    <m/>
    <m/>
    <m/>
    <n v="0"/>
    <m/>
    <m/>
    <m/>
    <m/>
    <m/>
    <n v="0"/>
    <m/>
    <m/>
    <m/>
    <m/>
    <m/>
    <n v="0"/>
    <m/>
    <m/>
    <m/>
    <m/>
    <m/>
    <n v="0"/>
    <m/>
    <m/>
    <m/>
    <m/>
    <n v="1"/>
    <n v="1000000"/>
  </r>
  <r>
    <m/>
    <n v="6"/>
    <n v="6"/>
    <s v="MN"/>
    <n v="999"/>
    <s v="MN 999"/>
    <s v="8806-RW-18"/>
    <x v="3"/>
    <m/>
    <s v="S"/>
    <s v="MNDOT"/>
    <m/>
    <s v="DISTRICTWIDE SETASIDES - R/W - 2018"/>
    <m/>
    <m/>
    <n v="0"/>
    <m/>
    <s v="DISTRICTWIDE"/>
    <s v="RW"/>
    <s v="R/W "/>
    <s v="R/W"/>
    <m/>
    <s v="SETA - SET ASIDE"/>
    <s v="RIGHT OF WAY"/>
    <s v="SF  "/>
    <s v="SF"/>
    <m/>
    <m/>
    <n v="5877020"/>
    <n v="0"/>
    <n v="0"/>
    <n v="0"/>
    <n v="0"/>
    <n v="0"/>
    <n v="0"/>
    <n v="0"/>
    <n v="0"/>
    <n v="0"/>
    <n v="0"/>
    <n v="0"/>
    <n v="0"/>
    <n v="0"/>
    <n v="0"/>
    <n v="0"/>
    <n v="5877020"/>
    <n v="0"/>
    <n v="5877020"/>
    <n v="0"/>
    <n v="0"/>
    <n v="5877020"/>
    <m/>
    <m/>
    <n v="2018"/>
    <m/>
    <m/>
    <m/>
    <m/>
    <m/>
    <m/>
    <m/>
    <m/>
    <m/>
    <m/>
    <m/>
    <m/>
    <m/>
    <m/>
    <n v="0"/>
    <m/>
    <m/>
    <m/>
    <m/>
    <m/>
    <n v="0"/>
    <m/>
    <m/>
    <n v="0"/>
    <m/>
    <m/>
    <m/>
    <m/>
    <m/>
    <n v="0"/>
    <m/>
    <m/>
    <m/>
    <m/>
    <m/>
    <n v="0"/>
    <m/>
    <m/>
    <m/>
    <m/>
    <m/>
    <n v="0"/>
    <m/>
    <m/>
    <m/>
    <m/>
    <m/>
    <n v="0"/>
    <m/>
    <m/>
    <m/>
    <m/>
    <m/>
    <n v="0"/>
    <m/>
    <m/>
    <m/>
    <m/>
    <m/>
    <n v="0"/>
    <m/>
    <m/>
    <m/>
    <m/>
    <n v="1"/>
    <n v="5877020"/>
    <s v="Right of way"/>
    <m/>
    <m/>
    <m/>
    <n v="1"/>
    <n v="5877020"/>
  </r>
  <r>
    <m/>
    <s v="M"/>
    <s v="M"/>
    <s v="I"/>
    <n v="94"/>
    <s v="I 94"/>
    <s v="8282-116"/>
    <x v="1"/>
    <m/>
    <s v="S"/>
    <s v="MNDOT"/>
    <n v="7"/>
    <s v="MANNING AVE IN WOODBURY TO ST. CROIX RIVER IN LAKELAND TWP- REPAIR, REPLACE &amp; LINE LARGE PIPES"/>
    <m/>
    <m/>
    <m/>
    <m/>
    <m/>
    <m/>
    <m/>
    <m/>
    <m/>
    <m/>
    <m/>
    <m/>
    <m/>
    <m/>
    <m/>
    <n v="4560000"/>
    <m/>
    <m/>
    <m/>
    <m/>
    <m/>
    <m/>
    <m/>
    <m/>
    <m/>
    <m/>
    <m/>
    <m/>
    <m/>
    <m/>
    <m/>
    <m/>
    <m/>
    <m/>
    <m/>
    <n v="0"/>
    <m/>
    <m/>
    <m/>
    <m/>
    <m/>
    <m/>
    <m/>
    <m/>
    <m/>
    <m/>
    <m/>
    <m/>
    <m/>
    <m/>
    <m/>
    <m/>
    <m/>
    <m/>
    <n v="0"/>
    <m/>
    <m/>
    <m/>
    <m/>
    <m/>
    <n v="0"/>
    <m/>
    <n v="1"/>
    <n v="4560000"/>
    <s v="Drainage and culverts"/>
    <m/>
    <m/>
    <m/>
    <m/>
    <n v="0"/>
    <m/>
    <n v="1"/>
    <m/>
    <m/>
    <m/>
    <n v="0"/>
    <m/>
    <m/>
    <m/>
    <m/>
    <m/>
    <n v="0"/>
    <m/>
    <m/>
    <m/>
    <m/>
    <m/>
    <n v="0"/>
    <m/>
    <m/>
    <m/>
    <m/>
    <m/>
    <n v="0"/>
    <m/>
    <m/>
    <m/>
    <m/>
    <m/>
    <n v="0"/>
    <m/>
    <m/>
    <m/>
    <m/>
    <m/>
    <n v="0"/>
    <m/>
    <m/>
    <m/>
    <m/>
    <n v="1"/>
    <n v="4560000"/>
  </r>
  <r>
    <m/>
    <n v="7"/>
    <n v="7"/>
    <s v="MN"/>
    <n v="4"/>
    <s v="MN 4"/>
    <s v="8302-38"/>
    <x v="2"/>
    <s v="2016-TH-3"/>
    <s v="S"/>
    <s v="MNDOT"/>
    <m/>
    <s v="FROM 0.2 MI S OF 10TH AVE S TO 11TH AVE N IN ST JAMES, RECONSTRUCT ROADWAY"/>
    <s v="036+00.233"/>
    <s v="037+00.517"/>
    <n v="1.3"/>
    <s v="SAINT JAMES"/>
    <s v="WATONWAN"/>
    <s v="MC"/>
    <s v="1-P "/>
    <s v="1-P"/>
    <m/>
    <s v="GRSU - GRADE AND SURFACE"/>
    <s v="GRADE AND SURFACE"/>
    <s v="STP 5K &gt;  "/>
    <s v="STP 5K &gt;"/>
    <m/>
    <m/>
    <n v="4700000"/>
    <n v="0"/>
    <n v="0"/>
    <n v="3760000"/>
    <n v="0"/>
    <n v="3760000"/>
    <n v="0"/>
    <n v="0"/>
    <n v="0"/>
    <n v="0"/>
    <n v="0"/>
    <n v="0"/>
    <n v="0"/>
    <n v="0"/>
    <n v="0"/>
    <n v="0"/>
    <n v="940000"/>
    <n v="0"/>
    <n v="940000"/>
    <n v="0"/>
    <n v="0"/>
    <n v="4700000"/>
    <n v="32922449"/>
    <n v="4374000"/>
    <n v="2016"/>
    <m/>
    <m/>
    <m/>
    <m/>
    <m/>
    <m/>
    <s v="NO"/>
    <s v="NO"/>
    <m/>
    <s v="NO"/>
    <s v="NO"/>
    <s v="Yes"/>
    <s v="NO"/>
    <n v="0.82099999999999995"/>
    <n v="3858700"/>
    <m/>
    <m/>
    <m/>
    <m/>
    <m/>
    <n v="0"/>
    <m/>
    <n v="0.115"/>
    <n v="540500"/>
    <m/>
    <m/>
    <m/>
    <m/>
    <n v="3.2000000000000001E-2"/>
    <n v="150400"/>
    <m/>
    <m/>
    <m/>
    <m/>
    <m/>
    <n v="0"/>
    <m/>
    <m/>
    <m/>
    <m/>
    <m/>
    <n v="0"/>
    <m/>
    <m/>
    <m/>
    <m/>
    <n v="2.3E-2"/>
    <n v="108100"/>
    <m/>
    <m/>
    <m/>
    <m/>
    <n v="8.9999999999999993E-3"/>
    <n v="42300"/>
    <m/>
    <m/>
    <m/>
    <m/>
    <m/>
    <n v="0"/>
    <m/>
    <m/>
    <m/>
    <m/>
    <m/>
    <n v="0"/>
    <m/>
    <m/>
    <m/>
    <m/>
    <n v="1"/>
    <n v="4700000"/>
  </r>
  <r>
    <m/>
    <n v="7"/>
    <n v="7"/>
    <s v="MN"/>
    <n v="60"/>
    <s v="MN 60"/>
    <s v="8308-44AC1"/>
    <x v="0"/>
    <s v="2014-TH-2"/>
    <s v="S"/>
    <s v="MNDOT"/>
    <m/>
    <s v="FROM CSAH 5 IN BUTTERFIELD TO 700TH AVE IN ST JAMES, CONSTRUCT 4 LANE ROADWAY AND NEW BRIDGE #83040, ALTERNATE BID (AC PAYBACK 1 OF 2)"/>
    <s v="059+00.104"/>
    <s v="064+00.365"/>
    <n v="5.3"/>
    <m/>
    <s v="WATONWAN"/>
    <s v="MC"/>
    <s v="7-IRC-P "/>
    <s v="7-IRC-P"/>
    <m/>
    <s v="GSBR - GRADE, SURFACE AND BRIDGE"/>
    <s v="GRADE AND BRIDGE"/>
    <s v="NHPP  "/>
    <s v="NHPP"/>
    <m/>
    <m/>
    <n v="7000000"/>
    <n v="0"/>
    <n v="0"/>
    <n v="0"/>
    <n v="0"/>
    <n v="0"/>
    <n v="0"/>
    <n v="0"/>
    <n v="0"/>
    <n v="0"/>
    <n v="0"/>
    <n v="7000000"/>
    <n v="0"/>
    <n v="7000000"/>
    <n v="0"/>
    <n v="0"/>
    <n v="0"/>
    <n v="0"/>
    <n v="0"/>
    <n v="0"/>
    <n v="0"/>
    <n v="0"/>
    <n v="40596935"/>
    <n v="8117000"/>
    <n v="2014"/>
    <m/>
    <m/>
    <m/>
    <m/>
    <m/>
    <m/>
    <s v="NO"/>
    <s v="YES"/>
    <m/>
    <s v="NO"/>
    <s v="NO"/>
    <s v="Yes"/>
    <s v="NO"/>
    <m/>
    <n v="0"/>
    <m/>
    <m/>
    <m/>
    <m/>
    <m/>
    <n v="0"/>
    <m/>
    <m/>
    <n v="0"/>
    <m/>
    <m/>
    <m/>
    <m/>
    <m/>
    <n v="0"/>
    <m/>
    <m/>
    <m/>
    <m/>
    <m/>
    <n v="0"/>
    <m/>
    <m/>
    <m/>
    <m/>
    <m/>
    <n v="0"/>
    <m/>
    <m/>
    <m/>
    <m/>
    <m/>
    <n v="0"/>
    <m/>
    <m/>
    <m/>
    <m/>
    <m/>
    <n v="0"/>
    <m/>
    <m/>
    <m/>
    <m/>
    <n v="1"/>
    <n v="7000000"/>
    <m/>
    <m/>
    <m/>
    <m/>
    <m/>
    <n v="0"/>
    <m/>
    <m/>
    <m/>
    <m/>
    <n v="1"/>
    <n v="7000000"/>
  </r>
  <r>
    <m/>
    <n v="7"/>
    <n v="7"/>
    <s v="MN"/>
    <n v="60"/>
    <s v="MN 60"/>
    <s v="8308-44AC2"/>
    <x v="1"/>
    <s v="2015-TH-2"/>
    <s v="S"/>
    <s v="MNDOT"/>
    <m/>
    <s v="FROM CSAH 5 IN BUTTERFIELD TO 700TH AVE IN ST JAMES, CONSTRUCT 4 LANE ROADWAY AND NEW BRIDGE #83040, ALTERNATE BID (AC PAYBACK 2 OF 2)"/>
    <s v="059+00.104"/>
    <s v="064+00.365"/>
    <n v="5.3"/>
    <m/>
    <s v="WATONWAN"/>
    <s v="MC"/>
    <s v="7-IRC-P "/>
    <s v="7-IRC-P"/>
    <m/>
    <s v="GSBR - GRADE, SURFACE AND BRIDGE"/>
    <s v="GRADE AND BRIDGE"/>
    <s v="NHPP  "/>
    <s v="NHPP"/>
    <m/>
    <m/>
    <n v="5240000"/>
    <n v="0"/>
    <n v="0"/>
    <n v="0"/>
    <n v="0"/>
    <n v="0"/>
    <n v="0"/>
    <n v="0"/>
    <n v="0"/>
    <n v="0"/>
    <n v="0"/>
    <n v="5240000"/>
    <n v="0"/>
    <n v="5240000"/>
    <n v="0"/>
    <n v="0"/>
    <n v="0"/>
    <n v="0"/>
    <n v="0"/>
    <n v="0"/>
    <n v="0"/>
    <n v="0"/>
    <n v="40902734"/>
    <n v="6752056"/>
    <n v="2015"/>
    <m/>
    <m/>
    <m/>
    <m/>
    <m/>
    <m/>
    <s v="NO"/>
    <s v="YES"/>
    <m/>
    <s v="NO"/>
    <s v="NO"/>
    <s v="Yes"/>
    <s v="NO"/>
    <m/>
    <n v="0"/>
    <m/>
    <m/>
    <m/>
    <m/>
    <m/>
    <n v="0"/>
    <m/>
    <m/>
    <n v="0"/>
    <m/>
    <m/>
    <m/>
    <m/>
    <m/>
    <n v="0"/>
    <m/>
    <m/>
    <m/>
    <m/>
    <m/>
    <n v="0"/>
    <m/>
    <m/>
    <m/>
    <m/>
    <m/>
    <n v="0"/>
    <m/>
    <m/>
    <m/>
    <m/>
    <m/>
    <n v="0"/>
    <m/>
    <m/>
    <m/>
    <m/>
    <m/>
    <n v="0"/>
    <m/>
    <m/>
    <m/>
    <m/>
    <n v="1"/>
    <n v="5240000"/>
    <m/>
    <m/>
    <m/>
    <m/>
    <m/>
    <n v="0"/>
    <m/>
    <m/>
    <m/>
    <m/>
    <n v="1"/>
    <n v="5240000"/>
  </r>
  <r>
    <m/>
    <n v="7"/>
    <n v="7"/>
    <s v="MN"/>
    <n v="60"/>
    <s v="MN 60"/>
    <s v="8309-47"/>
    <x v="0"/>
    <m/>
    <s v="S"/>
    <s v="MNDOT"/>
    <m/>
    <s v="4.8 MI WEST OF SOUTH JCT TH 15, APPROACH WORK AND REHAB BR#83029 &amp; 83030"/>
    <s v="072+00.960"/>
    <s v="072+00.960"/>
    <n v="0"/>
    <m/>
    <s v="WATONWAN"/>
    <s v="RX"/>
    <m/>
    <m/>
    <m/>
    <s v="BRRH - BRIDGE REHABILITATION"/>
    <s v="BRIDGE REPAIR"/>
    <s v="SF  "/>
    <s v="SF"/>
    <m/>
    <m/>
    <n v="350000"/>
    <n v="0"/>
    <n v="0"/>
    <n v="0"/>
    <n v="0"/>
    <n v="0"/>
    <n v="0"/>
    <n v="0"/>
    <n v="0"/>
    <n v="0"/>
    <n v="0"/>
    <n v="0"/>
    <n v="0"/>
    <n v="0"/>
    <n v="0"/>
    <n v="0"/>
    <n v="350000"/>
    <n v="0"/>
    <n v="350000"/>
    <n v="0"/>
    <n v="0"/>
    <n v="350000"/>
    <n v="40596935"/>
    <n v="8467000"/>
    <n v="2014"/>
    <m/>
    <m/>
    <m/>
    <m/>
    <m/>
    <m/>
    <s v="NO"/>
    <s v="NO"/>
    <m/>
    <s v="NO"/>
    <s v="NO"/>
    <s v="Yes"/>
    <s v="NO"/>
    <m/>
    <n v="0"/>
    <m/>
    <m/>
    <m/>
    <m/>
    <n v="0.92900000000000005"/>
    <n v="325150"/>
    <m/>
    <m/>
    <n v="0"/>
    <m/>
    <m/>
    <m/>
    <m/>
    <m/>
    <n v="0"/>
    <m/>
    <m/>
    <m/>
    <m/>
    <m/>
    <n v="0"/>
    <m/>
    <m/>
    <m/>
    <m/>
    <m/>
    <n v="0"/>
    <m/>
    <m/>
    <m/>
    <m/>
    <n v="3.5000000000000003E-2"/>
    <n v="12250.000000000002"/>
    <m/>
    <m/>
    <m/>
    <m/>
    <n v="3.5999999999999997E-2"/>
    <n v="12599.999999999998"/>
    <m/>
    <m/>
    <m/>
    <m/>
    <m/>
    <n v="0"/>
    <m/>
    <m/>
    <m/>
    <m/>
    <m/>
    <n v="0"/>
    <m/>
    <m/>
    <m/>
    <m/>
    <n v="1"/>
    <n v="350000"/>
  </r>
  <r>
    <m/>
    <n v="4"/>
    <n v="4"/>
    <s v="MN"/>
    <n v="9"/>
    <s v="MN 9"/>
    <s v="8402-17"/>
    <x v="1"/>
    <s v="2015-33"/>
    <s v="S"/>
    <s v="MNDOT"/>
    <m/>
    <s v="JCT MN 55 to JCT US 75 IN DORAN &amp; SOUTH STREET IN MORRIS to MN 27 IN HERMAN, &amp; ON MN 55 FROM WENDELL TO US 59 MILL AND BIT OVERLAY"/>
    <n v="9325700"/>
    <n v="0"/>
    <n v="0"/>
    <n v="7460600"/>
    <n v="0"/>
    <n v="7460600"/>
    <n v="0"/>
    <n v="0"/>
    <n v="0"/>
    <n v="0"/>
    <n v="0"/>
    <n v="0"/>
    <n v="0"/>
    <n v="0"/>
    <n v="0"/>
    <n v="9325700"/>
    <n v="1865100"/>
    <n v="0"/>
    <n v="1865100"/>
    <n v="0"/>
    <n v="0"/>
    <n v="9325700"/>
    <n v="34723022.5"/>
    <n v="25773353"/>
    <n v="2015"/>
    <m/>
    <m/>
    <m/>
    <m/>
    <m/>
    <m/>
    <s v="YES"/>
    <s v="NO"/>
    <s v="7th District"/>
    <s v="NO"/>
    <n v="0"/>
    <s v="YES"/>
    <s v="NO"/>
    <n v="0.77200000000000002"/>
    <n v="7199440.4000000004"/>
    <m/>
    <m/>
    <m/>
    <m/>
    <m/>
    <n v="0"/>
    <m/>
    <m/>
    <m/>
    <m/>
    <n v="0.17285015000000001"/>
    <n v="1611948.6438550001"/>
    <m/>
    <n v="0.77200000000000002"/>
    <n v="7199440.4000000004"/>
    <m/>
    <m/>
    <m/>
    <m/>
    <m/>
    <n v="0"/>
    <m/>
    <n v="0.17285015000000001"/>
    <n v="1611948.6438550001"/>
    <m/>
    <m/>
    <m/>
    <m/>
    <n v="1.297159E-2"/>
    <n v="120969.156863"/>
    <m/>
    <m/>
    <m/>
    <m/>
    <m/>
    <n v="0"/>
    <m/>
    <m/>
    <m/>
    <m/>
    <m/>
    <n v="0"/>
    <m/>
    <m/>
    <m/>
    <m/>
    <m/>
    <n v="0"/>
    <m/>
    <m/>
    <m/>
    <m/>
    <n v="4.1321860000000002E-2"/>
    <n v="385355.26980200002"/>
    <m/>
    <m/>
    <m/>
    <m/>
    <n v="1.23364E-3"/>
    <n v="11504.556548"/>
    <m/>
    <m/>
    <m/>
    <m/>
    <m/>
    <n v="0"/>
    <m/>
    <m/>
    <m/>
    <m/>
    <n v="1.0003772400000002"/>
    <n v="9329218.0270680003"/>
  </r>
  <r>
    <m/>
    <n v="4"/>
    <n v="4"/>
    <s v="US"/>
    <n v="75"/>
    <s v="US 75"/>
    <s v="8406-20"/>
    <x v="2"/>
    <s v="2016-36"/>
    <s v="S"/>
    <s v="MNDOT"/>
    <m/>
    <s v="REPLACE BRIDGE #9314 OVER DORAN SLOUGH"/>
    <n v="788500"/>
    <n v="0"/>
    <n v="0"/>
    <n v="709650"/>
    <n v="0"/>
    <n v="709650"/>
    <n v="0"/>
    <n v="0"/>
    <n v="0"/>
    <n v="0"/>
    <n v="0"/>
    <n v="0"/>
    <n v="0"/>
    <n v="0"/>
    <n v="0"/>
    <n v="788500"/>
    <n v="78850"/>
    <n v="0"/>
    <n v="78850"/>
    <n v="0"/>
    <n v="0"/>
    <n v="788500"/>
    <n v="97035765.5"/>
    <n v="43965530"/>
    <n v="2016"/>
    <m/>
    <m/>
    <m/>
    <m/>
    <m/>
    <m/>
    <s v="NO"/>
    <s v="NO"/>
    <s v="7th District"/>
    <s v="NO"/>
    <n v="0"/>
    <s v="YES"/>
    <s v="NO"/>
    <n v="3.0700000000000002E-2"/>
    <n v="24206.95"/>
    <m/>
    <m/>
    <m/>
    <m/>
    <n v="0.94699999999999995"/>
    <n v="746709.5"/>
    <m/>
    <m/>
    <m/>
    <m/>
    <n v="2.2200000000000001E-2"/>
    <n v="17504.7"/>
    <m/>
    <n v="3.0700000000000002E-2"/>
    <n v="24206.95"/>
    <m/>
    <m/>
    <m/>
    <m/>
    <n v="0.94699999999999995"/>
    <n v="746709.5"/>
    <m/>
    <n v="2.2200000000000001E-2"/>
    <n v="17504.7"/>
    <m/>
    <m/>
    <m/>
    <m/>
    <n v="1E-4"/>
    <n v="78.850000000000009"/>
    <m/>
    <m/>
    <m/>
    <m/>
    <m/>
    <n v="0"/>
    <m/>
    <m/>
    <m/>
    <m/>
    <m/>
    <n v="0"/>
    <m/>
    <m/>
    <m/>
    <m/>
    <m/>
    <n v="0"/>
    <m/>
    <m/>
    <m/>
    <m/>
    <m/>
    <n v="0"/>
    <m/>
    <m/>
    <m/>
    <m/>
    <m/>
    <n v="0"/>
    <m/>
    <m/>
    <m/>
    <m/>
    <m/>
    <n v="0"/>
    <m/>
    <m/>
    <m/>
    <m/>
    <n v="0.99999999999999989"/>
    <n v="788499.99999999988"/>
  </r>
  <r>
    <m/>
    <n v="4"/>
    <n v="4"/>
    <s v="US"/>
    <n v="75"/>
    <s v="US 75"/>
    <s v="8408-44"/>
    <x v="2"/>
    <s v="2016-34"/>
    <s v="S"/>
    <s v="MNDOT"/>
    <m/>
    <s v="**FMP** **ELLA** KENT FLOOD MITIGATION, REPLACE BRIDGE #5186 (New Br 84004) (WHISKEY CREEK), ROAD REALIGNMENT, RR OVERPASS"/>
    <n v="9471000"/>
    <n v="0"/>
    <n v="0"/>
    <n v="0"/>
    <n v="0"/>
    <n v="0"/>
    <n v="0"/>
    <n v="0"/>
    <n v="0"/>
    <n v="0"/>
    <n v="0"/>
    <n v="0"/>
    <n v="0"/>
    <n v="0"/>
    <n v="0"/>
    <n v="9471000"/>
    <n v="3471000"/>
    <n v="0"/>
    <n v="3471000"/>
    <n v="6000000"/>
    <n v="0"/>
    <n v="9471000"/>
    <n v="94315765.5"/>
    <n v="43285530"/>
    <n v="2016"/>
    <m/>
    <s v="bond project and project cost went up"/>
    <m/>
    <m/>
    <m/>
    <m/>
    <s v="NO"/>
    <s v="NO"/>
    <s v="7th District"/>
    <s v="yes"/>
    <n v="0"/>
    <s v="YES"/>
    <s v="NO"/>
    <n v="0.3"/>
    <n v="2841300"/>
    <m/>
    <m/>
    <m/>
    <m/>
    <n v="0.2"/>
    <n v="1894200"/>
    <m/>
    <m/>
    <m/>
    <m/>
    <n v="0.5"/>
    <n v="4735500"/>
    <m/>
    <n v="0.3"/>
    <n v="2841300"/>
    <m/>
    <m/>
    <m/>
    <m/>
    <n v="0.2"/>
    <n v="1894200"/>
    <m/>
    <n v="0.5"/>
    <n v="4735500"/>
    <m/>
    <m/>
    <m/>
    <m/>
    <m/>
    <n v="0"/>
    <m/>
    <m/>
    <m/>
    <m/>
    <m/>
    <n v="0"/>
    <m/>
    <m/>
    <m/>
    <m/>
    <m/>
    <n v="0"/>
    <m/>
    <m/>
    <m/>
    <m/>
    <m/>
    <n v="0"/>
    <m/>
    <m/>
    <m/>
    <m/>
    <m/>
    <n v="0"/>
    <m/>
    <m/>
    <m/>
    <m/>
    <m/>
    <n v="0"/>
    <m/>
    <m/>
    <m/>
    <m/>
    <m/>
    <n v="0"/>
    <m/>
    <m/>
    <m/>
    <m/>
    <n v="1"/>
    <n v="9471000"/>
  </r>
  <r>
    <m/>
    <n v="4"/>
    <n v="4"/>
    <s v="MN"/>
    <n v="9"/>
    <s v="MN 9"/>
    <s v="8409-23"/>
    <x v="9"/>
    <s v="2017-22"/>
    <s v="S"/>
    <s v="MNDOT"/>
    <m/>
    <s v="REPLACE BRIDGE # 6783 OVER DEERHORN CREEK"/>
    <n v="956000"/>
    <n v="0"/>
    <n v="0"/>
    <n v="764800"/>
    <n v="0"/>
    <n v="764800"/>
    <n v="0"/>
    <n v="0"/>
    <n v="0"/>
    <n v="0"/>
    <n v="0"/>
    <n v="0"/>
    <n v="0"/>
    <n v="0"/>
    <n v="0"/>
    <n v="956000"/>
    <n v="191200"/>
    <n v="0"/>
    <n v="191200"/>
    <n v="0"/>
    <n v="0"/>
    <n v="956000"/>
    <n v="107674903"/>
    <n v="53874730"/>
    <n v="2017"/>
    <m/>
    <m/>
    <m/>
    <m/>
    <m/>
    <m/>
    <s v="NO"/>
    <s v="NO"/>
    <s v="7th District"/>
    <s v="NO"/>
    <n v="0"/>
    <s v="YES"/>
    <s v="NO"/>
    <m/>
    <n v="0"/>
    <m/>
    <m/>
    <m/>
    <m/>
    <n v="1"/>
    <n v="956000"/>
    <m/>
    <m/>
    <m/>
    <m/>
    <m/>
    <n v="0"/>
    <m/>
    <m/>
    <n v="0"/>
    <m/>
    <m/>
    <m/>
    <m/>
    <n v="1"/>
    <n v="956000"/>
    <m/>
    <m/>
    <n v="0"/>
    <m/>
    <m/>
    <m/>
    <m/>
    <m/>
    <n v="0"/>
    <m/>
    <m/>
    <m/>
    <m/>
    <m/>
    <n v="0"/>
    <m/>
    <m/>
    <m/>
    <m/>
    <m/>
    <n v="0"/>
    <m/>
    <m/>
    <m/>
    <m/>
    <m/>
    <n v="0"/>
    <m/>
    <m/>
    <m/>
    <m/>
    <m/>
    <n v="0"/>
    <m/>
    <m/>
    <m/>
    <m/>
    <m/>
    <n v="0"/>
    <m/>
    <m/>
    <m/>
    <m/>
    <m/>
    <n v="0"/>
    <m/>
    <m/>
    <m/>
    <m/>
    <n v="1"/>
    <n v="956000"/>
  </r>
  <r>
    <m/>
    <n v="6"/>
    <n v="6"/>
    <s v="MN"/>
    <n v="43"/>
    <s v="MN 43"/>
    <s v="8503-46"/>
    <x v="1"/>
    <m/>
    <s v="S"/>
    <s v="MNDOT"/>
    <m/>
    <s v="**ELLA**BP08**AC** IN WINONA, REHAB BRIDGE 5900 (AC PROJECT, PAYBACKS IN 2016 ($36M) AND 2017 (14M) WITH REMAINDER MANAGED TO THE FUTURE)"/>
    <s v="044+00.259"/>
    <s v="045+00.334"/>
    <n v="1.075"/>
    <m/>
    <s v="WINONA"/>
    <s v="BI"/>
    <s v="1-B "/>
    <s v="1-B"/>
    <m/>
    <s v="BRRH - BRIDGE REHABILITATION"/>
    <s v="BRIDGE REPLACEMENT"/>
    <s v="BF NHPP "/>
    <s v="BF"/>
    <s v="NHPP"/>
    <m/>
    <n v="47280000"/>
    <n v="0"/>
    <n v="0"/>
    <n v="21000000"/>
    <n v="0"/>
    <n v="21000000"/>
    <n v="0"/>
    <n v="84120000"/>
    <n v="0"/>
    <n v="84120000"/>
    <n v="0"/>
    <n v="0"/>
    <n v="0"/>
    <n v="0"/>
    <n v="0"/>
    <n v="0"/>
    <n v="0"/>
    <n v="0"/>
    <n v="0"/>
    <n v="26280000"/>
    <n v="0"/>
    <n v="131400000"/>
    <n v="63724849"/>
    <n v="3296876"/>
    <n v="2015"/>
    <m/>
    <n v="24.3"/>
    <s v="BP08"/>
    <m/>
    <m/>
    <m/>
    <s v="NO"/>
    <s v="NO"/>
    <s v="1st District"/>
    <s v="YES"/>
    <s v="NO"/>
    <s v="Yes"/>
    <s v="NO"/>
    <m/>
    <n v="0"/>
    <m/>
    <m/>
    <m/>
    <m/>
    <n v="0.92900000000000005"/>
    <n v="43923120"/>
    <m/>
    <m/>
    <n v="0"/>
    <m/>
    <m/>
    <m/>
    <m/>
    <m/>
    <n v="0"/>
    <m/>
    <m/>
    <m/>
    <m/>
    <m/>
    <n v="0"/>
    <m/>
    <m/>
    <m/>
    <m/>
    <m/>
    <n v="0"/>
    <m/>
    <m/>
    <m/>
    <m/>
    <n v="3.5000000000000003E-2"/>
    <n v="1654800.0000000002"/>
    <m/>
    <m/>
    <m/>
    <m/>
    <n v="3.5999999999999997E-2"/>
    <n v="1702079.9999999998"/>
    <m/>
    <m/>
    <m/>
    <m/>
    <m/>
    <n v="0"/>
    <m/>
    <m/>
    <m/>
    <m/>
    <m/>
    <n v="0"/>
    <m/>
    <m/>
    <m/>
    <m/>
    <n v="1"/>
    <n v="47280000"/>
  </r>
  <r>
    <m/>
    <n v="6"/>
    <n v="6"/>
    <s v="MN"/>
    <n v="43"/>
    <s v="MN 43"/>
    <s v="8503-46AC1"/>
    <x v="9"/>
    <m/>
    <s v="S"/>
    <s v="MNDOT"/>
    <m/>
    <s v="**AC** WINONA BRIDGE - (AC PAYBACK - 2 OF 2) - MANAGED TO THE FUTURE FOR REMAINING PAYBACKS"/>
    <s v="044+00.259"/>
    <s v="045+00.334"/>
    <n v="1.075"/>
    <m/>
    <s v="WINONA"/>
    <s v="BI"/>
    <s v=" "/>
    <m/>
    <m/>
    <s v="BHHR - BRIDGE REHABILITATION"/>
    <s v="BRIDGE REPLACEMENT"/>
    <s v="BF  "/>
    <s v="BF"/>
    <m/>
    <m/>
    <n v="36000000"/>
    <n v="0"/>
    <n v="0"/>
    <n v="0"/>
    <n v="0"/>
    <n v="0"/>
    <n v="0"/>
    <n v="0"/>
    <n v="0"/>
    <n v="0"/>
    <n v="0"/>
    <n v="14000000"/>
    <n v="0"/>
    <n v="14000000"/>
    <n v="0"/>
    <n v="0"/>
    <n v="0"/>
    <n v="0"/>
    <n v="0"/>
    <n v="0"/>
    <n v="0"/>
    <n v="0"/>
    <n v="27864800"/>
    <n v="4394848"/>
    <n v="2017"/>
    <m/>
    <m/>
    <m/>
    <m/>
    <m/>
    <m/>
    <s v="NO"/>
    <s v="NO"/>
    <s v="1st District"/>
    <s v="NO"/>
    <s v="NO"/>
    <s v="NO"/>
    <m/>
    <m/>
    <n v="0"/>
    <m/>
    <m/>
    <m/>
    <m/>
    <n v="0.92900000000000005"/>
    <n v="33444000"/>
    <m/>
    <m/>
    <n v="0"/>
    <m/>
    <m/>
    <m/>
    <m/>
    <m/>
    <n v="0"/>
    <m/>
    <m/>
    <m/>
    <m/>
    <m/>
    <n v="0"/>
    <m/>
    <m/>
    <m/>
    <m/>
    <m/>
    <n v="0"/>
    <m/>
    <m/>
    <m/>
    <m/>
    <n v="3.5000000000000003E-2"/>
    <n v="1260000.0000000002"/>
    <m/>
    <m/>
    <m/>
    <m/>
    <n v="3.5999999999999997E-2"/>
    <n v="1296000"/>
    <m/>
    <m/>
    <m/>
    <m/>
    <m/>
    <n v="0"/>
    <m/>
    <m/>
    <m/>
    <m/>
    <m/>
    <n v="0"/>
    <m/>
    <m/>
    <m/>
    <m/>
    <n v="1"/>
    <n v="36000000"/>
  </r>
  <r>
    <m/>
    <n v="6"/>
    <n v="6"/>
    <s v="MN"/>
    <n v="43"/>
    <s v="MN 43"/>
    <s v="8503-46AC2"/>
    <x v="9"/>
    <m/>
    <s v="S"/>
    <s v="MNDOT"/>
    <m/>
    <s v="**AC** IN  WINONA, REHAB BRIDGE 5900 - (AC PAYBACK  2 OF 2) - MANAGED TO THE FUTURE FOR REMAINING PAYBACKS"/>
    <s v="044+00.259"/>
    <s v="045+00.334"/>
    <n v="1.075"/>
    <m/>
    <s v="WINONA"/>
    <s v="BI"/>
    <s v=" "/>
    <m/>
    <m/>
    <s v="BHHR - BRIDGE REHABILITATION"/>
    <s v="BRIDGE REPLACEMENT"/>
    <s v="NHPP  "/>
    <s v="NHPP"/>
    <m/>
    <m/>
    <n v="14000000"/>
    <n v="0"/>
    <n v="0"/>
    <n v="0"/>
    <n v="0"/>
    <n v="0"/>
    <n v="0"/>
    <n v="0"/>
    <n v="0"/>
    <n v="0"/>
    <n v="0"/>
    <n v="14000000"/>
    <n v="0"/>
    <n v="14000000"/>
    <n v="0"/>
    <n v="0"/>
    <n v="0"/>
    <n v="0"/>
    <n v="0"/>
    <n v="0"/>
    <n v="0"/>
    <n v="28000000"/>
    <n v="13977000"/>
    <n v="102683540"/>
    <s v="8503-46AC2"/>
    <s v="Fund changed from BF to NHPP for payback - bkg_x000a_Pa Youa-AC PB-Make descrip the same as 8503-46_x000a_CHANGED DESCRIPTION TO BE SAME AS 8503 &amp; AC IS OK - PA YOUA"/>
    <m/>
    <m/>
    <m/>
    <m/>
    <m/>
    <m/>
    <m/>
    <m/>
    <m/>
    <m/>
    <m/>
    <m/>
    <m/>
    <n v="0"/>
    <m/>
    <m/>
    <m/>
    <m/>
    <n v="0.92900000000000005"/>
    <n v="26012000"/>
    <m/>
    <m/>
    <n v="0"/>
    <m/>
    <m/>
    <m/>
    <m/>
    <m/>
    <n v="0"/>
    <m/>
    <m/>
    <m/>
    <m/>
    <m/>
    <n v="0"/>
    <m/>
    <m/>
    <m/>
    <m/>
    <m/>
    <n v="0"/>
    <m/>
    <m/>
    <m/>
    <m/>
    <n v="3.5000000000000003E-2"/>
    <n v="980000.00000000012"/>
    <m/>
    <m/>
    <m/>
    <m/>
    <n v="3.5999999999999997E-2"/>
    <n v="1007999.9999999999"/>
    <m/>
    <m/>
    <m/>
    <m/>
    <m/>
    <n v="0"/>
    <m/>
    <m/>
    <m/>
    <m/>
    <m/>
    <n v="0"/>
    <m/>
    <m/>
    <m/>
    <m/>
    <n v="1"/>
    <n v="28000000"/>
  </r>
  <r>
    <m/>
    <n v="6"/>
    <n v="6"/>
    <s v="US"/>
    <n v="61"/>
    <s v="US 61"/>
    <s v="8505-39"/>
    <x v="2"/>
    <m/>
    <s v="S"/>
    <s v="MNDOT"/>
    <m/>
    <s v="**ELLA** GILMORE AVENUE, WINONA, RECONSTRUCT INTERSECTION AND INSTALL NEW SIGNAL"/>
    <s v="028+00.752"/>
    <s v="028+00.828"/>
    <n v="0.08"/>
    <m/>
    <s v="WINONA"/>
    <s v="SC"/>
    <s v="7-O-P "/>
    <s v="7-O-P"/>
    <m/>
    <s v="GRSU - GRADE AND SURFACE"/>
    <s v="GRADE AND SURFACE"/>
    <s v="NHPP  "/>
    <s v="NHPP"/>
    <m/>
    <m/>
    <n v="2000000"/>
    <n v="0"/>
    <n v="0"/>
    <n v="1600000"/>
    <n v="0"/>
    <n v="1600000"/>
    <n v="0"/>
    <n v="0"/>
    <n v="0"/>
    <n v="0"/>
    <n v="0"/>
    <n v="0"/>
    <n v="0"/>
    <n v="0"/>
    <n v="0"/>
    <n v="0"/>
    <n v="400000"/>
    <n v="0"/>
    <n v="400000"/>
    <n v="0"/>
    <n v="0"/>
    <n v="2000000"/>
    <n v="65565609"/>
    <n v="3270549"/>
    <n v="2016"/>
    <m/>
    <m/>
    <m/>
    <m/>
    <m/>
    <m/>
    <s v="NO"/>
    <s v="NO"/>
    <s v="1st District"/>
    <s v="YES"/>
    <s v="NO"/>
    <s v="Yes"/>
    <m/>
    <m/>
    <n v="0"/>
    <m/>
    <m/>
    <m/>
    <m/>
    <m/>
    <n v="0"/>
    <m/>
    <m/>
    <n v="0"/>
    <m/>
    <m/>
    <m/>
    <m/>
    <n v="1"/>
    <n v="2000000"/>
    <m/>
    <m/>
    <m/>
    <m/>
    <m/>
    <n v="0"/>
    <m/>
    <m/>
    <m/>
    <m/>
    <m/>
    <n v="0"/>
    <m/>
    <m/>
    <m/>
    <m/>
    <m/>
    <n v="0"/>
    <m/>
    <m/>
    <m/>
    <m/>
    <m/>
    <n v="0"/>
    <m/>
    <m/>
    <m/>
    <m/>
    <m/>
    <n v="0"/>
    <m/>
    <m/>
    <m/>
    <m/>
    <m/>
    <n v="0"/>
    <m/>
    <m/>
    <m/>
    <m/>
    <n v="1"/>
    <n v="2000000"/>
  </r>
  <r>
    <m/>
    <n v="6"/>
    <n v="6"/>
    <s v="MN"/>
    <n v="74"/>
    <s v="MN 74"/>
    <s v="8507-26"/>
    <x v="0"/>
    <m/>
    <s v="S"/>
    <s v="MNDOT"/>
    <m/>
    <s v="**TED10** - ST. CHARLES INTERSTATE 90 BUSINESS PARK.  TURN LANES WILL BE CONSTRUCTED ON TH 74 TO PROVIDE SAFER ACCESS TO THE NEW BUSINESS PARK"/>
    <s v="032+00.526"/>
    <s v="032+00.773"/>
    <n v="0.247"/>
    <s v="SAINT CHARLES"/>
    <s v="WINONA"/>
    <s v="AM"/>
    <s v="7-O-P "/>
    <s v="7-O-P"/>
    <m/>
    <s v="GRSU - GRADE AND SURFACE"/>
    <s v="GRADE AND SURFACE"/>
    <s v="BF  "/>
    <s v="BF"/>
    <m/>
    <m/>
    <n v="70000"/>
    <n v="0"/>
    <n v="0"/>
    <n v="0"/>
    <n v="0"/>
    <n v="0"/>
    <n v="0"/>
    <n v="0"/>
    <n v="0"/>
    <n v="0"/>
    <n v="0"/>
    <n v="0"/>
    <n v="0"/>
    <n v="0"/>
    <n v="0"/>
    <n v="0"/>
    <n v="0"/>
    <n v="0"/>
    <n v="0"/>
    <n v="70000"/>
    <n v="0"/>
    <n v="70000"/>
    <n v="51515756.049999997"/>
    <n v="11044296.629999999"/>
    <n v="2014"/>
    <m/>
    <s v="This is a local let project and MnDOT only accounts for its portion"/>
    <s v="TED"/>
    <m/>
    <m/>
    <m/>
    <s v="NO"/>
    <s v="NO"/>
    <s v="1st District"/>
    <s v="NO"/>
    <s v="NO"/>
    <s v="NO"/>
    <s v="NO"/>
    <m/>
    <n v="0"/>
    <m/>
    <m/>
    <m/>
    <m/>
    <m/>
    <n v="0"/>
    <m/>
    <m/>
    <n v="0"/>
    <m/>
    <m/>
    <m/>
    <m/>
    <m/>
    <n v="0"/>
    <m/>
    <m/>
    <m/>
    <m/>
    <m/>
    <n v="0"/>
    <m/>
    <m/>
    <m/>
    <m/>
    <m/>
    <n v="0"/>
    <m/>
    <m/>
    <m/>
    <m/>
    <m/>
    <n v="0"/>
    <m/>
    <m/>
    <m/>
    <m/>
    <m/>
    <n v="0"/>
    <m/>
    <m/>
    <m/>
    <m/>
    <n v="1"/>
    <n v="70000"/>
    <m/>
    <m/>
    <m/>
    <m/>
    <m/>
    <n v="0"/>
    <m/>
    <m/>
    <m/>
    <m/>
    <n v="1"/>
    <n v="70000"/>
  </r>
  <r>
    <m/>
    <n v="6"/>
    <n v="6"/>
    <s v="I"/>
    <n v="90"/>
    <s v="I 90"/>
    <s v="8580-165"/>
    <x v="0"/>
    <m/>
    <s v="S"/>
    <s v="MNDOT"/>
    <m/>
    <s v="**AC** EB FROM 0.8 MI W TH 76 TO O.69 W OF CSAH 12 OVERPASS, UNBONDED CONCRETE OVERLAY (AC PROJECT, PAYBACK IN 2015)"/>
    <s v="257+00.819"/>
    <s v="266+00.388"/>
    <n v="8.4369999999999994"/>
    <m/>
    <s v="WINONA"/>
    <s v="RC"/>
    <s v="1-P "/>
    <s v="1-P"/>
    <m/>
    <s v="PVTR - PAVEMENT RESURFACE AND REHABILITATION"/>
    <s v="MILL AND OVERLAY"/>
    <s v="NHPP  "/>
    <s v="NHPP"/>
    <m/>
    <m/>
    <n v="6682900"/>
    <n v="0"/>
    <n v="0"/>
    <n v="6014610"/>
    <n v="0"/>
    <n v="6014610"/>
    <n v="0"/>
    <n v="2600000"/>
    <n v="0"/>
    <n v="2600000"/>
    <n v="0"/>
    <n v="0"/>
    <n v="0"/>
    <n v="0"/>
    <n v="0"/>
    <n v="0"/>
    <n v="668290"/>
    <n v="0"/>
    <n v="668290"/>
    <n v="0"/>
    <n v="0"/>
    <n v="9282900"/>
    <n v="57530366.049999997"/>
    <n v="11712586.629999999"/>
    <n v="2014"/>
    <m/>
    <s v="MAP-21 NHPP PROJECT ADDED"/>
    <m/>
    <m/>
    <m/>
    <m/>
    <s v="NO"/>
    <s v="NO"/>
    <s v="1st District"/>
    <s v="NO"/>
    <s v="NO"/>
    <s v="Yes"/>
    <s v="NO"/>
    <n v="0.82099999999999995"/>
    <n v="5486660.8999999994"/>
    <m/>
    <m/>
    <m/>
    <m/>
    <m/>
    <n v="0"/>
    <m/>
    <n v="0.115"/>
    <n v="768533.5"/>
    <m/>
    <m/>
    <m/>
    <m/>
    <n v="3.2000000000000001E-2"/>
    <n v="213852.80000000002"/>
    <m/>
    <m/>
    <m/>
    <m/>
    <m/>
    <n v="0"/>
    <m/>
    <m/>
    <m/>
    <m/>
    <m/>
    <n v="0"/>
    <m/>
    <m/>
    <m/>
    <m/>
    <n v="2.3E-2"/>
    <n v="153706.70000000001"/>
    <m/>
    <m/>
    <m/>
    <m/>
    <n v="8.9999999999999993E-3"/>
    <n v="60146.1"/>
    <m/>
    <m/>
    <m/>
    <m/>
    <m/>
    <n v="0"/>
    <m/>
    <m/>
    <m/>
    <m/>
    <m/>
    <n v="0"/>
    <m/>
    <m/>
    <m/>
    <m/>
    <n v="1"/>
    <n v="6682899.9999999991"/>
  </r>
  <r>
    <m/>
    <n v="6"/>
    <n v="6"/>
    <s v="I"/>
    <n v="90"/>
    <s v="I 90"/>
    <s v="8580-165AC"/>
    <x v="1"/>
    <m/>
    <s v="S"/>
    <s v="MNDOT"/>
    <m/>
    <s v="**AC**EB FROM 0.8 MI W TH 76 TO O.69 W OF CSAH 12 OVERPASS, UNBONDED CONCRETE OVERLAY (AC PAYBACK 1 OF 1)"/>
    <s v="257+00.819"/>
    <s v="266+00.388"/>
    <n v="8.4369999999999994"/>
    <m/>
    <s v="WINONA"/>
    <s v="RC"/>
    <s v="1-P "/>
    <s v="1-P"/>
    <m/>
    <s v="PVTR - PAVEMENT RESURFACE AND REHABILITATION"/>
    <s v="MILL AND OVERLAY"/>
    <s v="NHPP  "/>
    <s v="NHPP"/>
    <m/>
    <m/>
    <n v="2600000"/>
    <n v="0"/>
    <n v="0"/>
    <n v="0"/>
    <n v="0"/>
    <n v="0"/>
    <n v="0"/>
    <n v="0"/>
    <n v="0"/>
    <n v="0"/>
    <n v="0"/>
    <n v="2600000"/>
    <n v="0"/>
    <n v="2600000"/>
    <n v="0"/>
    <n v="0"/>
    <n v="0"/>
    <n v="0"/>
    <n v="0"/>
    <n v="0"/>
    <n v="0"/>
    <n v="0"/>
    <n v="92772040"/>
    <n v="10931222"/>
    <n v="2015"/>
    <m/>
    <m/>
    <m/>
    <m/>
    <m/>
    <m/>
    <s v="NO"/>
    <s v="NO"/>
    <s v="1st District"/>
    <s v="NO"/>
    <s v="NO"/>
    <s v="NO"/>
    <s v="NO"/>
    <n v="0.82099999999999995"/>
    <n v="2134600"/>
    <n v="0"/>
    <n v="0"/>
    <n v="0"/>
    <n v="0"/>
    <n v="0"/>
    <n v="0"/>
    <n v="0"/>
    <n v="0.115"/>
    <n v="299000"/>
    <n v="0"/>
    <n v="0"/>
    <n v="0"/>
    <n v="0"/>
    <n v="3.2000000000000001E-2"/>
    <n v="83200"/>
    <n v="0"/>
    <n v="0"/>
    <n v="0"/>
    <n v="0"/>
    <n v="0"/>
    <n v="0"/>
    <n v="0"/>
    <n v="0"/>
    <n v="0"/>
    <n v="0"/>
    <n v="0"/>
    <n v="0"/>
    <n v="0"/>
    <n v="0"/>
    <n v="0"/>
    <n v="0"/>
    <n v="2.3E-2"/>
    <n v="59800"/>
    <n v="0"/>
    <n v="0"/>
    <n v="0"/>
    <n v="0"/>
    <n v="8.9999999999999993E-3"/>
    <n v="23400"/>
    <n v="0"/>
    <n v="0"/>
    <n v="0"/>
    <n v="0"/>
    <n v="0"/>
    <n v="0"/>
    <n v="0"/>
    <n v="0"/>
    <n v="0"/>
    <n v="0"/>
    <n v="0"/>
    <n v="0"/>
    <m/>
    <m/>
    <m/>
    <m/>
    <n v="1"/>
    <n v="2600000"/>
  </r>
  <r>
    <m/>
    <n v="3"/>
    <n v="3"/>
    <s v="US"/>
    <n v="12"/>
    <s v="US 12"/>
    <s v="8602-50"/>
    <x v="1"/>
    <s v="2015-00"/>
    <s v="S"/>
    <s v="MNDOT"/>
    <m/>
    <s v="INSTALL CONTINUOUS T-SIGNAL SYSTEM AT E JCT. TH 25 S OF BUFFALO (HSIP PROJECT)"/>
    <n v="0"/>
    <n v="0"/>
    <n v="0"/>
    <m/>
    <s v="WRIGHT"/>
    <s v="SH"/>
    <s v=" "/>
    <m/>
    <m/>
    <s v="APPU - APPURTENANCES"/>
    <s v="TURN LANES"/>
    <s v="HSIP SF "/>
    <s v="HSIP"/>
    <s v="SF"/>
    <m/>
    <n v="1100000"/>
    <n v="0"/>
    <n v="0"/>
    <n v="990000"/>
    <n v="0"/>
    <n v="0"/>
    <n v="0"/>
    <n v="0"/>
    <n v="0"/>
    <n v="0"/>
    <n v="0"/>
    <n v="0"/>
    <n v="990000"/>
    <n v="990000"/>
    <n v="0"/>
    <n v="990000"/>
    <n v="0"/>
    <n v="0"/>
    <n v="0"/>
    <n v="0"/>
    <n v="0"/>
    <n v="0"/>
    <n v="0"/>
    <n v="0"/>
    <n v="0"/>
    <n v="0"/>
    <n v="110000"/>
    <n v="0"/>
    <n v="110000"/>
    <n v="0"/>
    <n v="0"/>
    <n v="1100000"/>
    <n v="24944595"/>
    <n v="4884971"/>
    <n v="2015"/>
    <m/>
    <m/>
    <m/>
    <m/>
    <n v="0"/>
    <m/>
    <m/>
    <m/>
    <m/>
    <m/>
    <n v="0"/>
    <m/>
    <m/>
    <n v="0"/>
    <m/>
    <m/>
    <m/>
    <m/>
    <n v="1"/>
    <n v="1100000"/>
    <s v="Sustained crash locations"/>
    <m/>
    <m/>
    <m/>
    <m/>
    <n v="0"/>
    <m/>
    <m/>
    <m/>
    <m/>
    <m/>
    <n v="0"/>
    <m/>
    <m/>
    <m/>
    <m/>
    <m/>
    <n v="0"/>
    <m/>
    <m/>
    <m/>
    <m/>
    <m/>
    <n v="0"/>
    <m/>
    <m/>
    <m/>
    <m/>
    <m/>
    <n v="0"/>
    <m/>
    <m/>
    <m/>
    <m/>
    <m/>
    <n v="0"/>
    <m/>
    <m/>
    <m/>
    <m/>
    <n v="1"/>
    <n v="1100000"/>
  </r>
  <r>
    <m/>
    <n v="3"/>
    <n v="3"/>
    <s v="MN"/>
    <n v="12"/>
    <s v="MN 12"/>
    <s v="8602-51"/>
    <x v="0"/>
    <m/>
    <s v="S"/>
    <s v="MNDOT"/>
    <m/>
    <s v="**TED12** CONSTRUCT DELANO NW BUSINESS PARK"/>
    <m/>
    <m/>
    <m/>
    <s v="DELANO"/>
    <s v="WRIGHT"/>
    <s v="RC"/>
    <s v=" "/>
    <m/>
    <m/>
    <s v="GSBR - GRADE, SURFACE AND BRIDGE"/>
    <s v="GRADE AND SURFACE"/>
    <s v="BF LF "/>
    <s v="BF"/>
    <s v="LF"/>
    <m/>
    <n v="5138000"/>
    <n v="0"/>
    <n v="1605500"/>
    <n v="0"/>
    <n v="0"/>
    <n v="0"/>
    <n v="0"/>
    <n v="0"/>
    <n v="0"/>
    <n v="0"/>
    <n v="0"/>
    <n v="0"/>
    <n v="0"/>
    <n v="0"/>
    <n v="0"/>
    <n v="1605500"/>
    <n v="0"/>
    <n v="0"/>
    <n v="0"/>
    <n v="0"/>
    <n v="4532500"/>
    <n v="0"/>
    <n v="0"/>
    <n v="0"/>
    <n v="0"/>
    <n v="0"/>
    <n v="0"/>
    <n v="0"/>
    <n v="0"/>
    <n v="0"/>
    <n v="4532500"/>
    <n v="6138000"/>
    <n v="16498328"/>
    <n v="5940000"/>
    <n v="2014"/>
    <m/>
    <m/>
    <s v="TED"/>
    <m/>
    <n v="0"/>
    <m/>
    <m/>
    <m/>
    <m/>
    <m/>
    <n v="0"/>
    <m/>
    <m/>
    <n v="0"/>
    <m/>
    <m/>
    <m/>
    <m/>
    <m/>
    <n v="0"/>
    <m/>
    <m/>
    <m/>
    <m/>
    <m/>
    <n v="0"/>
    <m/>
    <m/>
    <m/>
    <m/>
    <m/>
    <n v="0"/>
    <m/>
    <m/>
    <m/>
    <m/>
    <m/>
    <n v="0"/>
    <m/>
    <m/>
    <m/>
    <m/>
    <m/>
    <n v="0"/>
    <m/>
    <m/>
    <m/>
    <m/>
    <n v="1"/>
    <n v="605500"/>
    <m/>
    <m/>
    <m/>
    <m/>
    <m/>
    <n v="0"/>
    <m/>
    <m/>
    <m/>
    <m/>
    <n v="1"/>
    <n v="605500"/>
  </r>
  <r>
    <m/>
    <n v="3"/>
    <n v="3"/>
    <s v="MN"/>
    <n v="25"/>
    <s v="MN 25"/>
    <s v="8604-36"/>
    <x v="1"/>
    <s v="2016-00"/>
    <s v="S"/>
    <s v="CITY OF BUFFALO"/>
    <m/>
    <s v="**CIMS** 1ST ST S TO 8TH ST NW IN BUFFALO, RECONSTRUCTION, INCL. ROAUNDABOUT, PED/BIKE FACILITIES, UTILITIES AND DRAINAGE IMPROVEMENTS (CIMS AMOUNT IS $2,100,000) (CITY IS LEAD AGENCY)"/>
    <n v="0"/>
    <n v="0"/>
    <n v="0"/>
    <m/>
    <s v="WRIGHT"/>
    <s v="RC"/>
    <s v=" "/>
    <m/>
    <m/>
    <s v="GRSU - GRADE AND SURFACE"/>
    <s v="CHANNELIZATION"/>
    <s v="STP 5K-200K  "/>
    <s v="STP 5K-200K"/>
    <m/>
    <m/>
    <n v="3800000"/>
    <n v="0"/>
    <n v="0"/>
    <n v="0"/>
    <n v="0"/>
    <n v="0"/>
    <n v="0"/>
    <n v="0"/>
    <n v="0"/>
    <n v="0"/>
    <n v="0"/>
    <n v="0"/>
    <n v="0"/>
    <n v="0"/>
    <n v="0"/>
    <n v="0"/>
    <n v="2100000"/>
    <n v="0"/>
    <n v="2100000"/>
    <n v="0"/>
    <n v="1700000"/>
    <n v="3800000"/>
    <m/>
    <m/>
    <m/>
    <m/>
    <m/>
    <m/>
    <m/>
    <m/>
    <m/>
    <m/>
    <m/>
    <m/>
    <m/>
    <m/>
    <m/>
    <m/>
    <m/>
    <m/>
    <m/>
    <m/>
    <m/>
    <m/>
    <m/>
    <m/>
    <m/>
    <m/>
    <m/>
    <m/>
    <m/>
    <m/>
    <m/>
    <m/>
    <m/>
    <m/>
    <m/>
    <m/>
    <m/>
    <m/>
    <m/>
    <m/>
    <m/>
    <m/>
    <m/>
    <m/>
    <m/>
    <m/>
    <m/>
    <m/>
    <m/>
    <m/>
    <m/>
    <m/>
    <m/>
    <m/>
    <m/>
    <m/>
    <m/>
    <m/>
    <m/>
    <m/>
    <m/>
    <n v="1"/>
    <n v="2100000"/>
    <m/>
    <m/>
    <m/>
    <m/>
    <m/>
    <m/>
    <m/>
    <m/>
    <m/>
    <m/>
    <n v="1"/>
    <n v="2100000"/>
  </r>
  <r>
    <m/>
    <n v="3"/>
    <n v="3"/>
    <s v="MN"/>
    <n v="25"/>
    <s v="MN 25"/>
    <s v="8605-49"/>
    <x v="1"/>
    <s v="2015-28"/>
    <s v="S"/>
    <s v="MNDOT"/>
    <m/>
    <s v="7TH ST TO CATLIN ST IN BUFFALO, RECONSTRUCTION, UPGRADE TRAFFIC SIGNAL"/>
    <s v="058+00.514"/>
    <s v="060+00.681"/>
    <n v="2.17"/>
    <s v="BUFFALO"/>
    <s v="WRIGHT"/>
    <s v="RC"/>
    <s v="1-P 1-SG"/>
    <s v="1-P"/>
    <s v="1-SG"/>
    <s v="GRSU - GRADE AND SURFACE"/>
    <s v="GRADE AND SURFACE"/>
    <s v="NHPP SF "/>
    <s v="NHPP"/>
    <s v="SF"/>
    <m/>
    <n v="5000000"/>
    <n v="0"/>
    <n v="0"/>
    <n v="0"/>
    <n v="4000000"/>
    <n v="0"/>
    <n v="0"/>
    <n v="0"/>
    <n v="0"/>
    <n v="0"/>
    <n v="0"/>
    <n v="0"/>
    <n v="4000000"/>
    <n v="4000000"/>
    <n v="0"/>
    <n v="4000000"/>
    <n v="0"/>
    <n v="0"/>
    <n v="0"/>
    <n v="0"/>
    <n v="0"/>
    <n v="0"/>
    <n v="0"/>
    <n v="0"/>
    <n v="0"/>
    <n v="0"/>
    <n v="1000000"/>
    <n v="0"/>
    <n v="1000000"/>
    <n v="0"/>
    <n v="0"/>
    <n v="5000000"/>
    <n v="30415028"/>
    <n v="6397579"/>
    <n v="2015"/>
    <m/>
    <m/>
    <m/>
    <n v="0.82099999999999995"/>
    <n v="4104999.9999999995"/>
    <m/>
    <m/>
    <m/>
    <m/>
    <m/>
    <n v="0"/>
    <m/>
    <n v="0.115"/>
    <n v="575000"/>
    <s v="Drainage and culverts"/>
    <m/>
    <m/>
    <m/>
    <n v="3.2000000000000001E-2"/>
    <n v="160000"/>
    <s v="Low cost high benefit"/>
    <m/>
    <m/>
    <m/>
    <m/>
    <n v="0"/>
    <m/>
    <m/>
    <m/>
    <m/>
    <m/>
    <n v="0"/>
    <m/>
    <m/>
    <m/>
    <m/>
    <n v="2.3E-2"/>
    <n v="115000"/>
    <m/>
    <m/>
    <m/>
    <m/>
    <n v="8.9999999999999993E-3"/>
    <n v="45000"/>
    <m/>
    <m/>
    <m/>
    <m/>
    <m/>
    <n v="0"/>
    <m/>
    <m/>
    <m/>
    <m/>
    <m/>
    <n v="0"/>
    <m/>
    <m/>
    <m/>
    <m/>
    <n v="1"/>
    <n v="5000000"/>
  </r>
  <r>
    <m/>
    <n v="3"/>
    <n v="3"/>
    <s v="MN"/>
    <n v="25"/>
    <s v="MN 25"/>
    <s v="8605-50"/>
    <x v="0"/>
    <s v="2015-00"/>
    <s v="S"/>
    <s v="MNDOT"/>
    <m/>
    <s v=" 0.25 MI S OF WRIGHT CO CR 106 TO 0.1 MI S OF SCHOOL BLVD IN MONTICELLO, RECONSTRUCTION, INSTALL TRAFFIC SIGNAL AT CR 106; AND FROM 0.1 MI  S OF SCHOOL BLVD TO JCT I-94, MILL AND OVERLAY"/>
    <s v="065+00.770"/>
    <s v="067+00.276"/>
    <n v="1.6"/>
    <s v="MONTICELLO"/>
    <s v="WRIGHT"/>
    <s v="RC"/>
    <s v="1-P 7-O-C"/>
    <s v="1-P"/>
    <s v="7-O-C"/>
    <s v="GRSU - GRADE AND SURFACE"/>
    <s v="GRADE AND SURFACE"/>
    <s v="NHPP SF "/>
    <s v="NHPP"/>
    <s v="SF"/>
    <m/>
    <n v="6100000"/>
    <n v="0"/>
    <n v="0"/>
    <n v="0"/>
    <n v="4880000"/>
    <n v="0"/>
    <n v="0"/>
    <n v="0"/>
    <n v="0"/>
    <n v="0"/>
    <n v="0"/>
    <n v="0"/>
    <n v="4880000"/>
    <n v="4880000"/>
    <n v="0"/>
    <n v="4880000"/>
    <n v="0"/>
    <n v="0"/>
    <n v="0"/>
    <n v="0"/>
    <n v="0"/>
    <n v="0"/>
    <n v="0"/>
    <n v="0"/>
    <n v="0"/>
    <n v="0"/>
    <n v="1220000"/>
    <n v="0"/>
    <n v="1220000"/>
    <n v="0"/>
    <n v="0"/>
    <n v="6100000"/>
    <n v="21378328"/>
    <n v="10351562"/>
    <n v="2014"/>
    <m/>
    <m/>
    <s v="Do Not Know"/>
    <n v="0.82099999999999995"/>
    <n v="5008100"/>
    <m/>
    <m/>
    <m/>
    <m/>
    <m/>
    <n v="0"/>
    <m/>
    <n v="0.115"/>
    <n v="701500"/>
    <s v="Signals"/>
    <m/>
    <m/>
    <m/>
    <n v="3.2000000000000001E-2"/>
    <n v="195200"/>
    <s v="Low cost high benefit"/>
    <m/>
    <m/>
    <m/>
    <m/>
    <n v="0"/>
    <m/>
    <m/>
    <m/>
    <m/>
    <m/>
    <n v="0"/>
    <m/>
    <m/>
    <m/>
    <m/>
    <n v="2.3E-2"/>
    <n v="140300"/>
    <m/>
    <m/>
    <m/>
    <m/>
    <n v="8.9999999999999993E-3"/>
    <n v="54899.999999999993"/>
    <m/>
    <m/>
    <m/>
    <m/>
    <m/>
    <n v="0"/>
    <m/>
    <m/>
    <m/>
    <m/>
    <m/>
    <n v="0"/>
    <m/>
    <m/>
    <m/>
    <m/>
    <n v="1"/>
    <n v="6100000"/>
  </r>
  <r>
    <m/>
    <n v="3"/>
    <n v="3"/>
    <s v="CSAH"/>
    <n v="75"/>
    <s v="CSAH 75"/>
    <s v="8605-52"/>
    <x v="1"/>
    <s v="2016-7"/>
    <s v="S"/>
    <s v="CITY OF MONTICELLO"/>
    <m/>
    <s v="**CIMS** JCT TH 25 AND CSAH 75 (BROADWAY) IN MONTICELLO, SAFETY AND OPERATIONAL IMPROVEMENTS INCLUDING ACCESS MODIFICATIONS, TURN LANES, CONCRETE MEDIAN AND SIGNAL SYSTEM REVISIONS (CIMS AMOUNT IS $506,000) (CITY IS LEAD AGENCY) (ASSOCIATED W/SP 222-010-003)"/>
    <n v="0"/>
    <n v="0"/>
    <n v="0"/>
    <m/>
    <s v="WRIGHT"/>
    <s v="RC"/>
    <s v=" "/>
    <m/>
    <m/>
    <s v="GRSU - GRADE AND SURFACE"/>
    <s v="CHANNELIZATION"/>
    <s v="STP 5K-200K  "/>
    <s v="STP 5K-200K"/>
    <m/>
    <m/>
    <n v="506000"/>
    <n v="0"/>
    <n v="0"/>
    <n v="0"/>
    <n v="0"/>
    <n v="0"/>
    <n v="0"/>
    <n v="0"/>
    <n v="0"/>
    <n v="0"/>
    <n v="0"/>
    <n v="0"/>
    <n v="0"/>
    <n v="0"/>
    <n v="0"/>
    <n v="0"/>
    <n v="506000"/>
    <n v="0"/>
    <n v="506000"/>
    <n v="0"/>
    <n v="0"/>
    <n v="506000"/>
    <m/>
    <m/>
    <m/>
    <m/>
    <m/>
    <m/>
    <m/>
    <m/>
    <m/>
    <m/>
    <m/>
    <m/>
    <m/>
    <m/>
    <m/>
    <m/>
    <m/>
    <m/>
    <m/>
    <m/>
    <m/>
    <m/>
    <m/>
    <m/>
    <m/>
    <m/>
    <m/>
    <m/>
    <m/>
    <m/>
    <m/>
    <m/>
    <m/>
    <m/>
    <m/>
    <m/>
    <m/>
    <m/>
    <m/>
    <m/>
    <m/>
    <m/>
    <m/>
    <m/>
    <m/>
    <m/>
    <m/>
    <m/>
    <m/>
    <m/>
    <m/>
    <m/>
    <m/>
    <m/>
    <m/>
    <m/>
    <m/>
    <m/>
    <m/>
    <m/>
    <m/>
    <n v="1"/>
    <n v="506000"/>
    <m/>
    <m/>
    <m/>
    <m/>
    <m/>
    <m/>
    <m/>
    <m/>
    <m/>
    <m/>
    <n v="1"/>
    <n v="506000"/>
  </r>
  <r>
    <m/>
    <n v="3"/>
    <n v="3"/>
    <s v="MN"/>
    <n v="55"/>
    <s v="MN 55"/>
    <s v="8607-59"/>
    <x v="2"/>
    <s v="2016-06"/>
    <s v="S"/>
    <s v="MNDOT"/>
    <m/>
    <s v=" AT WRIGHT CO. CSAH 14 (EBL), CONSTRUCT LEFT TURN LANE AND DETACHED RIGHT TURN LANE (HSIP PROJECT)"/>
    <s v="159+00.211"/>
    <s v="159+00.211"/>
    <n v="0"/>
    <m/>
    <s v="WRIGHT"/>
    <s v="SH"/>
    <s v="7-O-P "/>
    <s v="7-O-P"/>
    <m/>
    <s v="APPU - APPURTENANCES"/>
    <s v="TURN LANES"/>
    <s v="HSIP SF "/>
    <s v="HSIP"/>
    <s v="SF"/>
    <m/>
    <n v="450000"/>
    <n v="0"/>
    <n v="0"/>
    <n v="405000"/>
    <n v="0"/>
    <n v="0"/>
    <n v="0"/>
    <n v="0"/>
    <n v="0"/>
    <n v="0"/>
    <n v="0"/>
    <n v="0"/>
    <n v="405000"/>
    <n v="405000"/>
    <n v="0"/>
    <n v="405000"/>
    <n v="0"/>
    <n v="0"/>
    <n v="0"/>
    <n v="0"/>
    <n v="0"/>
    <n v="0"/>
    <n v="0"/>
    <n v="0"/>
    <n v="0"/>
    <n v="0"/>
    <n v="45000"/>
    <n v="0"/>
    <n v="45000"/>
    <n v="0"/>
    <n v="0"/>
    <n v="450000"/>
    <n v="24286144"/>
    <n v="7555564"/>
    <n v="2016"/>
    <m/>
    <m/>
    <m/>
    <m/>
    <n v="0"/>
    <m/>
    <m/>
    <m/>
    <m/>
    <m/>
    <n v="0"/>
    <m/>
    <m/>
    <n v="0"/>
    <m/>
    <m/>
    <m/>
    <m/>
    <n v="1"/>
    <n v="450000"/>
    <s v="Low cost high benefit"/>
    <m/>
    <m/>
    <m/>
    <m/>
    <n v="0"/>
    <m/>
    <m/>
    <m/>
    <m/>
    <m/>
    <n v="0"/>
    <m/>
    <m/>
    <m/>
    <m/>
    <m/>
    <n v="0"/>
    <m/>
    <m/>
    <m/>
    <m/>
    <m/>
    <n v="0"/>
    <m/>
    <m/>
    <m/>
    <m/>
    <m/>
    <n v="0"/>
    <m/>
    <m/>
    <m/>
    <m/>
    <m/>
    <n v="0"/>
    <m/>
    <m/>
    <m/>
    <m/>
    <n v="1"/>
    <n v="450000"/>
  </r>
  <r>
    <m/>
    <n v="3"/>
    <n v="3"/>
    <s v="I"/>
    <n v="94"/>
    <s v="I 94"/>
    <s v="8680-158"/>
    <x v="0"/>
    <s v="2012-22"/>
    <s v="S"/>
    <s v="MNDOT"/>
    <m/>
    <s v="0.75 M W OF TH 25 TO WRIGHT CO CSAH 18 IN MONTICELLO, RECONSTRUCTION, INCLUDING EB &amp; WB AUXILIARY LANES, REPLACE PAVEMENT"/>
    <s v="192+00.661"/>
    <s v="194+00.809"/>
    <n v="2.1429999999999998"/>
    <s v="MONTICELLO"/>
    <s v="WRIGHT"/>
    <s v="RC"/>
    <s v="5-IRC "/>
    <s v="5-IRC"/>
    <m/>
    <s v="GRSU - GRADE AND SURFACE"/>
    <s v="GRADE AND SURFACE"/>
    <s v="NHPP SF "/>
    <s v="NHPP"/>
    <s v="SF"/>
    <m/>
    <n v="6755556"/>
    <n v="0"/>
    <n v="0"/>
    <n v="0"/>
    <n v="6080000"/>
    <n v="0"/>
    <n v="0"/>
    <n v="0"/>
    <n v="0"/>
    <n v="0"/>
    <n v="0"/>
    <n v="0"/>
    <n v="6080000"/>
    <n v="6080000"/>
    <n v="0"/>
    <n v="6080000"/>
    <n v="0"/>
    <n v="0"/>
    <n v="0"/>
    <n v="0"/>
    <n v="0"/>
    <n v="0"/>
    <n v="0"/>
    <n v="0"/>
    <n v="0"/>
    <n v="0"/>
    <n v="675556"/>
    <n v="0"/>
    <n v="675556"/>
    <n v="0"/>
    <n v="0"/>
    <n v="6755556"/>
    <n v="32060626"/>
    <n v="15780651"/>
    <n v="2014"/>
    <m/>
    <m/>
    <m/>
    <n v="0.82099999999999995"/>
    <n v="5546311.4759999998"/>
    <m/>
    <m/>
    <m/>
    <m/>
    <m/>
    <n v="0"/>
    <m/>
    <n v="0.115"/>
    <n v="776888.94000000006"/>
    <s v="Drainage and culverts"/>
    <m/>
    <m/>
    <m/>
    <n v="3.2000000000000001E-2"/>
    <n v="216177.79200000002"/>
    <s v="Sustained crash locations"/>
    <m/>
    <m/>
    <m/>
    <m/>
    <n v="0"/>
    <m/>
    <m/>
    <m/>
    <m/>
    <m/>
    <n v="0"/>
    <m/>
    <m/>
    <m/>
    <m/>
    <n v="2.3E-2"/>
    <n v="155377.788"/>
    <m/>
    <m/>
    <m/>
    <m/>
    <n v="8.9999999999999993E-3"/>
    <n v="60800.003999999994"/>
    <m/>
    <m/>
    <m/>
    <m/>
    <m/>
    <n v="0"/>
    <m/>
    <m/>
    <m/>
    <m/>
    <m/>
    <n v="0"/>
    <m/>
    <m/>
    <m/>
    <m/>
    <n v="1"/>
    <n v="6755556"/>
  </r>
  <r>
    <m/>
    <n v="3"/>
    <n v="3"/>
    <s v="I"/>
    <n v="94"/>
    <s v="I 94"/>
    <s v="8680-158S"/>
    <x v="0"/>
    <m/>
    <s v="S"/>
    <s v="MNDOT"/>
    <m/>
    <s v="0.75 M W OF TH 25 TO WRIGHT CO CSAH 18 IN MONTICELLO, RECONSTRUCTION INCL EB &amp; WB AUXILIARY LANES, REPLACE PAVEMENT (HSIP PROJECT)"/>
    <s v="192+00.661"/>
    <s v="194+00.809"/>
    <n v="2.1429999999999998"/>
    <s v="MONTICELLO"/>
    <s v="WRIGHT"/>
    <s v="RC"/>
    <s v="5-IRC "/>
    <s v="5-IRC"/>
    <m/>
    <s v="GRSU - GRADE AND SURFACE"/>
    <s v="GRADE AND SURFACE"/>
    <s v="HSIP SF "/>
    <s v="HSIP"/>
    <s v="SF"/>
    <m/>
    <n v="1244444"/>
    <n v="0"/>
    <n v="0"/>
    <n v="1120000"/>
    <n v="0"/>
    <n v="0"/>
    <n v="0"/>
    <n v="0"/>
    <n v="0"/>
    <n v="0"/>
    <n v="0"/>
    <n v="0"/>
    <n v="1120000"/>
    <n v="1120000"/>
    <n v="0"/>
    <n v="1120000"/>
    <n v="0"/>
    <n v="0"/>
    <n v="0"/>
    <n v="0"/>
    <n v="0"/>
    <n v="0"/>
    <n v="0"/>
    <n v="0"/>
    <n v="0"/>
    <n v="0"/>
    <n v="124444"/>
    <n v="0"/>
    <n v="124444"/>
    <n v="0"/>
    <n v="0"/>
    <n v="1244444"/>
    <n v="33180626"/>
    <n v="15905095"/>
    <n v="2014"/>
    <m/>
    <m/>
    <m/>
    <n v="0.82099999999999995"/>
    <n v="1021688.524"/>
    <n v="0"/>
    <n v="0"/>
    <n v="0"/>
    <n v="0"/>
    <n v="0"/>
    <n v="0"/>
    <n v="0"/>
    <n v="0.115"/>
    <n v="143111.06"/>
    <s v="Drainage and culverts"/>
    <n v="0"/>
    <n v="0"/>
    <n v="0"/>
    <n v="3.2000000000000001E-2"/>
    <n v="39822.207999999999"/>
    <s v="Sustained crash locations"/>
    <n v="0"/>
    <n v="0"/>
    <n v="0"/>
    <n v="0"/>
    <n v="0"/>
    <n v="0"/>
    <n v="0"/>
    <n v="0"/>
    <n v="0"/>
    <n v="0"/>
    <n v="0"/>
    <n v="0"/>
    <n v="0"/>
    <n v="0"/>
    <n v="0"/>
    <n v="2.3E-2"/>
    <n v="28622.212"/>
    <n v="0"/>
    <n v="0"/>
    <n v="0"/>
    <n v="0"/>
    <n v="8.9999999999999993E-3"/>
    <n v="11199.995999999999"/>
    <n v="0"/>
    <n v="0"/>
    <n v="0"/>
    <n v="0"/>
    <n v="0"/>
    <n v="0"/>
    <n v="0"/>
    <n v="0"/>
    <n v="0"/>
    <n v="0"/>
    <n v="0"/>
    <n v="0"/>
    <m/>
    <m/>
    <m/>
    <m/>
    <n v="1"/>
    <n v="1244444.0000000002"/>
  </r>
  <r>
    <m/>
    <n v="3"/>
    <n v="3"/>
    <s v="I"/>
    <n v="94"/>
    <s v="I 94"/>
    <s v="8680-160"/>
    <x v="1"/>
    <s v="2015-06"/>
    <s v="S"/>
    <s v="MNDOT"/>
    <m/>
    <s v="REPAIR RAILING, APPROACH PANEL, MILL AND OVERLAY BRIDGE #86810 UNDER WRIGHT CO CR 111, 7 MI W OF JCT TH 25"/>
    <s v="186+00.448"/>
    <s v="186+00.448"/>
    <n v="0"/>
    <m/>
    <s v="WRIGHT"/>
    <s v="BI"/>
    <s v="1-B "/>
    <s v="1-B"/>
    <m/>
    <s v="BRRH - BRIDGE REHABILITATION"/>
    <s v="BRIDGE REPAIR"/>
    <s v="NHPP SF "/>
    <s v="NHPP"/>
    <s v="SF"/>
    <m/>
    <n v="409500"/>
    <n v="0"/>
    <n v="0"/>
    <n v="0"/>
    <n v="368550"/>
    <n v="0"/>
    <n v="0"/>
    <n v="0"/>
    <n v="0"/>
    <n v="0"/>
    <n v="0"/>
    <n v="0"/>
    <n v="368550"/>
    <n v="368550"/>
    <n v="0"/>
    <n v="368550"/>
    <n v="0"/>
    <n v="0"/>
    <n v="0"/>
    <n v="0"/>
    <n v="0"/>
    <n v="0"/>
    <n v="0"/>
    <n v="0"/>
    <n v="0"/>
    <n v="0"/>
    <n v="40950"/>
    <n v="0"/>
    <n v="40950"/>
    <n v="0"/>
    <n v="0"/>
    <n v="409500"/>
    <n v="33218245"/>
    <n v="7623129"/>
    <n v="2015"/>
    <m/>
    <m/>
    <m/>
    <m/>
    <n v="0"/>
    <m/>
    <m/>
    <m/>
    <m/>
    <n v="1"/>
    <n v="409500"/>
    <m/>
    <m/>
    <n v="0"/>
    <m/>
    <m/>
    <m/>
    <m/>
    <m/>
    <n v="0"/>
    <m/>
    <m/>
    <m/>
    <m/>
    <m/>
    <n v="0"/>
    <m/>
    <m/>
    <m/>
    <m/>
    <m/>
    <n v="0"/>
    <m/>
    <m/>
    <m/>
    <m/>
    <m/>
    <n v="0"/>
    <m/>
    <m/>
    <m/>
    <m/>
    <m/>
    <n v="0"/>
    <m/>
    <m/>
    <m/>
    <m/>
    <m/>
    <n v="0"/>
    <m/>
    <m/>
    <m/>
    <m/>
    <m/>
    <n v="0"/>
    <m/>
    <m/>
    <m/>
    <m/>
    <n v="1"/>
    <n v="409500"/>
  </r>
  <r>
    <m/>
    <n v="3"/>
    <n v="3"/>
    <s v="I"/>
    <n v="94"/>
    <s v="I 94"/>
    <s v="8680-167"/>
    <x v="1"/>
    <s v="2016-13"/>
    <s v="S"/>
    <s v="MNDOT"/>
    <m/>
    <s v="WRIGHT CO. CSAH 75 AT MONTICELLO TO THE CROW RIVER BRIDGE (EB ONLY), MILL AND OVERLAY"/>
    <s v="195+00.730"/>
    <s v="205+00.423"/>
    <n v="9.6440000000000001"/>
    <m/>
    <s v="WRIGHT"/>
    <s v="RS"/>
    <s v="1-P "/>
    <s v="1-P"/>
    <m/>
    <s v="PVTR - PAVEMENT RESURFACE AND REHABILITATION"/>
    <s v="MILL AND INLAY"/>
    <s v="NHPP SF "/>
    <s v="NHPP"/>
    <s v="SF"/>
    <m/>
    <n v="3960000"/>
    <n v="0"/>
    <n v="0"/>
    <n v="0"/>
    <n v="3564000"/>
    <n v="0"/>
    <n v="0"/>
    <n v="0"/>
    <n v="0"/>
    <n v="0"/>
    <n v="0"/>
    <n v="0"/>
    <n v="3564000"/>
    <n v="3564000"/>
    <n v="0"/>
    <n v="3564000"/>
    <n v="0"/>
    <n v="0"/>
    <n v="0"/>
    <n v="0"/>
    <n v="0"/>
    <n v="0"/>
    <n v="0"/>
    <n v="0"/>
    <n v="0"/>
    <n v="0"/>
    <n v="396000"/>
    <n v="0"/>
    <n v="396000"/>
    <n v="0"/>
    <n v="0"/>
    <n v="3960000"/>
    <n v="36782245"/>
    <n v="8019129"/>
    <n v="2015"/>
    <m/>
    <m/>
    <m/>
    <n v="0.88500000000000001"/>
    <n v="3504600"/>
    <m/>
    <m/>
    <m/>
    <m/>
    <m/>
    <n v="0"/>
    <m/>
    <n v="0.115"/>
    <n v="455400"/>
    <s v="Pavement markings"/>
    <m/>
    <m/>
    <m/>
    <m/>
    <n v="0"/>
    <m/>
    <m/>
    <m/>
    <m/>
    <m/>
    <n v="0"/>
    <m/>
    <m/>
    <m/>
    <m/>
    <m/>
    <n v="0"/>
    <m/>
    <m/>
    <m/>
    <m/>
    <m/>
    <n v="0"/>
    <m/>
    <m/>
    <m/>
    <m/>
    <m/>
    <n v="0"/>
    <m/>
    <m/>
    <m/>
    <m/>
    <m/>
    <n v="0"/>
    <m/>
    <m/>
    <m/>
    <m/>
    <m/>
    <n v="0"/>
    <m/>
    <m/>
    <m/>
    <m/>
    <n v="1"/>
    <n v="3960000"/>
  </r>
  <r>
    <m/>
    <n v="8"/>
    <n v="8"/>
    <s v="US"/>
    <n v="59"/>
    <s v="US 59"/>
    <s v="8703-24"/>
    <x v="0"/>
    <m/>
    <s v="S"/>
    <s v="MNDOT"/>
    <m/>
    <s v="YELLOW MEDICINE CSAH 3 TO N LIMITS OF CLARKFIELD, MILL &amp; OVERLAY (TIED TO S.P. 3707-08)"/>
    <n v="92.677999999999997"/>
    <n v="98.15"/>
    <n v="5.5"/>
    <m/>
    <s v="YELLOW MEDICINE"/>
    <s v="RS"/>
    <s v=" "/>
    <m/>
    <m/>
    <s v="PVTR - PAVEMENT RESURFACE AND REHABILITATION"/>
    <s v="SURFACING"/>
    <s v="STP 5K &gt;  "/>
    <s v="STP 5K &gt;"/>
    <m/>
    <m/>
    <n v="2000000"/>
    <n v="0"/>
    <n v="0"/>
    <n v="1600000"/>
    <n v="0"/>
    <n v="1600000"/>
    <n v="0"/>
    <n v="0"/>
    <n v="0"/>
    <n v="0"/>
    <n v="0"/>
    <n v="0"/>
    <n v="0"/>
    <n v="0"/>
    <n v="0"/>
    <n v="0"/>
    <n v="400000"/>
    <n v="0"/>
    <n v="400000"/>
    <n v="0"/>
    <n v="0"/>
    <n v="2000000"/>
    <n v="24472908"/>
    <n v="7202000"/>
    <n v="2014"/>
    <m/>
    <m/>
    <m/>
    <m/>
    <m/>
    <s v="NO"/>
    <s v="YES"/>
    <s v="NO"/>
    <s v="7th District"/>
    <s v="NO"/>
    <s v="NO"/>
    <s v="Yes"/>
    <s v="NO"/>
    <n v="0.57999999999999996"/>
    <n v="1160000"/>
    <s v="Mill and/or overlay"/>
    <n v="1"/>
    <m/>
    <m/>
    <m/>
    <n v="0"/>
    <m/>
    <n v="0.02"/>
    <n v="40000"/>
    <s v="Pavement markings"/>
    <n v="0.6"/>
    <s v="Drainage and culverts"/>
    <n v="0.4"/>
    <n v="0.31"/>
    <n v="620000"/>
    <s v="Low cost high benefit"/>
    <m/>
    <m/>
    <m/>
    <m/>
    <n v="0"/>
    <m/>
    <m/>
    <m/>
    <m/>
    <m/>
    <n v="0"/>
    <m/>
    <m/>
    <m/>
    <m/>
    <m/>
    <n v="0"/>
    <m/>
    <m/>
    <m/>
    <m/>
    <n v="0.09"/>
    <n v="180000"/>
    <s v="ADA improvements - curb"/>
    <n v="1"/>
    <m/>
    <m/>
    <m/>
    <n v="0"/>
    <m/>
    <m/>
    <m/>
    <m/>
    <m/>
    <n v="0"/>
    <m/>
    <m/>
    <m/>
    <m/>
    <n v="0.99999999999999989"/>
    <n v="2000000"/>
  </r>
  <r>
    <m/>
    <n v="8"/>
    <n v="8"/>
    <s v="MN"/>
    <n v="67"/>
    <s v="MN 67"/>
    <s v="8705-18"/>
    <x v="1"/>
    <m/>
    <s v="S"/>
    <s v="MNDOT"/>
    <m/>
    <s v="JCT. US 75 TO JCT US 59 (CLARKFIELD), OVERLAY"/>
    <n v="0"/>
    <n v="19.039000000000001"/>
    <n v="19"/>
    <m/>
    <s v="YELLOW MEDICINE"/>
    <s v="RS"/>
    <s v=" "/>
    <m/>
    <m/>
    <s v="PVTR - PAVEMENT RESURFACE AND REHABILITATION"/>
    <s v="BITUMINOUS OVERLAY"/>
    <s v="STP 5K &gt;  "/>
    <s v="STP 5K &gt;"/>
    <m/>
    <m/>
    <n v="2700000"/>
    <n v="0"/>
    <n v="0"/>
    <n v="2160000"/>
    <n v="0"/>
    <n v="2160000"/>
    <n v="0"/>
    <n v="0"/>
    <n v="0"/>
    <n v="0"/>
    <n v="0"/>
    <n v="0"/>
    <n v="0"/>
    <n v="0"/>
    <n v="0"/>
    <n v="0"/>
    <n v="540000"/>
    <n v="0"/>
    <n v="540000"/>
    <n v="0"/>
    <n v="0"/>
    <n v="2700000"/>
    <n v="18662563"/>
    <n v="6159500"/>
    <n v="2015"/>
    <m/>
    <m/>
    <m/>
    <m/>
    <m/>
    <s v="NO"/>
    <s v="NO"/>
    <s v="NO"/>
    <s v="7th District"/>
    <s v="NO"/>
    <s v="NO"/>
    <s v="Yes"/>
    <s v="NO"/>
    <n v="0.83"/>
    <n v="2241000"/>
    <s v="Mill and/or overlay"/>
    <n v="1"/>
    <m/>
    <m/>
    <m/>
    <n v="0"/>
    <m/>
    <n v="0.17"/>
    <n v="459000.00000000006"/>
    <s v="Drainage and culverts"/>
    <n v="0.5"/>
    <s v="Pavement markings"/>
    <n v="0.5"/>
    <m/>
    <n v="0"/>
    <m/>
    <m/>
    <m/>
    <m/>
    <m/>
    <n v="0"/>
    <m/>
    <m/>
    <m/>
    <m/>
    <m/>
    <n v="0"/>
    <m/>
    <m/>
    <m/>
    <m/>
    <m/>
    <n v="0"/>
    <m/>
    <m/>
    <m/>
    <m/>
    <m/>
    <n v="0"/>
    <m/>
    <m/>
    <m/>
    <m/>
    <m/>
    <n v="0"/>
    <m/>
    <m/>
    <m/>
    <m/>
    <m/>
    <n v="0"/>
    <m/>
    <m/>
    <m/>
    <m/>
    <n v="1"/>
    <n v="2700000"/>
  </r>
  <r>
    <m/>
    <n v="8"/>
    <n v="8"/>
    <s v="MN"/>
    <n v="67"/>
    <s v="MN 67"/>
    <s v="8706-23"/>
    <x v="1"/>
    <m/>
    <s v="S"/>
    <s v="MNDOT"/>
    <m/>
    <s v="CLARKFIELD TO JCT US 212, MILL &amp; OVERLAY (AC PROJECT, PAYBACK IN 2016)"/>
    <n v="19.529"/>
    <n v="31.259"/>
    <n v="11.7"/>
    <m/>
    <s v="YELLOW MEDICINE"/>
    <s v="RS"/>
    <s v=" "/>
    <m/>
    <m/>
    <s v="PVTR - PAVEMENT RESURFACE AND REHABILITATION"/>
    <s v="MILL AND OVERLAY"/>
    <s v="STP 5K &gt;  "/>
    <s v="STP 5K &gt;"/>
    <m/>
    <m/>
    <n v="3072000"/>
    <n v="0"/>
    <n v="0"/>
    <n v="2352000"/>
    <n v="0"/>
    <n v="2352000"/>
    <n v="0"/>
    <n v="528000"/>
    <n v="0"/>
    <n v="528000"/>
    <n v="0"/>
    <n v="0"/>
    <n v="0"/>
    <n v="0"/>
    <n v="0"/>
    <n v="0"/>
    <n v="720000"/>
    <n v="0"/>
    <n v="720000"/>
    <n v="0"/>
    <n v="0"/>
    <n v="3600000"/>
    <n v="21014563"/>
    <n v="6879500"/>
    <n v="2015"/>
    <m/>
    <m/>
    <m/>
    <m/>
    <m/>
    <s v="NO"/>
    <s v="NO"/>
    <s v="NO"/>
    <s v="7th District"/>
    <s v="NO"/>
    <s v="NO"/>
    <s v="Yes"/>
    <s v="NO"/>
    <n v="0.89"/>
    <n v="2734080"/>
    <s v="Mill and/or overlay"/>
    <n v="1"/>
    <m/>
    <m/>
    <m/>
    <n v="0"/>
    <m/>
    <n v="0.11"/>
    <n v="337920"/>
    <s v="Drainage and culverts"/>
    <n v="0.7"/>
    <s v="Pavement markings"/>
    <n v="0.3"/>
    <m/>
    <n v="0"/>
    <m/>
    <m/>
    <m/>
    <m/>
    <m/>
    <n v="0"/>
    <m/>
    <m/>
    <m/>
    <m/>
    <m/>
    <n v="0"/>
    <m/>
    <m/>
    <m/>
    <m/>
    <m/>
    <n v="0"/>
    <m/>
    <m/>
    <m/>
    <m/>
    <m/>
    <n v="0"/>
    <m/>
    <m/>
    <m/>
    <m/>
    <m/>
    <n v="0"/>
    <m/>
    <m/>
    <m/>
    <m/>
    <m/>
    <n v="0"/>
    <m/>
    <m/>
    <m/>
    <m/>
    <n v="1"/>
    <n v="3072000"/>
  </r>
  <r>
    <m/>
    <n v="8"/>
    <n v="8"/>
    <s v="MN"/>
    <n v="67"/>
    <s v="MN 67"/>
    <s v="8706-23AC"/>
    <x v="2"/>
    <m/>
    <s v="S"/>
    <s v="MNDOT"/>
    <m/>
    <s v="CLARKFIELD TO JCT US 212, MILL &amp; OVERLAY (AC PAYBACK, 1 OF 1)"/>
    <n v="19.529"/>
    <n v="31.259"/>
    <n v="11.7"/>
    <m/>
    <s v="YELLOW MEDICINE"/>
    <s v="RS"/>
    <s v=" "/>
    <m/>
    <m/>
    <s v="PVTR - PAVEMENT RESURFACE AND REHABILITATION"/>
    <s v="MILL AND OVERLAY"/>
    <s v="STP 5K &gt;  "/>
    <s v="STP 5K &gt;"/>
    <m/>
    <m/>
    <n v="528000"/>
    <n v="0"/>
    <n v="0"/>
    <n v="0"/>
    <n v="0"/>
    <n v="0"/>
    <n v="0"/>
    <n v="0"/>
    <n v="0"/>
    <n v="0"/>
    <n v="0"/>
    <n v="528000"/>
    <n v="0"/>
    <n v="528000"/>
    <n v="0"/>
    <n v="0"/>
    <n v="0"/>
    <n v="0"/>
    <n v="0"/>
    <n v="0"/>
    <n v="0"/>
    <n v="0"/>
    <n v="21806734"/>
    <n v="4060000"/>
    <n v="2016"/>
    <m/>
    <m/>
    <m/>
    <m/>
    <m/>
    <s v="NO"/>
    <s v="NO"/>
    <s v="NO"/>
    <s v="7th District"/>
    <s v="NO"/>
    <s v="NO"/>
    <s v="Yes"/>
    <s v="NO"/>
    <n v="0.89"/>
    <n v="469920"/>
    <s v="Mill and/or overlay"/>
    <n v="1"/>
    <n v="0"/>
    <n v="0"/>
    <n v="0"/>
    <n v="0"/>
    <n v="0"/>
    <n v="0.11"/>
    <n v="58080"/>
    <s v="Drainage and culverts"/>
    <n v="0.7"/>
    <s v="Pavement markings"/>
    <n v="0.3"/>
    <n v="0"/>
    <n v="0"/>
    <n v="0"/>
    <n v="0"/>
    <n v="0"/>
    <n v="0"/>
    <n v="0"/>
    <n v="0"/>
    <n v="0"/>
    <n v="0"/>
    <n v="0"/>
    <n v="0"/>
    <n v="0"/>
    <n v="0"/>
    <n v="0"/>
    <n v="0"/>
    <n v="0"/>
    <n v="0"/>
    <n v="0"/>
    <n v="0"/>
    <n v="0"/>
    <n v="0"/>
    <n v="0"/>
    <n v="0"/>
    <n v="0"/>
    <n v="0"/>
    <n v="0"/>
    <n v="0"/>
    <n v="0"/>
    <n v="0"/>
    <n v="0"/>
    <n v="0"/>
    <n v="0"/>
    <n v="0"/>
    <n v="0"/>
    <n v="0"/>
    <n v="0"/>
    <n v="0"/>
    <m/>
    <m/>
    <m/>
    <m/>
    <n v="1"/>
    <n v="528000"/>
  </r>
  <r>
    <m/>
    <n v="8"/>
    <n v="8"/>
    <s v="MN"/>
    <n v="67"/>
    <s v="MN 67"/>
    <s v="8707-52"/>
    <x v="0"/>
    <m/>
    <s v="S"/>
    <s v="MNDOT"/>
    <m/>
    <s v="S. OF YELLOW MEDICINE CO RD B1 TO ECHO, THIN OVERLAY (AC PROJECT, PAYBACK IN 2015)"/>
    <n v="38.642000000000003"/>
    <n v="49.42"/>
    <n v="10.8"/>
    <m/>
    <s v="YELLOW MEDICINE"/>
    <s v="RS"/>
    <s v=" "/>
    <m/>
    <m/>
    <s v="PVTR - PAVEMENT RESURFACE AND REHABILITATION"/>
    <s v="SURFACING"/>
    <s v="STP 5K &gt;  "/>
    <s v="STP 5K &gt;"/>
    <m/>
    <m/>
    <n v="772000"/>
    <n v="0"/>
    <n v="0"/>
    <n v="512000"/>
    <n v="0"/>
    <n v="512000"/>
    <n v="0"/>
    <n v="528000"/>
    <n v="0"/>
    <n v="528000"/>
    <n v="0"/>
    <n v="0"/>
    <n v="0"/>
    <n v="0"/>
    <n v="0"/>
    <n v="0"/>
    <n v="260000"/>
    <n v="0"/>
    <n v="260000"/>
    <n v="0"/>
    <n v="0"/>
    <n v="1300000"/>
    <n v="24984908"/>
    <n v="7462000"/>
    <n v="2014"/>
    <m/>
    <m/>
    <m/>
    <m/>
    <m/>
    <s v="NO"/>
    <s v="NO"/>
    <s v="NO"/>
    <s v="7th District"/>
    <s v="NO"/>
    <s v="NO"/>
    <s v="Yes"/>
    <s v="NO"/>
    <n v="0.82"/>
    <n v="633040"/>
    <s v="Mill and/or overlay"/>
    <n v="1"/>
    <m/>
    <m/>
    <m/>
    <n v="0"/>
    <m/>
    <n v="0.18"/>
    <n v="138960"/>
    <s v="Drainage and culverts"/>
    <n v="0.6"/>
    <s v="Pavement markings"/>
    <n v="0.4"/>
    <m/>
    <n v="0"/>
    <m/>
    <m/>
    <m/>
    <m/>
    <m/>
    <n v="0"/>
    <m/>
    <m/>
    <m/>
    <m/>
    <m/>
    <n v="0"/>
    <m/>
    <m/>
    <m/>
    <m/>
    <m/>
    <n v="0"/>
    <m/>
    <m/>
    <m/>
    <m/>
    <m/>
    <n v="0"/>
    <m/>
    <m/>
    <m/>
    <m/>
    <m/>
    <n v="0"/>
    <m/>
    <m/>
    <m/>
    <m/>
    <m/>
    <n v="0"/>
    <m/>
    <m/>
    <m/>
    <m/>
    <n v="1"/>
    <n v="772000"/>
  </r>
  <r>
    <m/>
    <n v="8"/>
    <n v="8"/>
    <s v="MN"/>
    <n v="67"/>
    <s v="MN 67"/>
    <s v="8707-52AC"/>
    <x v="1"/>
    <m/>
    <s v="S"/>
    <s v="MNDOT"/>
    <m/>
    <s v="S. OF YELLOW MEDICINE CO RD B1 TO ECHO (AC PAYBACK, 1 OF 1)"/>
    <n v="38.642000000000003"/>
    <n v="49.42"/>
    <n v="10.8"/>
    <m/>
    <s v="YELLOW MEDICINE"/>
    <s v="RS"/>
    <s v=" "/>
    <m/>
    <m/>
    <s v="PVTR - PAVEMENT RESURFACE AND REHABILITATION"/>
    <s v="SURFACING"/>
    <s v="STP 5K &gt;  "/>
    <s v="STP 5K &gt;"/>
    <m/>
    <m/>
    <n v="528000"/>
    <n v="0"/>
    <n v="0"/>
    <n v="0"/>
    <n v="0"/>
    <n v="0"/>
    <n v="0"/>
    <n v="0"/>
    <n v="0"/>
    <n v="0"/>
    <n v="0"/>
    <n v="528000"/>
    <n v="0"/>
    <n v="528000"/>
    <n v="0"/>
    <n v="0"/>
    <n v="0"/>
    <n v="0"/>
    <n v="0"/>
    <n v="0"/>
    <n v="0"/>
    <n v="0"/>
    <n v="21542563"/>
    <n v="6879500"/>
    <n v="2015"/>
    <m/>
    <m/>
    <m/>
    <m/>
    <m/>
    <s v="NO"/>
    <s v="NO"/>
    <s v="NO"/>
    <s v="7th District"/>
    <s v="NO"/>
    <s v="NO"/>
    <s v="Yes"/>
    <s v="NO"/>
    <n v="0.82"/>
    <n v="432960"/>
    <s v="Mill and/or overlay"/>
    <n v="1"/>
    <n v="0"/>
    <n v="0"/>
    <n v="0"/>
    <n v="0"/>
    <n v="0"/>
    <n v="0.18"/>
    <n v="95040"/>
    <s v="Drainage and culverts"/>
    <n v="0.6"/>
    <s v="Pavement markings"/>
    <n v="0.4"/>
    <n v="0"/>
    <n v="0"/>
    <n v="0"/>
    <n v="0"/>
    <n v="0"/>
    <n v="0"/>
    <n v="0"/>
    <n v="0"/>
    <n v="0"/>
    <n v="0"/>
    <n v="0"/>
    <n v="0"/>
    <n v="0"/>
    <n v="0"/>
    <n v="0"/>
    <n v="0"/>
    <n v="0"/>
    <n v="0"/>
    <n v="0"/>
    <n v="0"/>
    <n v="0"/>
    <n v="0"/>
    <n v="0"/>
    <n v="0"/>
    <n v="0"/>
    <n v="0"/>
    <n v="0"/>
    <n v="0"/>
    <n v="0"/>
    <n v="0"/>
    <n v="0"/>
    <n v="0"/>
    <n v="0"/>
    <n v="0"/>
    <n v="0"/>
    <n v="0"/>
    <n v="0"/>
    <n v="0"/>
    <m/>
    <m/>
    <m/>
    <m/>
    <n v="1"/>
    <n v="528000"/>
  </r>
  <r>
    <m/>
    <s v="M"/>
    <s v="M"/>
    <s v="MN"/>
    <n v="999"/>
    <s v="MN999"/>
    <m/>
    <x v="3"/>
    <m/>
    <m/>
    <m/>
    <m/>
    <s v="PREVENTIVE MAINTENANCE SETASIDE"/>
    <m/>
    <m/>
    <m/>
    <m/>
    <m/>
    <m/>
    <s v=""/>
    <m/>
    <m/>
    <m/>
    <m/>
    <s v=""/>
    <m/>
    <m/>
    <m/>
    <n v="5000000"/>
    <m/>
    <m/>
    <m/>
    <m/>
    <n v="0"/>
    <m/>
    <m/>
    <m/>
    <n v="0"/>
    <m/>
    <m/>
    <m/>
    <n v="0"/>
    <m/>
    <m/>
    <m/>
    <m/>
    <n v="0"/>
    <m/>
    <n v="5000000"/>
    <n v="5000000"/>
    <n v="692427213.54999995"/>
    <n v="250636300.93000001"/>
    <n v="2018"/>
    <m/>
    <m/>
    <m/>
    <m/>
    <m/>
    <m/>
    <m/>
    <m/>
    <m/>
    <m/>
    <m/>
    <m/>
    <m/>
    <n v="1"/>
    <n v="5000000"/>
    <m/>
    <m/>
    <m/>
    <m/>
    <m/>
    <n v="0"/>
    <m/>
    <m/>
    <n v="0"/>
    <m/>
    <m/>
    <m/>
    <m/>
    <m/>
    <n v="0"/>
    <m/>
    <m/>
    <m/>
    <m/>
    <m/>
    <n v="0"/>
    <m/>
    <m/>
    <m/>
    <m/>
    <m/>
    <n v="0"/>
    <m/>
    <m/>
    <m/>
    <m/>
    <m/>
    <n v="0"/>
    <m/>
    <m/>
    <m/>
    <m/>
    <m/>
    <n v="0"/>
    <m/>
    <m/>
    <m/>
    <m/>
    <m/>
    <n v="0"/>
    <m/>
    <m/>
    <m/>
    <m/>
    <m/>
    <n v="0"/>
    <m/>
    <m/>
    <m/>
    <m/>
    <n v="1"/>
    <n v="5000000"/>
  </r>
  <r>
    <m/>
    <s v="M"/>
    <s v="M"/>
    <s v="MN"/>
    <n v="999"/>
    <s v="MN999"/>
    <m/>
    <x v="3"/>
    <m/>
    <m/>
    <m/>
    <m/>
    <s v="BARC SETASIDE"/>
    <m/>
    <m/>
    <m/>
    <m/>
    <m/>
    <m/>
    <s v=""/>
    <m/>
    <m/>
    <m/>
    <m/>
    <s v=""/>
    <m/>
    <m/>
    <m/>
    <n v="5000000"/>
    <m/>
    <m/>
    <m/>
    <m/>
    <n v="0"/>
    <m/>
    <m/>
    <m/>
    <n v="0"/>
    <m/>
    <m/>
    <m/>
    <n v="0"/>
    <m/>
    <m/>
    <m/>
    <m/>
    <n v="0"/>
    <m/>
    <n v="5000000"/>
    <n v="5000000"/>
    <n v="693737213.54999995"/>
    <n v="250963800.93000001"/>
    <n v="2018"/>
    <m/>
    <m/>
    <m/>
    <m/>
    <m/>
    <m/>
    <m/>
    <m/>
    <m/>
    <m/>
    <m/>
    <m/>
    <m/>
    <n v="0.1"/>
    <n v="500000"/>
    <m/>
    <m/>
    <m/>
    <m/>
    <n v="0.45"/>
    <n v="2250000"/>
    <m/>
    <n v="0.45"/>
    <n v="2250000"/>
    <m/>
    <m/>
    <m/>
    <m/>
    <m/>
    <n v="0"/>
    <m/>
    <m/>
    <m/>
    <m/>
    <m/>
    <n v="0"/>
    <m/>
    <m/>
    <m/>
    <m/>
    <m/>
    <n v="0"/>
    <m/>
    <m/>
    <m/>
    <m/>
    <m/>
    <n v="0"/>
    <m/>
    <m/>
    <m/>
    <m/>
    <m/>
    <n v="0"/>
    <m/>
    <m/>
    <m/>
    <m/>
    <m/>
    <n v="0"/>
    <m/>
    <m/>
    <m/>
    <m/>
    <m/>
    <n v="0"/>
    <m/>
    <m/>
    <m/>
    <m/>
    <n v="1"/>
    <n v="5000000"/>
  </r>
  <r>
    <m/>
    <n v="8"/>
    <n v="8"/>
    <s v="MN"/>
    <n v="68"/>
    <s v="MN 68"/>
    <s v="8708-13"/>
    <x v="9"/>
    <m/>
    <s v="S"/>
    <s v="MNDOT"/>
    <m/>
    <s v="STATE LINE TO CANBY, OVERLAY"/>
    <n v="0"/>
    <n v="8.3879999999999999"/>
    <n v="8.4"/>
    <m/>
    <s v="YELLOW MEDICINE"/>
    <s v="RS"/>
    <m/>
    <m/>
    <m/>
    <s v="PVTR - PAVEMENT RESURFACE AND REHABILITATION"/>
    <s v="BITUMINOUS OVERLAY"/>
    <s v="STP 5K &gt;  "/>
    <s v="STP 5K &gt;"/>
    <m/>
    <m/>
    <n v="1500000"/>
    <n v="0"/>
    <n v="0"/>
    <n v="1200000"/>
    <n v="0"/>
    <n v="1200000"/>
    <n v="0"/>
    <n v="0"/>
    <n v="0"/>
    <n v="0"/>
    <n v="0"/>
    <n v="0"/>
    <n v="0"/>
    <n v="0"/>
    <n v="0"/>
    <n v="0"/>
    <n v="300000"/>
    <n v="0"/>
    <n v="300000"/>
    <n v="0"/>
    <n v="0"/>
    <n v="1500000"/>
    <n v="16984000"/>
    <n v="6752000"/>
    <n v="2017"/>
    <m/>
    <m/>
    <m/>
    <m/>
    <m/>
    <s v="NO"/>
    <s v="NO"/>
    <s v="NO"/>
    <s v="7th District"/>
    <s v="NO"/>
    <s v="NO"/>
    <s v="Yes"/>
    <s v="NO"/>
    <n v="0.95"/>
    <n v="1425000"/>
    <s v="Mill and/or overlay"/>
    <n v="1"/>
    <m/>
    <m/>
    <m/>
    <n v="0"/>
    <m/>
    <n v="0.05"/>
    <n v="75000"/>
    <s v="Pavement markings"/>
    <n v="1"/>
    <m/>
    <m/>
    <m/>
    <n v="0"/>
    <m/>
    <m/>
    <m/>
    <m/>
    <m/>
    <n v="0"/>
    <m/>
    <m/>
    <m/>
    <m/>
    <m/>
    <n v="0"/>
    <m/>
    <m/>
    <m/>
    <m/>
    <m/>
    <n v="0"/>
    <m/>
    <m/>
    <m/>
    <m/>
    <m/>
    <n v="0"/>
    <m/>
    <m/>
    <m/>
    <m/>
    <m/>
    <n v="0"/>
    <m/>
    <m/>
    <m/>
    <m/>
    <m/>
    <n v="0"/>
    <m/>
    <m/>
    <m/>
    <m/>
    <n v="1"/>
    <n v="1500000"/>
  </r>
  <r>
    <m/>
    <s v="M"/>
    <s v="M"/>
    <s v="MN"/>
    <n v="999"/>
    <s v="MN999"/>
    <m/>
    <x v="4"/>
    <m/>
    <m/>
    <m/>
    <m/>
    <s v="PREVENTIVE MAINTENANCE SETASIDE"/>
    <m/>
    <m/>
    <m/>
    <m/>
    <m/>
    <m/>
    <s v=""/>
    <m/>
    <m/>
    <m/>
    <m/>
    <s v=""/>
    <m/>
    <m/>
    <m/>
    <n v="5000000"/>
    <m/>
    <m/>
    <m/>
    <m/>
    <n v="0"/>
    <m/>
    <m/>
    <m/>
    <n v="0"/>
    <m/>
    <m/>
    <m/>
    <n v="0"/>
    <m/>
    <m/>
    <m/>
    <m/>
    <n v="0"/>
    <m/>
    <n v="5000000"/>
    <n v="5000000"/>
    <n v="693627213.54999995"/>
    <n v="250936300.93000001"/>
    <n v="2019"/>
    <m/>
    <m/>
    <m/>
    <m/>
    <m/>
    <m/>
    <m/>
    <m/>
    <m/>
    <m/>
    <m/>
    <m/>
    <m/>
    <n v="1"/>
    <n v="5000000"/>
    <m/>
    <m/>
    <m/>
    <m/>
    <m/>
    <n v="0"/>
    <m/>
    <m/>
    <n v="0"/>
    <m/>
    <m/>
    <m/>
    <m/>
    <m/>
    <n v="0"/>
    <m/>
    <m/>
    <m/>
    <m/>
    <m/>
    <n v="0"/>
    <m/>
    <m/>
    <m/>
    <m/>
    <m/>
    <n v="0"/>
    <m/>
    <m/>
    <m/>
    <m/>
    <m/>
    <n v="0"/>
    <m/>
    <m/>
    <m/>
    <m/>
    <m/>
    <n v="0"/>
    <m/>
    <m/>
    <m/>
    <m/>
    <m/>
    <n v="0"/>
    <m/>
    <m/>
    <m/>
    <m/>
    <m/>
    <n v="0"/>
    <m/>
    <m/>
    <m/>
    <m/>
    <n v="1"/>
    <n v="5000000"/>
  </r>
  <r>
    <m/>
    <s v="M"/>
    <s v="M"/>
    <s v="MN"/>
    <n v="999"/>
    <s v="MN999"/>
    <m/>
    <x v="4"/>
    <m/>
    <m/>
    <m/>
    <m/>
    <s v="BARC SETASIDE"/>
    <m/>
    <m/>
    <m/>
    <m/>
    <m/>
    <m/>
    <s v=""/>
    <m/>
    <m/>
    <m/>
    <m/>
    <s v=""/>
    <m/>
    <m/>
    <m/>
    <n v="5000000"/>
    <m/>
    <m/>
    <m/>
    <m/>
    <n v="0"/>
    <m/>
    <m/>
    <m/>
    <n v="0"/>
    <m/>
    <m/>
    <m/>
    <n v="0"/>
    <m/>
    <m/>
    <m/>
    <m/>
    <n v="0"/>
    <m/>
    <n v="5000000"/>
    <n v="5000000"/>
    <n v="693737213.54999995"/>
    <n v="250963800.93000001"/>
    <n v="2019"/>
    <m/>
    <m/>
    <m/>
    <m/>
    <m/>
    <m/>
    <m/>
    <m/>
    <m/>
    <m/>
    <m/>
    <m/>
    <m/>
    <n v="0.1"/>
    <n v="500000"/>
    <m/>
    <m/>
    <m/>
    <m/>
    <n v="0.45"/>
    <n v="2250000"/>
    <m/>
    <n v="0.45"/>
    <n v="2250000"/>
    <m/>
    <m/>
    <m/>
    <m/>
    <m/>
    <n v="0"/>
    <m/>
    <m/>
    <m/>
    <m/>
    <m/>
    <n v="0"/>
    <m/>
    <m/>
    <m/>
    <m/>
    <m/>
    <n v="0"/>
    <m/>
    <m/>
    <m/>
    <m/>
    <m/>
    <n v="0"/>
    <m/>
    <m/>
    <m/>
    <m/>
    <m/>
    <n v="0"/>
    <m/>
    <m/>
    <m/>
    <m/>
    <m/>
    <n v="0"/>
    <m/>
    <m/>
    <m/>
    <m/>
    <m/>
    <n v="0"/>
    <m/>
    <m/>
    <m/>
    <m/>
    <n v="1"/>
    <n v="5000000"/>
  </r>
  <r>
    <m/>
    <n v="8"/>
    <n v="8"/>
    <s v="MN"/>
    <n v="68"/>
    <s v="MN 68"/>
    <s v="8708-14"/>
    <x v="2"/>
    <m/>
    <s v="S"/>
    <s v="MNDOT"/>
    <m/>
    <s v="**ADA** IN CANBY, PEDESTRIAN RAMPS "/>
    <n v="8.3979999999999997"/>
    <n v="9.1739999999999995"/>
    <n v="0.8"/>
    <s v="CANBY"/>
    <s v="YELLOW MEDICINE"/>
    <s v="SC"/>
    <s v=" "/>
    <m/>
    <m/>
    <s v="APPU - APPURTENANCES"/>
    <s v="PED./BIKE IMPROVEMENT"/>
    <s v="STP 5K &gt;  "/>
    <s v="STP 5K &gt;"/>
    <m/>
    <m/>
    <n v="137500"/>
    <n v="0"/>
    <n v="0"/>
    <n v="110000"/>
    <n v="0"/>
    <n v="110000"/>
    <n v="0"/>
    <n v="0"/>
    <n v="0"/>
    <n v="0"/>
    <n v="0"/>
    <n v="0"/>
    <n v="0"/>
    <n v="0"/>
    <n v="0"/>
    <n v="0"/>
    <n v="27500"/>
    <n v="0"/>
    <n v="27500"/>
    <n v="0"/>
    <n v="0"/>
    <n v="137500"/>
    <n v="22396734"/>
    <n v="4207500"/>
    <n v="2016"/>
    <m/>
    <m/>
    <s v="ADA"/>
    <m/>
    <m/>
    <s v="YES"/>
    <s v="YES"/>
    <s v="NO"/>
    <s v="7th District"/>
    <s v="NO"/>
    <s v="NO"/>
    <s v="Yes"/>
    <s v="NO"/>
    <m/>
    <n v="0"/>
    <m/>
    <m/>
    <m/>
    <m/>
    <m/>
    <n v="0"/>
    <m/>
    <m/>
    <n v="0"/>
    <m/>
    <m/>
    <m/>
    <m/>
    <m/>
    <n v="0"/>
    <m/>
    <m/>
    <m/>
    <m/>
    <m/>
    <n v="0"/>
    <m/>
    <m/>
    <m/>
    <m/>
    <m/>
    <n v="0"/>
    <m/>
    <m/>
    <m/>
    <m/>
    <m/>
    <n v="0"/>
    <m/>
    <m/>
    <m/>
    <m/>
    <n v="1"/>
    <n v="137500"/>
    <s v="ADA improvements - curb"/>
    <n v="1"/>
    <m/>
    <m/>
    <m/>
    <n v="0"/>
    <m/>
    <m/>
    <m/>
    <m/>
    <m/>
    <n v="0"/>
    <m/>
    <m/>
    <m/>
    <m/>
    <n v="1"/>
    <n v="137500"/>
  </r>
  <r>
    <m/>
    <s v="M"/>
    <s v="M"/>
    <s v="MN"/>
    <n v="999"/>
    <s v="MN999"/>
    <m/>
    <x v="5"/>
    <m/>
    <m/>
    <m/>
    <m/>
    <s v="PREVENTIVE MAINTENANCE SETASIDE"/>
    <m/>
    <m/>
    <m/>
    <m/>
    <m/>
    <m/>
    <s v=""/>
    <m/>
    <m/>
    <m/>
    <m/>
    <s v=""/>
    <m/>
    <m/>
    <m/>
    <n v="5000000"/>
    <m/>
    <m/>
    <m/>
    <m/>
    <n v="0"/>
    <m/>
    <m/>
    <m/>
    <n v="0"/>
    <m/>
    <m/>
    <m/>
    <n v="0"/>
    <m/>
    <m/>
    <m/>
    <m/>
    <n v="0"/>
    <m/>
    <n v="5000000"/>
    <n v="5000000"/>
    <n v="693737213.54999995"/>
    <n v="250963800.93000001"/>
    <n v="2020"/>
    <m/>
    <m/>
    <m/>
    <m/>
    <m/>
    <m/>
    <m/>
    <m/>
    <m/>
    <m/>
    <m/>
    <m/>
    <m/>
    <n v="1"/>
    <n v="5000000"/>
    <m/>
    <m/>
    <m/>
    <m/>
    <m/>
    <n v="0"/>
    <m/>
    <m/>
    <n v="0"/>
    <m/>
    <m/>
    <m/>
    <m/>
    <m/>
    <n v="0"/>
    <m/>
    <m/>
    <m/>
    <m/>
    <m/>
    <n v="0"/>
    <m/>
    <m/>
    <m/>
    <m/>
    <m/>
    <n v="0"/>
    <m/>
    <m/>
    <m/>
    <m/>
    <m/>
    <n v="0"/>
    <m/>
    <m/>
    <m/>
    <m/>
    <m/>
    <n v="0"/>
    <m/>
    <m/>
    <m/>
    <m/>
    <m/>
    <n v="0"/>
    <m/>
    <m/>
    <m/>
    <m/>
    <m/>
    <n v="0"/>
    <m/>
    <m/>
    <m/>
    <m/>
    <n v="1"/>
    <n v="5000000"/>
  </r>
  <r>
    <m/>
    <s v="M"/>
    <s v="M"/>
    <s v="MN"/>
    <n v="999"/>
    <s v="MN999"/>
    <m/>
    <x v="5"/>
    <m/>
    <m/>
    <m/>
    <m/>
    <s v="BARC SETASIDE"/>
    <m/>
    <m/>
    <m/>
    <m/>
    <m/>
    <m/>
    <s v=""/>
    <m/>
    <m/>
    <m/>
    <m/>
    <s v=""/>
    <m/>
    <m/>
    <m/>
    <n v="5000000"/>
    <m/>
    <m/>
    <m/>
    <m/>
    <n v="0"/>
    <m/>
    <m/>
    <m/>
    <n v="0"/>
    <m/>
    <m/>
    <m/>
    <n v="0"/>
    <m/>
    <m/>
    <m/>
    <m/>
    <n v="0"/>
    <m/>
    <n v="5000000"/>
    <n v="5000000"/>
    <n v="693737213.54999995"/>
    <n v="251663800.93000001"/>
    <n v="2020"/>
    <m/>
    <m/>
    <m/>
    <m/>
    <m/>
    <m/>
    <m/>
    <m/>
    <m/>
    <m/>
    <m/>
    <m/>
    <m/>
    <n v="0.1"/>
    <n v="500000"/>
    <m/>
    <m/>
    <m/>
    <m/>
    <n v="0.45"/>
    <n v="2250000"/>
    <m/>
    <n v="0.45"/>
    <n v="2250000"/>
    <m/>
    <m/>
    <m/>
    <m/>
    <m/>
    <n v="0"/>
    <m/>
    <m/>
    <m/>
    <m/>
    <m/>
    <n v="0"/>
    <m/>
    <m/>
    <m/>
    <m/>
    <m/>
    <n v="0"/>
    <m/>
    <m/>
    <m/>
    <m/>
    <m/>
    <n v="0"/>
    <m/>
    <m/>
    <m/>
    <m/>
    <m/>
    <n v="0"/>
    <m/>
    <m/>
    <m/>
    <m/>
    <m/>
    <n v="0"/>
    <m/>
    <m/>
    <m/>
    <m/>
    <m/>
    <n v="0"/>
    <m/>
    <m/>
    <m/>
    <m/>
    <n v="1"/>
    <n v="5000000"/>
  </r>
  <r>
    <m/>
    <s v="M"/>
    <s v="M"/>
    <s v="MN"/>
    <n v="999"/>
    <s v="MN999"/>
    <m/>
    <x v="6"/>
    <m/>
    <m/>
    <m/>
    <m/>
    <s v="PREVENTIVE MAINTENANCE SETASIDE"/>
    <m/>
    <m/>
    <m/>
    <m/>
    <m/>
    <m/>
    <s v=""/>
    <m/>
    <m/>
    <m/>
    <m/>
    <s v=""/>
    <m/>
    <m/>
    <m/>
    <n v="5000000"/>
    <m/>
    <m/>
    <m/>
    <m/>
    <n v="0"/>
    <m/>
    <m/>
    <m/>
    <n v="0"/>
    <m/>
    <m/>
    <m/>
    <n v="0"/>
    <m/>
    <m/>
    <m/>
    <m/>
    <n v="0"/>
    <m/>
    <n v="5000000"/>
    <n v="5000000"/>
    <n v="693737213.54999995"/>
    <n v="250963800.93000001"/>
    <n v="2021"/>
    <m/>
    <m/>
    <m/>
    <m/>
    <m/>
    <m/>
    <m/>
    <m/>
    <m/>
    <m/>
    <m/>
    <m/>
    <m/>
    <n v="1"/>
    <n v="5000000"/>
    <m/>
    <m/>
    <m/>
    <m/>
    <m/>
    <n v="0"/>
    <m/>
    <m/>
    <n v="0"/>
    <m/>
    <m/>
    <m/>
    <m/>
    <m/>
    <n v="0"/>
    <m/>
    <m/>
    <m/>
    <m/>
    <m/>
    <n v="0"/>
    <m/>
    <m/>
    <m/>
    <m/>
    <m/>
    <n v="0"/>
    <m/>
    <m/>
    <m/>
    <m/>
    <m/>
    <n v="0"/>
    <m/>
    <m/>
    <m/>
    <m/>
    <m/>
    <n v="0"/>
    <m/>
    <m/>
    <m/>
    <m/>
    <m/>
    <n v="0"/>
    <m/>
    <m/>
    <m/>
    <m/>
    <m/>
    <n v="0"/>
    <m/>
    <m/>
    <m/>
    <m/>
    <n v="1"/>
    <n v="5000000"/>
  </r>
  <r>
    <m/>
    <s v="M"/>
    <s v="M"/>
    <s v="MN"/>
    <n v="999"/>
    <s v="MN999"/>
    <m/>
    <x v="6"/>
    <m/>
    <m/>
    <m/>
    <m/>
    <s v="BARC SETASIDE"/>
    <m/>
    <m/>
    <m/>
    <m/>
    <m/>
    <m/>
    <s v=""/>
    <m/>
    <m/>
    <m/>
    <m/>
    <s v=""/>
    <m/>
    <m/>
    <m/>
    <n v="5000000"/>
    <m/>
    <m/>
    <m/>
    <m/>
    <n v="0"/>
    <m/>
    <m/>
    <m/>
    <n v="0"/>
    <m/>
    <m/>
    <m/>
    <n v="0"/>
    <m/>
    <m/>
    <m/>
    <m/>
    <n v="0"/>
    <m/>
    <n v="5000000"/>
    <n v="5000000"/>
    <n v="695387213.54999995"/>
    <n v="252076300.93000001"/>
    <n v="2021"/>
    <m/>
    <m/>
    <m/>
    <m/>
    <m/>
    <m/>
    <m/>
    <m/>
    <m/>
    <m/>
    <m/>
    <m/>
    <m/>
    <n v="0.1"/>
    <n v="500000"/>
    <m/>
    <m/>
    <m/>
    <m/>
    <n v="0.45"/>
    <n v="2250000"/>
    <m/>
    <n v="0.45"/>
    <n v="2250000"/>
    <m/>
    <m/>
    <m/>
    <m/>
    <m/>
    <n v="0"/>
    <m/>
    <m/>
    <m/>
    <m/>
    <m/>
    <n v="0"/>
    <m/>
    <m/>
    <m/>
    <m/>
    <m/>
    <n v="0"/>
    <m/>
    <m/>
    <m/>
    <m/>
    <m/>
    <n v="0"/>
    <m/>
    <m/>
    <m/>
    <m/>
    <m/>
    <n v="0"/>
    <m/>
    <m/>
    <m/>
    <m/>
    <m/>
    <n v="0"/>
    <m/>
    <m/>
    <m/>
    <m/>
    <m/>
    <n v="0"/>
    <m/>
    <m/>
    <m/>
    <m/>
    <n v="1"/>
    <n v="5000000"/>
  </r>
  <r>
    <m/>
    <s v="M"/>
    <s v="M"/>
    <s v="MN"/>
    <n v="999"/>
    <s v="MN999"/>
    <m/>
    <x v="7"/>
    <m/>
    <m/>
    <m/>
    <m/>
    <s v="PREVENTIVE MAINTENANCE SETASIDE"/>
    <m/>
    <m/>
    <m/>
    <m/>
    <m/>
    <m/>
    <s v=""/>
    <m/>
    <m/>
    <m/>
    <m/>
    <s v=""/>
    <m/>
    <m/>
    <m/>
    <n v="5000000"/>
    <m/>
    <m/>
    <m/>
    <m/>
    <n v="0"/>
    <m/>
    <m/>
    <m/>
    <n v="0"/>
    <m/>
    <m/>
    <m/>
    <n v="0"/>
    <m/>
    <m/>
    <m/>
    <m/>
    <n v="0"/>
    <m/>
    <n v="5000000"/>
    <n v="5000000"/>
    <n v="693737213.54999995"/>
    <n v="250963800.93000001"/>
    <n v="2022"/>
    <m/>
    <m/>
    <m/>
    <m/>
    <m/>
    <m/>
    <m/>
    <m/>
    <m/>
    <m/>
    <m/>
    <m/>
    <m/>
    <n v="1"/>
    <n v="5000000"/>
    <m/>
    <m/>
    <m/>
    <m/>
    <m/>
    <n v="0"/>
    <m/>
    <m/>
    <n v="0"/>
    <m/>
    <m/>
    <m/>
    <m/>
    <m/>
    <n v="0"/>
    <m/>
    <m/>
    <m/>
    <m/>
    <m/>
    <n v="0"/>
    <m/>
    <m/>
    <m/>
    <m/>
    <m/>
    <n v="0"/>
    <m/>
    <m/>
    <m/>
    <m/>
    <m/>
    <n v="0"/>
    <m/>
    <m/>
    <m/>
    <m/>
    <m/>
    <n v="0"/>
    <m/>
    <m/>
    <m/>
    <m/>
    <m/>
    <n v="0"/>
    <m/>
    <m/>
    <m/>
    <m/>
    <m/>
    <n v="0"/>
    <m/>
    <m/>
    <m/>
    <m/>
    <n v="1"/>
    <n v="5000000"/>
  </r>
  <r>
    <m/>
    <s v="M"/>
    <s v="M"/>
    <s v="MN"/>
    <n v="999"/>
    <s v="MN999"/>
    <m/>
    <x v="7"/>
    <m/>
    <m/>
    <m/>
    <m/>
    <s v="BARC SETASIDE"/>
    <m/>
    <m/>
    <m/>
    <m/>
    <m/>
    <m/>
    <s v=""/>
    <m/>
    <m/>
    <m/>
    <m/>
    <s v=""/>
    <m/>
    <m/>
    <m/>
    <n v="5000000"/>
    <m/>
    <m/>
    <m/>
    <m/>
    <n v="0"/>
    <m/>
    <m/>
    <m/>
    <n v="0"/>
    <m/>
    <m/>
    <m/>
    <n v="0"/>
    <m/>
    <m/>
    <m/>
    <m/>
    <n v="0"/>
    <m/>
    <n v="5000000"/>
    <n v="5000000"/>
    <n v="695595213.54999995"/>
    <n v="252128300.93000001"/>
    <n v="2022"/>
    <m/>
    <m/>
    <m/>
    <m/>
    <m/>
    <m/>
    <m/>
    <m/>
    <m/>
    <m/>
    <m/>
    <m/>
    <m/>
    <n v="0.1"/>
    <n v="500000"/>
    <m/>
    <m/>
    <m/>
    <m/>
    <n v="0.45"/>
    <n v="2250000"/>
    <m/>
    <n v="0.45"/>
    <n v="2250000"/>
    <m/>
    <m/>
    <m/>
    <m/>
    <m/>
    <n v="0"/>
    <m/>
    <m/>
    <m/>
    <m/>
    <m/>
    <n v="0"/>
    <m/>
    <m/>
    <m/>
    <m/>
    <m/>
    <n v="0"/>
    <m/>
    <m/>
    <m/>
    <m/>
    <m/>
    <n v="0"/>
    <m/>
    <m/>
    <m/>
    <m/>
    <m/>
    <n v="0"/>
    <m/>
    <m/>
    <m/>
    <m/>
    <m/>
    <n v="0"/>
    <m/>
    <m/>
    <m/>
    <m/>
    <m/>
    <n v="0"/>
    <m/>
    <m/>
    <m/>
    <m/>
    <n v="1"/>
    <n v="5000000"/>
  </r>
  <r>
    <m/>
    <s v="M"/>
    <s v="M"/>
    <s v="MN"/>
    <n v="999"/>
    <s v="MN999"/>
    <m/>
    <x v="8"/>
    <m/>
    <m/>
    <m/>
    <m/>
    <s v="PREVENTIVE MAINTENANCE SETASIDE"/>
    <m/>
    <m/>
    <m/>
    <m/>
    <m/>
    <m/>
    <s v=""/>
    <m/>
    <m/>
    <m/>
    <m/>
    <s v=""/>
    <m/>
    <m/>
    <m/>
    <n v="5000000"/>
    <m/>
    <m/>
    <m/>
    <m/>
    <n v="0"/>
    <m/>
    <m/>
    <m/>
    <n v="0"/>
    <m/>
    <m/>
    <m/>
    <n v="0"/>
    <m/>
    <m/>
    <m/>
    <m/>
    <n v="0"/>
    <m/>
    <n v="5000000"/>
    <n v="5000000"/>
    <n v="693737213.54999995"/>
    <n v="250963800.93000001"/>
    <n v="2023"/>
    <m/>
    <m/>
    <m/>
    <m/>
    <m/>
    <m/>
    <m/>
    <m/>
    <m/>
    <m/>
    <m/>
    <m/>
    <m/>
    <n v="1"/>
    <n v="5000000"/>
    <m/>
    <m/>
    <m/>
    <m/>
    <m/>
    <n v="0"/>
    <m/>
    <m/>
    <n v="0"/>
    <m/>
    <m/>
    <m/>
    <m/>
    <m/>
    <n v="0"/>
    <m/>
    <m/>
    <m/>
    <m/>
    <m/>
    <n v="0"/>
    <m/>
    <m/>
    <m/>
    <m/>
    <m/>
    <n v="0"/>
    <m/>
    <m/>
    <m/>
    <m/>
    <m/>
    <n v="0"/>
    <m/>
    <m/>
    <m/>
    <m/>
    <m/>
    <n v="0"/>
    <m/>
    <m/>
    <m/>
    <m/>
    <m/>
    <n v="0"/>
    <m/>
    <m/>
    <m/>
    <m/>
    <m/>
    <n v="0"/>
    <m/>
    <m/>
    <m/>
    <m/>
    <n v="1"/>
    <n v="5000000"/>
  </r>
  <r>
    <m/>
    <s v="M"/>
    <s v="M"/>
    <s v="MN"/>
    <n v="999"/>
    <s v="MN999"/>
    <m/>
    <x v="8"/>
    <m/>
    <m/>
    <m/>
    <m/>
    <s v="BARC SETASIDE"/>
    <m/>
    <m/>
    <m/>
    <m/>
    <m/>
    <m/>
    <s v=""/>
    <m/>
    <m/>
    <m/>
    <m/>
    <s v=""/>
    <m/>
    <m/>
    <m/>
    <n v="5000000"/>
    <m/>
    <m/>
    <m/>
    <m/>
    <n v="0"/>
    <m/>
    <m/>
    <m/>
    <n v="0"/>
    <m/>
    <m/>
    <m/>
    <n v="0"/>
    <m/>
    <m/>
    <m/>
    <m/>
    <n v="0"/>
    <m/>
    <n v="5000000"/>
    <n v="5000000"/>
    <n v="695595213.54999995"/>
    <n v="252228300.93000001"/>
    <n v="2023"/>
    <m/>
    <m/>
    <m/>
    <m/>
    <m/>
    <m/>
    <m/>
    <m/>
    <m/>
    <m/>
    <m/>
    <m/>
    <m/>
    <n v="0.1"/>
    <n v="500000"/>
    <m/>
    <m/>
    <m/>
    <m/>
    <n v="0.45"/>
    <n v="2250000"/>
    <m/>
    <n v="0.45"/>
    <n v="2250000"/>
    <m/>
    <m/>
    <m/>
    <m/>
    <m/>
    <n v="0"/>
    <m/>
    <m/>
    <m/>
    <m/>
    <m/>
    <n v="0"/>
    <m/>
    <m/>
    <m/>
    <m/>
    <m/>
    <n v="0"/>
    <m/>
    <m/>
    <m/>
    <m/>
    <m/>
    <n v="0"/>
    <m/>
    <m/>
    <m/>
    <m/>
    <m/>
    <n v="0"/>
    <m/>
    <m/>
    <m/>
    <m/>
    <m/>
    <n v="0"/>
    <m/>
    <m/>
    <m/>
    <m/>
    <m/>
    <n v="0"/>
    <m/>
    <m/>
    <m/>
    <m/>
    <n v="1"/>
    <n v="5000000"/>
  </r>
  <r>
    <m/>
    <n v="8"/>
    <n v="8"/>
    <s v="US"/>
    <n v="212"/>
    <s v="US 212"/>
    <s v="8712-31"/>
    <x v="1"/>
    <m/>
    <s v="S"/>
    <s v="MNDOT"/>
    <m/>
    <s v="E. END OF BRIDGE #87015 (GRANITE FALLS) TO JCT. MN 23, MILL &amp; OVERLAY"/>
    <n v="47.93"/>
    <n v="49.097000000000001"/>
    <n v="1.1000000000000001"/>
    <m/>
    <s v="YELLOW MEDICINE"/>
    <s v="RS"/>
    <s v=" "/>
    <m/>
    <m/>
    <s v="PVTR - PAVEMENT RESURFACE AND REHABILITATION"/>
    <s v="MILL AND OVERLAY"/>
    <s v="SF  "/>
    <s v="SF"/>
    <m/>
    <m/>
    <n v="700000"/>
    <n v="0"/>
    <n v="0"/>
    <n v="0"/>
    <n v="0"/>
    <n v="0"/>
    <n v="0"/>
    <n v="0"/>
    <n v="0"/>
    <n v="0"/>
    <n v="0"/>
    <n v="0"/>
    <n v="0"/>
    <n v="0"/>
    <n v="0"/>
    <n v="0"/>
    <n v="700000"/>
    <n v="0"/>
    <n v="700000"/>
    <n v="0"/>
    <n v="0"/>
    <n v="700000"/>
    <n v="25622563"/>
    <n v="9339500"/>
    <n v="2015"/>
    <m/>
    <m/>
    <m/>
    <m/>
    <m/>
    <s v="NO"/>
    <s v="YES"/>
    <s v="NO"/>
    <s v="7th District"/>
    <s v="NO"/>
    <s v="NO"/>
    <s v="Yes"/>
    <s v="NO"/>
    <n v="0.72"/>
    <n v="504000"/>
    <s v="Mill and/or overlay"/>
    <n v="1"/>
    <m/>
    <m/>
    <m/>
    <n v="0"/>
    <m/>
    <n v="0.18"/>
    <n v="126000"/>
    <s v="Pavement markings"/>
    <n v="0.08"/>
    <s v="Guardrails and fencing"/>
    <n v="0.92"/>
    <m/>
    <n v="0"/>
    <m/>
    <m/>
    <m/>
    <m/>
    <m/>
    <n v="0"/>
    <m/>
    <m/>
    <m/>
    <m/>
    <m/>
    <n v="0"/>
    <m/>
    <m/>
    <m/>
    <m/>
    <m/>
    <n v="0"/>
    <m/>
    <m/>
    <m/>
    <m/>
    <n v="0.1"/>
    <n v="70000"/>
    <s v="ADA improvements - curb"/>
    <n v="1"/>
    <m/>
    <m/>
    <m/>
    <n v="0"/>
    <m/>
    <m/>
    <m/>
    <m/>
    <m/>
    <n v="0"/>
    <m/>
    <m/>
    <m/>
    <m/>
    <n v="0.99999999999999989"/>
    <n v="700000"/>
  </r>
  <r>
    <m/>
    <n v="8"/>
    <n v="8"/>
    <s v="MN"/>
    <n v="274"/>
    <s v="MN 274"/>
    <s v="8714-12"/>
    <x v="2"/>
    <m/>
    <s v="S"/>
    <s v="MNDOT"/>
    <m/>
    <s v="WOOD LAKE TO MN 23, OVERLAY"/>
    <n v="0"/>
    <n v="8.5009999999999994"/>
    <n v="8.5"/>
    <m/>
    <s v="YELLOW MEDICINE"/>
    <s v="RS"/>
    <s v=" "/>
    <m/>
    <m/>
    <s v="PVTR - PAVEMENT RESURFACE AND REHABILITATION"/>
    <s v="BITUMINOUS OVERLAY"/>
    <s v="STP 5K &gt;  "/>
    <s v="STP 5K &gt;"/>
    <m/>
    <m/>
    <n v="1800000"/>
    <n v="0"/>
    <n v="0"/>
    <n v="1440000"/>
    <n v="0"/>
    <n v="1440000"/>
    <n v="0"/>
    <n v="0"/>
    <n v="0"/>
    <n v="0"/>
    <n v="0"/>
    <n v="0"/>
    <n v="0"/>
    <n v="0"/>
    <n v="0"/>
    <n v="0"/>
    <n v="360000"/>
    <n v="0"/>
    <n v="360000"/>
    <n v="0"/>
    <n v="0"/>
    <n v="1800000"/>
    <n v="24460734"/>
    <n v="9323500"/>
    <n v="2016"/>
    <m/>
    <m/>
    <m/>
    <m/>
    <m/>
    <s v="NO"/>
    <s v="NO"/>
    <s v="NO"/>
    <s v="7th District"/>
    <s v="NO"/>
    <s v="NO"/>
    <s v="Yes"/>
    <s v="NO"/>
    <n v="0.68"/>
    <n v="1224000"/>
    <s v="Mill and/or overlay"/>
    <n v="1"/>
    <m/>
    <m/>
    <m/>
    <n v="0"/>
    <m/>
    <n v="0.04"/>
    <n v="72000"/>
    <s v="Pavement markings"/>
    <n v="1"/>
    <m/>
    <m/>
    <n v="0.28000000000000003"/>
    <n v="504000.00000000006"/>
    <s v="Low cost high benefit"/>
    <n v="1"/>
    <m/>
    <m/>
    <m/>
    <n v="0"/>
    <m/>
    <m/>
    <m/>
    <m/>
    <m/>
    <n v="0"/>
    <m/>
    <m/>
    <m/>
    <m/>
    <m/>
    <n v="0"/>
    <m/>
    <m/>
    <m/>
    <m/>
    <m/>
    <n v="0"/>
    <m/>
    <m/>
    <m/>
    <m/>
    <m/>
    <n v="0"/>
    <m/>
    <m/>
    <m/>
    <m/>
    <m/>
    <n v="0"/>
    <m/>
    <m/>
    <m/>
    <m/>
    <n v="1"/>
    <n v="1800000"/>
  </r>
  <r>
    <m/>
    <n v="1"/>
    <n v="1"/>
    <s v="MN"/>
    <n v="999"/>
    <s v="MN 999"/>
    <s v="8801-ADA-15"/>
    <x v="1"/>
    <m/>
    <s v="S"/>
    <s v="MNDOT"/>
    <m/>
    <s v="**ADA** DISTRICTWIDE SETASIDE - ACCESSIBILITY IMPROVEMENTS - 2015"/>
    <n v="0"/>
    <n v="0"/>
    <n v="0"/>
    <m/>
    <s v="DISTRICTWIDE"/>
    <s v="EN"/>
    <s v="7-IRC-P "/>
    <s v="7-IRC-P"/>
    <m/>
    <s v="SETA - SET ASIDE"/>
    <s v="PED./BIKE IMPROVEMENT"/>
    <s v="TAP - STATEWIDE  "/>
    <s v="TAP - STATEWIDE"/>
    <m/>
    <m/>
    <n v="262500"/>
    <n v="0"/>
    <n v="0"/>
    <n v="210000"/>
    <n v="0"/>
    <n v="210000"/>
    <n v="0"/>
    <n v="0"/>
    <n v="0"/>
    <n v="0"/>
    <n v="0"/>
    <n v="0"/>
    <n v="0"/>
    <n v="0"/>
    <n v="0"/>
    <n v="0"/>
    <n v="52500"/>
    <n v="0"/>
    <n v="52500"/>
    <n v="0"/>
    <n v="0"/>
    <n v="262500"/>
    <n v="42117612"/>
    <n v="15365500"/>
    <n v="2015"/>
    <m/>
    <m/>
    <s v="ADA"/>
    <m/>
    <m/>
    <m/>
    <s v="Yes"/>
    <s v="NO"/>
    <s v="8th District"/>
    <s v="NO"/>
    <s v="NO"/>
    <s v="Yes"/>
    <s v="NO"/>
    <m/>
    <n v="0"/>
    <m/>
    <m/>
    <m/>
    <m/>
    <m/>
    <n v="0"/>
    <m/>
    <m/>
    <n v="0"/>
    <m/>
    <m/>
    <m/>
    <m/>
    <m/>
    <n v="0"/>
    <m/>
    <m/>
    <m/>
    <m/>
    <m/>
    <n v="0"/>
    <m/>
    <m/>
    <m/>
    <m/>
    <m/>
    <n v="0"/>
    <m/>
    <m/>
    <m/>
    <m/>
    <m/>
    <n v="0"/>
    <m/>
    <m/>
    <m/>
    <m/>
    <n v="1"/>
    <n v="262500"/>
    <m/>
    <m/>
    <m/>
    <m/>
    <m/>
    <n v="0"/>
    <m/>
    <m/>
    <m/>
    <m/>
    <m/>
    <n v="0"/>
    <m/>
    <m/>
    <m/>
    <m/>
    <n v="1"/>
    <n v="262500"/>
  </r>
  <r>
    <m/>
    <n v="1"/>
    <n v="1"/>
    <s v="MN"/>
    <n v="999"/>
    <s v="MN 999"/>
    <s v="8801-ADA-16"/>
    <x v="2"/>
    <m/>
    <s v="S"/>
    <s v="MNDOT"/>
    <m/>
    <s v="**ADA** DISTRICTWIDE SETASIDE - ACCESSIBILITY IMPROVEMENTS - 2016"/>
    <n v="0"/>
    <n v="0"/>
    <n v="0"/>
    <m/>
    <s v="DISTRICTWIDE"/>
    <s v="EN"/>
    <s v="7-IRC-P "/>
    <s v="7-IRC-P"/>
    <m/>
    <s v="SETA - SET ASIDE"/>
    <s v="PED./BIKE IMPROVEMENT"/>
    <s v="TAP - STATEWIDE  "/>
    <s v="TAP - STATEWIDE"/>
    <m/>
    <m/>
    <n v="260000"/>
    <n v="0"/>
    <n v="0"/>
    <n v="208000"/>
    <n v="0"/>
    <n v="208000"/>
    <n v="0"/>
    <n v="0"/>
    <n v="0"/>
    <n v="0"/>
    <n v="0"/>
    <n v="0"/>
    <n v="0"/>
    <n v="0"/>
    <n v="0"/>
    <n v="0"/>
    <n v="52000"/>
    <n v="0"/>
    <n v="52000"/>
    <n v="0"/>
    <n v="0"/>
    <n v="260000"/>
    <n v="55280896"/>
    <n v="13633452"/>
    <n v="2016"/>
    <m/>
    <m/>
    <s v="ADA"/>
    <m/>
    <m/>
    <m/>
    <s v="YES"/>
    <s v="NO"/>
    <s v="8th District"/>
    <s v="NO"/>
    <s v="NO"/>
    <s v="Yes"/>
    <s v="NO"/>
    <m/>
    <n v="0"/>
    <m/>
    <m/>
    <m/>
    <m/>
    <m/>
    <n v="0"/>
    <m/>
    <m/>
    <n v="0"/>
    <m/>
    <m/>
    <m/>
    <m/>
    <m/>
    <n v="0"/>
    <m/>
    <m/>
    <m/>
    <m/>
    <m/>
    <n v="0"/>
    <m/>
    <m/>
    <m/>
    <m/>
    <m/>
    <n v="0"/>
    <m/>
    <m/>
    <m/>
    <m/>
    <m/>
    <n v="0"/>
    <m/>
    <m/>
    <m/>
    <m/>
    <n v="1"/>
    <n v="260000"/>
    <m/>
    <m/>
    <m/>
    <m/>
    <m/>
    <n v="0"/>
    <m/>
    <m/>
    <m/>
    <m/>
    <m/>
    <n v="0"/>
    <m/>
    <m/>
    <m/>
    <m/>
    <n v="1"/>
    <n v="260000"/>
  </r>
  <r>
    <m/>
    <n v="1"/>
    <n v="1"/>
    <s v="MN"/>
    <n v="999"/>
    <s v="MN 999"/>
    <s v="8801-ADA-17"/>
    <x v="9"/>
    <m/>
    <s v="S"/>
    <s v="MNDOT"/>
    <m/>
    <s v="**ADA** DISTRICTWIDE SETASIDE - ACCESSIBILITY IMPROVEMENTS - 2017"/>
    <n v="0"/>
    <n v="0"/>
    <n v="0"/>
    <m/>
    <s v="DISTRICTWIDE"/>
    <s v="EN"/>
    <s v="7-IRC-P "/>
    <s v="7-IRC-P"/>
    <m/>
    <s v="SETA - SET ASIDE"/>
    <s v="PED./BIKE IMPROVEMENT"/>
    <s v="STP Statewide  "/>
    <s v="STP Statewide"/>
    <m/>
    <m/>
    <n v="260000"/>
    <n v="0"/>
    <n v="0"/>
    <m/>
    <n v="208000"/>
    <n v="208000"/>
    <n v="0"/>
    <n v="0"/>
    <n v="0"/>
    <n v="0"/>
    <n v="0"/>
    <n v="0"/>
    <n v="0"/>
    <n v="0"/>
    <n v="0"/>
    <n v="0"/>
    <n v="0"/>
    <n v="52000"/>
    <n v="52000"/>
    <n v="0"/>
    <n v="0"/>
    <n v="520000"/>
    <n v="15582500"/>
    <n v="125696590"/>
    <s v="8801-ADA-17"/>
    <s v="80/20 "/>
    <m/>
    <s v="ADA"/>
    <m/>
    <m/>
    <m/>
    <s v="YES"/>
    <s v="NO"/>
    <s v="8th District"/>
    <s v="NO"/>
    <s v="NO"/>
    <s v="Yes"/>
    <s v="NO"/>
    <m/>
    <n v="0"/>
    <m/>
    <m/>
    <m/>
    <m/>
    <m/>
    <n v="0"/>
    <m/>
    <m/>
    <n v="0"/>
    <m/>
    <m/>
    <m/>
    <m/>
    <m/>
    <n v="0"/>
    <m/>
    <m/>
    <m/>
    <m/>
    <m/>
    <n v="0"/>
    <m/>
    <m/>
    <m/>
    <m/>
    <m/>
    <n v="0"/>
    <m/>
    <m/>
    <m/>
    <m/>
    <m/>
    <n v="0"/>
    <m/>
    <m/>
    <m/>
    <m/>
    <n v="1"/>
    <n v="520000"/>
    <m/>
    <m/>
    <m/>
    <m/>
    <m/>
    <n v="0"/>
    <m/>
    <m/>
    <m/>
    <m/>
    <m/>
    <n v="0"/>
    <m/>
    <m/>
    <m/>
    <m/>
    <n v="1"/>
    <n v="520000"/>
  </r>
  <r>
    <m/>
    <n v="1"/>
    <n v="1"/>
    <s v="MN"/>
    <n v="999"/>
    <s v="MN 999"/>
    <s v="8801-AM-14"/>
    <x v="0"/>
    <m/>
    <s v="S"/>
    <s v="MNDOT"/>
    <m/>
    <s v="DISTRICTWIDE SETASIDES  - MUNICIPAL AGREEMENTS-2014"/>
    <n v="0"/>
    <n v="0"/>
    <n v="0"/>
    <m/>
    <s v="DISTRICTWIDE"/>
    <s v="AM"/>
    <s v="7-O-P "/>
    <s v="7-O-P"/>
    <m/>
    <s v="SETA - SET ASIDE"/>
    <s v="MISCELLANEOUS"/>
    <s v="SF  "/>
    <s v="SF"/>
    <m/>
    <m/>
    <n v="100000"/>
    <n v="0"/>
    <n v="0"/>
    <n v="0"/>
    <n v="0"/>
    <n v="0"/>
    <n v="0"/>
    <n v="0"/>
    <n v="0"/>
    <n v="0"/>
    <n v="0"/>
    <n v="0"/>
    <n v="0"/>
    <n v="0"/>
    <n v="0"/>
    <n v="0"/>
    <n v="100000"/>
    <n v="0"/>
    <n v="100000"/>
    <n v="0"/>
    <n v="0"/>
    <n v="100000"/>
    <n v="40934695"/>
    <n v="19144287"/>
    <n v="2014"/>
    <m/>
    <m/>
    <m/>
    <m/>
    <m/>
    <m/>
    <s v="NO"/>
    <s v="NO"/>
    <s v="8th District"/>
    <s v="NO"/>
    <s v="NO"/>
    <s v="Yes"/>
    <s v="NO"/>
    <m/>
    <n v="0"/>
    <m/>
    <m/>
    <m/>
    <m/>
    <m/>
    <n v="0"/>
    <m/>
    <m/>
    <n v="0"/>
    <m/>
    <m/>
    <m/>
    <m/>
    <m/>
    <n v="0"/>
    <m/>
    <m/>
    <m/>
    <m/>
    <m/>
    <n v="0"/>
    <m/>
    <m/>
    <m/>
    <m/>
    <m/>
    <n v="0"/>
    <m/>
    <m/>
    <m/>
    <m/>
    <m/>
    <n v="0"/>
    <m/>
    <m/>
    <m/>
    <m/>
    <m/>
    <n v="0"/>
    <m/>
    <m/>
    <m/>
    <m/>
    <n v="1"/>
    <n v="100000"/>
    <m/>
    <m/>
    <m/>
    <m/>
    <m/>
    <n v="0"/>
    <m/>
    <m/>
    <m/>
    <m/>
    <n v="1"/>
    <n v="100000"/>
  </r>
  <r>
    <m/>
    <n v="7"/>
    <n v="7"/>
    <s v="MN"/>
    <n v="999"/>
    <s v="MN999"/>
    <m/>
    <x v="3"/>
    <m/>
    <m/>
    <m/>
    <m/>
    <s v="CONSULTANT AGREEMENTS SETASIDE"/>
    <m/>
    <m/>
    <m/>
    <m/>
    <m/>
    <m/>
    <s v=""/>
    <m/>
    <m/>
    <m/>
    <m/>
    <s v=""/>
    <m/>
    <m/>
    <m/>
    <n v="4800000"/>
    <m/>
    <m/>
    <m/>
    <m/>
    <n v="0"/>
    <m/>
    <m/>
    <m/>
    <n v="0"/>
    <m/>
    <m/>
    <m/>
    <n v="0"/>
    <m/>
    <m/>
    <m/>
    <m/>
    <n v="0"/>
    <m/>
    <n v="4800000"/>
    <n v="4800000"/>
    <n v="695595213.54999995"/>
    <n v="249878030.93000001"/>
    <n v="2018"/>
    <m/>
    <m/>
    <m/>
    <m/>
    <m/>
    <m/>
    <m/>
    <m/>
    <m/>
    <m/>
    <m/>
    <m/>
    <m/>
    <m/>
    <n v="0"/>
    <m/>
    <m/>
    <m/>
    <m/>
    <m/>
    <n v="0"/>
    <m/>
    <m/>
    <n v="0"/>
    <m/>
    <m/>
    <m/>
    <m/>
    <m/>
    <n v="0"/>
    <m/>
    <m/>
    <m/>
    <m/>
    <m/>
    <n v="0"/>
    <m/>
    <m/>
    <m/>
    <m/>
    <m/>
    <n v="0"/>
    <m/>
    <m/>
    <m/>
    <m/>
    <m/>
    <n v="0"/>
    <m/>
    <m/>
    <m/>
    <m/>
    <m/>
    <n v="0"/>
    <m/>
    <m/>
    <m/>
    <m/>
    <m/>
    <n v="0"/>
    <m/>
    <m/>
    <m/>
    <m/>
    <n v="1"/>
    <n v="4800000"/>
    <s v="Consultant services"/>
    <m/>
    <m/>
    <m/>
    <n v="1"/>
    <n v="4800000"/>
  </r>
  <r>
    <m/>
    <n v="1"/>
    <n v="1"/>
    <s v="MN"/>
    <n v="999"/>
    <s v="MN 999"/>
    <s v="8801-AM-15"/>
    <x v="1"/>
    <m/>
    <s v="S"/>
    <s v="MNDOT"/>
    <m/>
    <s v="DISTRICTWIDE SETASIDES  - MUNICIPAL AGREEMENTS-2015"/>
    <n v="0"/>
    <n v="0"/>
    <n v="0"/>
    <m/>
    <s v="DISTRICTWIDE"/>
    <s v="AM"/>
    <s v="7-O-P "/>
    <s v="7-O-P"/>
    <m/>
    <s v="SETA - SET ASIDE"/>
    <s v="MISCELLANEOUS"/>
    <s v="SF  "/>
    <s v="SF"/>
    <m/>
    <m/>
    <n v="100000"/>
    <n v="0"/>
    <n v="0"/>
    <n v="0"/>
    <n v="0"/>
    <n v="0"/>
    <n v="0"/>
    <n v="0"/>
    <n v="0"/>
    <n v="0"/>
    <n v="0"/>
    <n v="0"/>
    <n v="0"/>
    <n v="0"/>
    <n v="0"/>
    <n v="0"/>
    <n v="100000"/>
    <n v="0"/>
    <n v="100000"/>
    <n v="0"/>
    <n v="0"/>
    <n v="100000"/>
    <n v="42117612"/>
    <n v="29765500"/>
    <n v="2015"/>
    <m/>
    <m/>
    <m/>
    <m/>
    <m/>
    <m/>
    <s v="NO"/>
    <s v="NO"/>
    <s v="8th District"/>
    <s v="NO"/>
    <s v="NO"/>
    <s v="Yes"/>
    <s v="NO"/>
    <m/>
    <n v="0"/>
    <m/>
    <m/>
    <m/>
    <m/>
    <m/>
    <n v="0"/>
    <m/>
    <m/>
    <n v="0"/>
    <m/>
    <m/>
    <m/>
    <m/>
    <m/>
    <n v="0"/>
    <m/>
    <m/>
    <m/>
    <m/>
    <m/>
    <n v="0"/>
    <m/>
    <m/>
    <m/>
    <m/>
    <m/>
    <n v="0"/>
    <m/>
    <m/>
    <m/>
    <m/>
    <m/>
    <n v="0"/>
    <m/>
    <m/>
    <m/>
    <m/>
    <m/>
    <n v="0"/>
    <m/>
    <m/>
    <m/>
    <m/>
    <n v="1"/>
    <n v="100000"/>
    <m/>
    <m/>
    <m/>
    <m/>
    <m/>
    <n v="0"/>
    <m/>
    <m/>
    <m/>
    <m/>
    <n v="1"/>
    <n v="100000"/>
  </r>
  <r>
    <m/>
    <n v="1"/>
    <n v="1"/>
    <s v="MN"/>
    <n v="999"/>
    <s v="MN 999"/>
    <s v="8801-AM-16"/>
    <x v="2"/>
    <m/>
    <s v="S"/>
    <s v="MNDOT"/>
    <m/>
    <s v="DISTRICTWIDE SETASIDES  - MUNICIPAL AGREEMENTS-2016"/>
    <n v="0"/>
    <n v="0"/>
    <n v="0"/>
    <m/>
    <s v="DISTRICTWIDE"/>
    <s v="AM"/>
    <s v="7-O-P "/>
    <s v="7-O-P"/>
    <m/>
    <s v="SETA - SET ASIDE"/>
    <s v="MISCELLANEOUS"/>
    <s v="SF  "/>
    <s v="SF"/>
    <m/>
    <m/>
    <n v="100000"/>
    <n v="0"/>
    <n v="0"/>
    <n v="0"/>
    <n v="0"/>
    <n v="0"/>
    <n v="0"/>
    <n v="0"/>
    <n v="0"/>
    <n v="0"/>
    <n v="0"/>
    <n v="0"/>
    <n v="0"/>
    <n v="0"/>
    <n v="0"/>
    <n v="0"/>
    <n v="100000"/>
    <n v="0"/>
    <n v="100000"/>
    <n v="0"/>
    <n v="0"/>
    <n v="100000"/>
    <n v="55280896"/>
    <n v="28833452"/>
    <n v="2016"/>
    <m/>
    <m/>
    <m/>
    <m/>
    <m/>
    <m/>
    <s v="NO"/>
    <s v="NO"/>
    <s v="8th District"/>
    <s v="NO"/>
    <s v="NO"/>
    <s v="Yes"/>
    <s v="NO"/>
    <m/>
    <n v="0"/>
    <m/>
    <m/>
    <m/>
    <m/>
    <m/>
    <n v="0"/>
    <m/>
    <m/>
    <n v="0"/>
    <m/>
    <m/>
    <m/>
    <m/>
    <m/>
    <n v="0"/>
    <m/>
    <m/>
    <m/>
    <m/>
    <m/>
    <n v="0"/>
    <m/>
    <m/>
    <m/>
    <m/>
    <m/>
    <n v="0"/>
    <m/>
    <m/>
    <m/>
    <m/>
    <m/>
    <n v="0"/>
    <m/>
    <m/>
    <m/>
    <m/>
    <m/>
    <n v="0"/>
    <m/>
    <m/>
    <m/>
    <m/>
    <n v="1"/>
    <n v="100000"/>
    <m/>
    <m/>
    <m/>
    <m/>
    <m/>
    <n v="0"/>
    <m/>
    <m/>
    <m/>
    <m/>
    <n v="1"/>
    <n v="100000"/>
  </r>
  <r>
    <m/>
    <n v="1"/>
    <n v="1"/>
    <s v="MN"/>
    <n v="999"/>
    <s v="MN 999"/>
    <s v="8801-AM-17"/>
    <x v="9"/>
    <m/>
    <s v="S"/>
    <s v="MNDOT"/>
    <m/>
    <s v="DISTRICTWIDE SETASIDES  - MUNICIPAL AGREEMENTS-2017"/>
    <n v="0"/>
    <n v="0"/>
    <n v="0"/>
    <m/>
    <s v="DISTRICTWIDE"/>
    <s v="AM"/>
    <s v="7-O-P "/>
    <s v="7-O-P"/>
    <m/>
    <s v="SETA - SET ASIDE"/>
    <s v="MISCELLANEOUS"/>
    <s v="SF  "/>
    <s v="SF"/>
    <m/>
    <m/>
    <n v="100000"/>
    <n v="0"/>
    <n v="0"/>
    <n v="0"/>
    <n v="0"/>
    <n v="0"/>
    <n v="0"/>
    <n v="0"/>
    <n v="0"/>
    <n v="0"/>
    <n v="0"/>
    <n v="0"/>
    <n v="0"/>
    <n v="0"/>
    <n v="0"/>
    <n v="0"/>
    <n v="100000"/>
    <n v="0"/>
    <n v="100000"/>
    <n v="0"/>
    <n v="0"/>
    <n v="100000"/>
    <n v="46128499.700000003"/>
    <n v="35003233.299999997"/>
    <n v="2017"/>
    <m/>
    <m/>
    <m/>
    <m/>
    <m/>
    <m/>
    <s v="NO"/>
    <s v="NO"/>
    <s v="8th District"/>
    <s v="NO"/>
    <s v="NO"/>
    <s v="Yes"/>
    <s v="NO"/>
    <m/>
    <n v="0"/>
    <m/>
    <m/>
    <m/>
    <m/>
    <m/>
    <n v="0"/>
    <m/>
    <m/>
    <n v="0"/>
    <m/>
    <m/>
    <m/>
    <m/>
    <m/>
    <n v="0"/>
    <m/>
    <m/>
    <m/>
    <m/>
    <m/>
    <n v="0"/>
    <m/>
    <m/>
    <m/>
    <m/>
    <m/>
    <n v="0"/>
    <m/>
    <m/>
    <m/>
    <m/>
    <m/>
    <n v="0"/>
    <m/>
    <m/>
    <m/>
    <m/>
    <m/>
    <n v="0"/>
    <m/>
    <m/>
    <m/>
    <m/>
    <n v="1"/>
    <n v="100000"/>
    <m/>
    <m/>
    <m/>
    <m/>
    <m/>
    <n v="0"/>
    <m/>
    <m/>
    <m/>
    <m/>
    <n v="1"/>
    <n v="100000"/>
  </r>
  <r>
    <m/>
    <n v="1"/>
    <n v="1"/>
    <s v="MN"/>
    <n v="999"/>
    <s v="MN 999"/>
    <s v="8801-CA-14"/>
    <x v="0"/>
    <m/>
    <s v="S"/>
    <s v="MNDOT"/>
    <m/>
    <s v="DISTRICTWIDE SETASIDES  - CONSULTANT AGREEMENTS-2014"/>
    <n v="0"/>
    <n v="0"/>
    <n v="0"/>
    <m/>
    <s v="DISTRICTWIDE"/>
    <s v="CA"/>
    <s v="PD "/>
    <s v="PD"/>
    <m/>
    <s v="SETA - SET ASIDE"/>
    <s v="MISCELLANEOUS"/>
    <s v="SF  "/>
    <s v="SF"/>
    <m/>
    <m/>
    <n v="1400000"/>
    <n v="0"/>
    <n v="0"/>
    <n v="0"/>
    <n v="0"/>
    <n v="0"/>
    <n v="0"/>
    <n v="0"/>
    <n v="0"/>
    <n v="0"/>
    <n v="0"/>
    <n v="0"/>
    <n v="0"/>
    <n v="0"/>
    <n v="0"/>
    <n v="0"/>
    <n v="1400000"/>
    <n v="0"/>
    <n v="1400000"/>
    <n v="0"/>
    <n v="0"/>
    <n v="1400000"/>
    <n v="40934695"/>
    <n v="8344287"/>
    <n v="2014"/>
    <m/>
    <m/>
    <m/>
    <m/>
    <m/>
    <m/>
    <s v="NO"/>
    <s v="NO"/>
    <s v="8th District"/>
    <s v="NO"/>
    <s v="NO"/>
    <s v="Yes"/>
    <s v="NO"/>
    <m/>
    <n v="0"/>
    <m/>
    <m/>
    <m/>
    <m/>
    <m/>
    <n v="0"/>
    <m/>
    <m/>
    <n v="0"/>
    <m/>
    <m/>
    <m/>
    <m/>
    <m/>
    <n v="0"/>
    <m/>
    <m/>
    <m/>
    <m/>
    <m/>
    <n v="0"/>
    <m/>
    <m/>
    <m/>
    <m/>
    <m/>
    <n v="0"/>
    <m/>
    <m/>
    <m/>
    <m/>
    <m/>
    <n v="0"/>
    <m/>
    <m/>
    <m/>
    <m/>
    <m/>
    <n v="0"/>
    <m/>
    <m/>
    <m/>
    <m/>
    <m/>
    <n v="0"/>
    <m/>
    <m/>
    <m/>
    <m/>
    <n v="1"/>
    <n v="1400000"/>
    <s v="Consultant services"/>
    <m/>
    <m/>
    <m/>
    <n v="1"/>
    <n v="1400000"/>
  </r>
  <r>
    <m/>
    <n v="1"/>
    <n v="1"/>
    <s v="MN"/>
    <n v="999"/>
    <s v="MN 999"/>
    <s v="8801-CA-15"/>
    <x v="1"/>
    <m/>
    <s v="S"/>
    <s v="MNDOT"/>
    <m/>
    <s v="DISTRICTWIDE SETASIDES  - CONSULTANT AGREEMENTS-2015"/>
    <n v="0"/>
    <n v="0"/>
    <n v="0"/>
    <m/>
    <s v="DISTRICTWIDE"/>
    <s v="CA"/>
    <s v="PD "/>
    <s v="PD"/>
    <m/>
    <s v="SETA - SET ASIDE"/>
    <s v="MISCELLANEOUS"/>
    <s v="SF  "/>
    <s v="SF"/>
    <m/>
    <m/>
    <n v="1400000"/>
    <n v="0"/>
    <n v="0"/>
    <n v="0"/>
    <n v="0"/>
    <n v="0"/>
    <n v="0"/>
    <n v="0"/>
    <n v="0"/>
    <n v="0"/>
    <n v="0"/>
    <n v="0"/>
    <n v="0"/>
    <n v="0"/>
    <n v="0"/>
    <n v="0"/>
    <n v="1400000"/>
    <n v="0"/>
    <n v="1400000"/>
    <n v="0"/>
    <n v="0"/>
    <n v="1400000"/>
    <n v="42117612"/>
    <n v="16765500"/>
    <n v="2015"/>
    <m/>
    <m/>
    <m/>
    <m/>
    <m/>
    <m/>
    <s v="NO"/>
    <s v="NO"/>
    <s v="8th District"/>
    <s v="NO"/>
    <s v="NO"/>
    <s v="Yes"/>
    <s v="NO"/>
    <m/>
    <n v="0"/>
    <m/>
    <m/>
    <m/>
    <m/>
    <m/>
    <n v="0"/>
    <m/>
    <m/>
    <n v="0"/>
    <m/>
    <m/>
    <m/>
    <m/>
    <m/>
    <n v="0"/>
    <m/>
    <m/>
    <m/>
    <m/>
    <m/>
    <n v="0"/>
    <m/>
    <m/>
    <m/>
    <m/>
    <m/>
    <n v="0"/>
    <m/>
    <m/>
    <m/>
    <m/>
    <m/>
    <n v="0"/>
    <m/>
    <m/>
    <m/>
    <m/>
    <m/>
    <n v="0"/>
    <m/>
    <m/>
    <m/>
    <m/>
    <m/>
    <n v="0"/>
    <m/>
    <m/>
    <m/>
    <m/>
    <n v="1"/>
    <n v="1400000"/>
    <s v="Consultant services"/>
    <m/>
    <m/>
    <m/>
    <n v="1"/>
    <n v="1400000"/>
  </r>
  <r>
    <m/>
    <n v="1"/>
    <n v="1"/>
    <s v="MN"/>
    <n v="999"/>
    <s v="MN 999"/>
    <s v="8801-CA-16"/>
    <x v="2"/>
    <m/>
    <s v="S"/>
    <s v="MNDOT"/>
    <m/>
    <s v="DISTRICTWIDE SETASIDES  - CONSULTANT AGREEMENTS-2016"/>
    <n v="0"/>
    <n v="0"/>
    <n v="0"/>
    <m/>
    <s v="DISTRICTWIDE"/>
    <s v="CA"/>
    <s v="PD "/>
    <s v="PD"/>
    <m/>
    <s v="SETA - SET ASIDE"/>
    <s v="MISCELLANEOUS"/>
    <s v="SF  "/>
    <s v="SF"/>
    <m/>
    <m/>
    <n v="1500000"/>
    <n v="0"/>
    <n v="0"/>
    <n v="0"/>
    <n v="0"/>
    <n v="0"/>
    <n v="0"/>
    <n v="0"/>
    <n v="0"/>
    <n v="0"/>
    <n v="0"/>
    <n v="0"/>
    <n v="0"/>
    <n v="0"/>
    <n v="0"/>
    <n v="0"/>
    <n v="1500000"/>
    <n v="0"/>
    <n v="1500000"/>
    <n v="0"/>
    <n v="0"/>
    <n v="1500000"/>
    <n v="55280896"/>
    <n v="15133452"/>
    <n v="2016"/>
    <m/>
    <m/>
    <m/>
    <m/>
    <m/>
    <m/>
    <s v="NO"/>
    <s v="NO"/>
    <s v="8th District"/>
    <s v="NO"/>
    <s v="NO"/>
    <s v="Yes"/>
    <s v="NO"/>
    <m/>
    <n v="0"/>
    <m/>
    <m/>
    <m/>
    <m/>
    <m/>
    <n v="0"/>
    <m/>
    <m/>
    <n v="0"/>
    <m/>
    <m/>
    <m/>
    <m/>
    <m/>
    <n v="0"/>
    <m/>
    <m/>
    <m/>
    <m/>
    <m/>
    <n v="0"/>
    <m/>
    <m/>
    <m/>
    <m/>
    <m/>
    <n v="0"/>
    <m/>
    <m/>
    <m/>
    <m/>
    <m/>
    <n v="0"/>
    <m/>
    <m/>
    <m/>
    <m/>
    <m/>
    <n v="0"/>
    <m/>
    <m/>
    <m/>
    <m/>
    <m/>
    <n v="0"/>
    <m/>
    <m/>
    <m/>
    <m/>
    <n v="1"/>
    <n v="1500000"/>
    <s v="Consultant services"/>
    <m/>
    <m/>
    <m/>
    <n v="1"/>
    <n v="1500000"/>
  </r>
  <r>
    <m/>
    <n v="1"/>
    <n v="1"/>
    <s v="MN"/>
    <n v="999"/>
    <s v="MN 999"/>
    <s v="8801-CA-17"/>
    <x v="9"/>
    <m/>
    <s v="S"/>
    <s v="MNDOT"/>
    <m/>
    <s v="DISTRICTWIDE SETASIDES  - CONSULTANT AGREEMENTS-2017"/>
    <n v="0"/>
    <n v="0"/>
    <n v="0"/>
    <m/>
    <s v="DISTRICTWIDE"/>
    <s v="CA"/>
    <s v="PD "/>
    <s v="PD"/>
    <m/>
    <s v="SETA - SET ASIDE"/>
    <s v="MISCELLANEOUS"/>
    <s v="SF  "/>
    <s v="SF"/>
    <m/>
    <m/>
    <n v="1500000"/>
    <n v="0"/>
    <n v="0"/>
    <n v="0"/>
    <n v="0"/>
    <n v="0"/>
    <n v="0"/>
    <n v="0"/>
    <n v="0"/>
    <n v="0"/>
    <n v="0"/>
    <n v="0"/>
    <n v="0"/>
    <n v="0"/>
    <n v="0"/>
    <n v="0"/>
    <n v="1500000"/>
    <n v="0"/>
    <n v="1500000"/>
    <n v="0"/>
    <n v="0"/>
    <n v="1500000"/>
    <n v="46128499.700000003"/>
    <n v="23203233.300000001"/>
    <n v="2017"/>
    <m/>
    <m/>
    <m/>
    <m/>
    <m/>
    <m/>
    <s v="NO"/>
    <s v="NO"/>
    <s v="8th District"/>
    <s v="NO"/>
    <s v="NO"/>
    <s v="Yes"/>
    <s v="NO"/>
    <m/>
    <n v="0"/>
    <m/>
    <m/>
    <m/>
    <m/>
    <m/>
    <n v="0"/>
    <m/>
    <m/>
    <n v="0"/>
    <m/>
    <m/>
    <m/>
    <m/>
    <m/>
    <n v="0"/>
    <m/>
    <m/>
    <m/>
    <m/>
    <m/>
    <n v="0"/>
    <m/>
    <m/>
    <m/>
    <m/>
    <m/>
    <n v="0"/>
    <m/>
    <m/>
    <m/>
    <m/>
    <m/>
    <n v="0"/>
    <m/>
    <m/>
    <m/>
    <m/>
    <m/>
    <n v="0"/>
    <m/>
    <m/>
    <m/>
    <m/>
    <m/>
    <n v="0"/>
    <m/>
    <m/>
    <m/>
    <m/>
    <n v="1"/>
    <n v="1500000"/>
    <s v="Consultant services"/>
    <m/>
    <m/>
    <m/>
    <n v="1"/>
    <n v="1500000"/>
  </r>
  <r>
    <m/>
    <n v="1"/>
    <n v="1"/>
    <s v="MN"/>
    <n v="999"/>
    <s v="MN 999"/>
    <s v="8801-CL-15"/>
    <x v="1"/>
    <m/>
    <s v="S"/>
    <s v="MNDOT"/>
    <m/>
    <s v="DISTRICTWIDE SETASIDES  - HYDRAULICS-2015"/>
    <n v="0"/>
    <n v="0"/>
    <n v="0"/>
    <m/>
    <s v="DISTRICTWIDE"/>
    <s v="RS"/>
    <s v="1-M "/>
    <s v="1-M"/>
    <m/>
    <s v="SETA - SET ASIDE"/>
    <s v="CULVERT REPLACEMENT"/>
    <s v="SF  "/>
    <s v="SF"/>
    <m/>
    <m/>
    <n v="2000000"/>
    <n v="0"/>
    <n v="0"/>
    <n v="0"/>
    <n v="0"/>
    <n v="0"/>
    <n v="0"/>
    <n v="0"/>
    <n v="0"/>
    <n v="0"/>
    <n v="0"/>
    <n v="0"/>
    <n v="0"/>
    <n v="0"/>
    <n v="0"/>
    <n v="0"/>
    <n v="2000000"/>
    <n v="0"/>
    <n v="2000000"/>
    <n v="0"/>
    <n v="0"/>
    <n v="2000000"/>
    <n v="42117612"/>
    <n v="18765500"/>
    <n v="2015"/>
    <m/>
    <m/>
    <m/>
    <m/>
    <m/>
    <m/>
    <s v="NO"/>
    <s v="NO"/>
    <s v="8th District"/>
    <s v="NO"/>
    <s v="NO"/>
    <s v="Yes"/>
    <s v="NO"/>
    <m/>
    <n v="0"/>
    <m/>
    <m/>
    <m/>
    <m/>
    <m/>
    <n v="0"/>
    <m/>
    <n v="1"/>
    <n v="2000000"/>
    <s v="Drainage and culverts"/>
    <m/>
    <m/>
    <m/>
    <m/>
    <n v="0"/>
    <m/>
    <m/>
    <m/>
    <m/>
    <m/>
    <n v="0"/>
    <m/>
    <m/>
    <m/>
    <m/>
    <m/>
    <n v="0"/>
    <m/>
    <m/>
    <m/>
    <m/>
    <m/>
    <n v="0"/>
    <m/>
    <m/>
    <m/>
    <m/>
    <m/>
    <n v="0"/>
    <m/>
    <m/>
    <m/>
    <m/>
    <m/>
    <n v="0"/>
    <m/>
    <m/>
    <m/>
    <m/>
    <m/>
    <n v="0"/>
    <m/>
    <m/>
    <m/>
    <m/>
    <n v="1"/>
    <n v="2000000"/>
  </r>
  <r>
    <m/>
    <n v="1"/>
    <n v="1"/>
    <s v="MN"/>
    <n v="999"/>
    <s v="MN 999"/>
    <s v="8801-CL-16"/>
    <x v="2"/>
    <m/>
    <s v="S"/>
    <s v="MNDOT"/>
    <m/>
    <s v="DISTRICTWIDE SETASIDES  - HYDRAULICS-2016"/>
    <n v="0"/>
    <n v="0"/>
    <n v="0"/>
    <m/>
    <s v="DISTRICTWIDE"/>
    <s v="RS"/>
    <s v="1-M "/>
    <s v="1-M"/>
    <m/>
    <s v="SETA - SET ASIDE"/>
    <s v="CULVERT REPLACEMENT"/>
    <s v="SF  "/>
    <s v="SF"/>
    <m/>
    <m/>
    <n v="2000000"/>
    <n v="0"/>
    <n v="0"/>
    <n v="0"/>
    <n v="0"/>
    <n v="0"/>
    <n v="0"/>
    <n v="0"/>
    <n v="0"/>
    <n v="0"/>
    <n v="0"/>
    <n v="0"/>
    <n v="0"/>
    <n v="0"/>
    <n v="0"/>
    <n v="0"/>
    <n v="2000000"/>
    <n v="0"/>
    <n v="2000000"/>
    <n v="0"/>
    <n v="0"/>
    <n v="2000000"/>
    <n v="55280896"/>
    <n v="17133452"/>
    <n v="2016"/>
    <m/>
    <m/>
    <m/>
    <m/>
    <m/>
    <m/>
    <s v="NO"/>
    <s v="NO"/>
    <s v="8th District"/>
    <s v="NO"/>
    <s v="NO"/>
    <s v="Yes"/>
    <s v="NO"/>
    <m/>
    <n v="0"/>
    <m/>
    <m/>
    <m/>
    <m/>
    <m/>
    <n v="0"/>
    <m/>
    <n v="1"/>
    <n v="2000000"/>
    <s v="Drainage and culverts"/>
    <m/>
    <m/>
    <m/>
    <m/>
    <n v="0"/>
    <m/>
    <m/>
    <m/>
    <m/>
    <m/>
    <n v="0"/>
    <m/>
    <m/>
    <m/>
    <m/>
    <m/>
    <n v="0"/>
    <m/>
    <m/>
    <m/>
    <m/>
    <m/>
    <n v="0"/>
    <m/>
    <m/>
    <m/>
    <m/>
    <m/>
    <n v="0"/>
    <m/>
    <m/>
    <m/>
    <m/>
    <m/>
    <n v="0"/>
    <m/>
    <m/>
    <m/>
    <m/>
    <m/>
    <n v="0"/>
    <m/>
    <m/>
    <m/>
    <m/>
    <n v="1"/>
    <n v="2000000"/>
  </r>
  <r>
    <m/>
    <n v="1"/>
    <n v="1"/>
    <s v="MN"/>
    <n v="999"/>
    <s v="MN 999"/>
    <s v="8801-PM-15"/>
    <x v="1"/>
    <m/>
    <s v="S"/>
    <s v="MNDOT"/>
    <m/>
    <s v="DISTRICTWIDE SETASIDES  - PREVENTATIVE MAINTENANCE-2015"/>
    <n v="0"/>
    <n v="0"/>
    <n v="0"/>
    <m/>
    <s v="DISTRICTWIDE"/>
    <s v="PM"/>
    <s v="1-PPM "/>
    <s v="1-PPM"/>
    <m/>
    <s v="SETA - SET ASIDE"/>
    <s v="JOINT SEALING"/>
    <s v="SF  "/>
    <s v="SF"/>
    <m/>
    <m/>
    <n v="1800000"/>
    <n v="0"/>
    <n v="0"/>
    <n v="0"/>
    <n v="0"/>
    <n v="0"/>
    <n v="0"/>
    <n v="0"/>
    <n v="0"/>
    <n v="0"/>
    <n v="0"/>
    <n v="0"/>
    <n v="0"/>
    <n v="0"/>
    <n v="0"/>
    <n v="0"/>
    <n v="1800000"/>
    <n v="0"/>
    <n v="1800000"/>
    <n v="0"/>
    <n v="0"/>
    <n v="1800000"/>
    <n v="42117612"/>
    <n v="20565500"/>
    <n v="2015"/>
    <m/>
    <m/>
    <m/>
    <m/>
    <m/>
    <m/>
    <s v="NO"/>
    <s v="NO"/>
    <s v="8th District"/>
    <s v="NO"/>
    <s v="NO"/>
    <s v="Yes"/>
    <s v="NO"/>
    <n v="1"/>
    <n v="1800000"/>
    <s v="Preventative maintenance"/>
    <m/>
    <m/>
    <m/>
    <m/>
    <n v="0"/>
    <m/>
    <m/>
    <n v="0"/>
    <m/>
    <m/>
    <m/>
    <m/>
    <m/>
    <n v="0"/>
    <m/>
    <m/>
    <m/>
    <m/>
    <m/>
    <n v="0"/>
    <m/>
    <m/>
    <m/>
    <m/>
    <m/>
    <n v="0"/>
    <m/>
    <m/>
    <m/>
    <m/>
    <m/>
    <n v="0"/>
    <m/>
    <m/>
    <m/>
    <m/>
    <m/>
    <n v="0"/>
    <m/>
    <m/>
    <m/>
    <m/>
    <m/>
    <n v="0"/>
    <m/>
    <m/>
    <m/>
    <m/>
    <m/>
    <n v="0"/>
    <m/>
    <m/>
    <m/>
    <m/>
    <n v="1"/>
    <n v="1800000"/>
  </r>
  <r>
    <m/>
    <n v="1"/>
    <n v="1"/>
    <s v="MN"/>
    <n v="999"/>
    <s v="MN 999"/>
    <s v="8801-PM-16"/>
    <x v="2"/>
    <m/>
    <s v="S"/>
    <s v="MNDOT"/>
    <m/>
    <s v="DISTRICTWIDE SETASIDES  - PREVENTATIVE MAINTENANCE-2016"/>
    <n v="0"/>
    <n v="0"/>
    <n v="0"/>
    <m/>
    <s v="DISTRICTWIDE"/>
    <s v="PM"/>
    <s v="1-PPM "/>
    <s v="1-PPM"/>
    <m/>
    <s v="SETA - SET ASIDE"/>
    <s v="JOINT SEALING"/>
    <s v="SF  "/>
    <s v="SF"/>
    <m/>
    <m/>
    <n v="1800000"/>
    <n v="0"/>
    <n v="0"/>
    <n v="0"/>
    <n v="0"/>
    <n v="0"/>
    <n v="0"/>
    <n v="0"/>
    <n v="0"/>
    <n v="0"/>
    <n v="0"/>
    <n v="0"/>
    <n v="0"/>
    <n v="0"/>
    <n v="0"/>
    <n v="0"/>
    <n v="1800000"/>
    <n v="0"/>
    <n v="1800000"/>
    <n v="0"/>
    <n v="0"/>
    <n v="1800000"/>
    <n v="55280896"/>
    <n v="18933452"/>
    <n v="2016"/>
    <m/>
    <m/>
    <m/>
    <m/>
    <m/>
    <m/>
    <s v="NO"/>
    <s v="NO"/>
    <s v="8th District"/>
    <s v="NO"/>
    <s v="NO"/>
    <s v="Yes"/>
    <s v="NO"/>
    <n v="1"/>
    <n v="1800000"/>
    <s v="Preventative maintenance"/>
    <m/>
    <m/>
    <m/>
    <m/>
    <n v="0"/>
    <m/>
    <m/>
    <n v="0"/>
    <m/>
    <m/>
    <m/>
    <m/>
    <m/>
    <n v="0"/>
    <m/>
    <m/>
    <m/>
    <m/>
    <m/>
    <n v="0"/>
    <m/>
    <m/>
    <m/>
    <m/>
    <m/>
    <n v="0"/>
    <m/>
    <m/>
    <m/>
    <m/>
    <m/>
    <n v="0"/>
    <m/>
    <m/>
    <m/>
    <m/>
    <m/>
    <n v="0"/>
    <m/>
    <m/>
    <m/>
    <m/>
    <m/>
    <n v="0"/>
    <m/>
    <m/>
    <m/>
    <m/>
    <m/>
    <n v="0"/>
    <m/>
    <m/>
    <m/>
    <m/>
    <n v="1"/>
    <n v="1800000"/>
  </r>
  <r>
    <m/>
    <n v="1"/>
    <n v="1"/>
    <s v="MN"/>
    <n v="999"/>
    <s v="MN 999"/>
    <s v="8801-PM-17"/>
    <x v="9"/>
    <m/>
    <s v="S"/>
    <s v="MNDOT"/>
    <m/>
    <s v="DISTRICTWIDE SETASIDES  - PREVENTATIVE MAINTENANCE-2017"/>
    <n v="0"/>
    <n v="0"/>
    <n v="0"/>
    <m/>
    <s v="DISTRICTWIDE"/>
    <s v="PM"/>
    <s v="1-PPM "/>
    <s v="1-PPM"/>
    <m/>
    <s v="SETA - SET ASIDE"/>
    <s v="JOINT SEALING"/>
    <s v="SF  "/>
    <s v="SF"/>
    <m/>
    <m/>
    <n v="2000000"/>
    <n v="0"/>
    <n v="0"/>
    <n v="0"/>
    <n v="0"/>
    <n v="0"/>
    <n v="0"/>
    <n v="0"/>
    <n v="0"/>
    <n v="0"/>
    <n v="0"/>
    <n v="0"/>
    <n v="0"/>
    <n v="0"/>
    <n v="0"/>
    <n v="0"/>
    <n v="2000000"/>
    <n v="0"/>
    <n v="2000000"/>
    <n v="0"/>
    <n v="0"/>
    <n v="2000000"/>
    <n v="46128499.700000003"/>
    <n v="25203233.300000001"/>
    <n v="2017"/>
    <m/>
    <m/>
    <m/>
    <m/>
    <m/>
    <m/>
    <s v="NO"/>
    <s v="NO"/>
    <s v="8th District"/>
    <s v="NO"/>
    <s v="NO"/>
    <s v="Yes"/>
    <s v="NO"/>
    <n v="1"/>
    <n v="2000000"/>
    <s v="Preventative maintenance"/>
    <m/>
    <m/>
    <m/>
    <m/>
    <n v="0"/>
    <m/>
    <m/>
    <n v="0"/>
    <m/>
    <m/>
    <m/>
    <m/>
    <m/>
    <n v="0"/>
    <m/>
    <m/>
    <m/>
    <m/>
    <m/>
    <n v="0"/>
    <m/>
    <m/>
    <m/>
    <m/>
    <m/>
    <n v="0"/>
    <m/>
    <m/>
    <m/>
    <m/>
    <m/>
    <n v="0"/>
    <m/>
    <m/>
    <m/>
    <m/>
    <m/>
    <n v="0"/>
    <m/>
    <m/>
    <m/>
    <m/>
    <m/>
    <n v="0"/>
    <m/>
    <m/>
    <m/>
    <m/>
    <m/>
    <n v="0"/>
    <m/>
    <m/>
    <m/>
    <m/>
    <n v="1"/>
    <n v="2000000"/>
  </r>
  <r>
    <m/>
    <n v="1"/>
    <n v="1"/>
    <s v="MN"/>
    <n v="999"/>
    <s v="MN 999"/>
    <s v="8801-RB-14"/>
    <x v="0"/>
    <m/>
    <s v="S"/>
    <s v="MNDOT"/>
    <m/>
    <s v="DISTRICTWIDE SETASIDES  - LANDSCAPE PARTNERSHIPS-2014"/>
    <n v="0"/>
    <n v="0"/>
    <n v="0"/>
    <m/>
    <s v="DISTRICTWIDE"/>
    <s v="RB"/>
    <s v="CIP "/>
    <s v="CIP"/>
    <m/>
    <s v="SETA - SET ASIDE"/>
    <s v="LANDSCAPING"/>
    <s v="SF  "/>
    <s v="SF"/>
    <m/>
    <m/>
    <n v="100000"/>
    <n v="0"/>
    <n v="0"/>
    <n v="0"/>
    <n v="0"/>
    <n v="0"/>
    <n v="0"/>
    <n v="0"/>
    <n v="0"/>
    <n v="0"/>
    <n v="0"/>
    <n v="0"/>
    <n v="0"/>
    <n v="0"/>
    <n v="0"/>
    <n v="0"/>
    <n v="100000"/>
    <n v="0"/>
    <n v="100000"/>
    <n v="0"/>
    <n v="0"/>
    <n v="100000"/>
    <n v="40934695"/>
    <n v="12044287"/>
    <n v="2014"/>
    <m/>
    <m/>
    <m/>
    <m/>
    <m/>
    <m/>
    <s v="NO"/>
    <s v="NO"/>
    <s v="8th District"/>
    <s v="NO"/>
    <s v="NO"/>
    <s v="Yes"/>
    <s v="NO"/>
    <m/>
    <n v="0"/>
    <m/>
    <m/>
    <m/>
    <m/>
    <m/>
    <n v="0"/>
    <m/>
    <m/>
    <n v="0"/>
    <m/>
    <m/>
    <m/>
    <m/>
    <m/>
    <n v="0"/>
    <m/>
    <m/>
    <m/>
    <m/>
    <m/>
    <n v="0"/>
    <m/>
    <m/>
    <m/>
    <m/>
    <m/>
    <n v="0"/>
    <m/>
    <m/>
    <m/>
    <m/>
    <m/>
    <n v="0"/>
    <m/>
    <m/>
    <m/>
    <m/>
    <m/>
    <n v="0"/>
    <m/>
    <m/>
    <m/>
    <m/>
    <n v="1"/>
    <n v="100000"/>
    <s v="District program"/>
    <m/>
    <m/>
    <m/>
    <m/>
    <n v="0"/>
    <m/>
    <m/>
    <m/>
    <m/>
    <n v="1"/>
    <n v="100000"/>
  </r>
  <r>
    <m/>
    <n v="1"/>
    <n v="1"/>
    <s v="MN"/>
    <n v="999"/>
    <s v="MN 999"/>
    <s v="8801-RB-15"/>
    <x v="1"/>
    <m/>
    <s v="S"/>
    <s v="MNDOT"/>
    <m/>
    <s v="DISTRICTWIDE SETASIDES  - LANDSCAPE PARTNERSHIPS-2015"/>
    <n v="0"/>
    <n v="0"/>
    <n v="0"/>
    <m/>
    <s v="DISTRICTWIDE"/>
    <s v="RB"/>
    <s v="CIP "/>
    <s v="CIP"/>
    <m/>
    <s v="SETA - SET ASIDE"/>
    <s v="LANDSCAPING"/>
    <s v="SF  "/>
    <s v="SF"/>
    <m/>
    <m/>
    <n v="100000"/>
    <n v="0"/>
    <n v="0"/>
    <n v="0"/>
    <n v="0"/>
    <n v="0"/>
    <n v="0"/>
    <n v="0"/>
    <n v="0"/>
    <n v="0"/>
    <n v="0"/>
    <n v="0"/>
    <n v="0"/>
    <n v="0"/>
    <n v="0"/>
    <n v="0"/>
    <n v="100000"/>
    <n v="0"/>
    <n v="100000"/>
    <n v="0"/>
    <n v="0"/>
    <n v="100000"/>
    <n v="42117612"/>
    <n v="20665500"/>
    <n v="2015"/>
    <m/>
    <m/>
    <m/>
    <m/>
    <m/>
    <m/>
    <s v="NO"/>
    <s v="NO"/>
    <s v="8th District"/>
    <s v="NO"/>
    <s v="NO"/>
    <s v="Yes"/>
    <s v="NO"/>
    <m/>
    <n v="0"/>
    <m/>
    <m/>
    <m/>
    <m/>
    <m/>
    <n v="0"/>
    <m/>
    <m/>
    <n v="0"/>
    <m/>
    <m/>
    <m/>
    <m/>
    <m/>
    <n v="0"/>
    <m/>
    <m/>
    <m/>
    <m/>
    <m/>
    <n v="0"/>
    <m/>
    <m/>
    <m/>
    <m/>
    <m/>
    <n v="0"/>
    <m/>
    <m/>
    <m/>
    <m/>
    <m/>
    <n v="0"/>
    <m/>
    <m/>
    <m/>
    <m/>
    <m/>
    <n v="0"/>
    <m/>
    <m/>
    <m/>
    <m/>
    <n v="1"/>
    <n v="100000"/>
    <s v="District program"/>
    <m/>
    <m/>
    <m/>
    <m/>
    <n v="0"/>
    <m/>
    <m/>
    <m/>
    <m/>
    <n v="1"/>
    <n v="100000"/>
  </r>
  <r>
    <m/>
    <n v="1"/>
    <n v="1"/>
    <s v="MN"/>
    <n v="999"/>
    <s v="MN 999"/>
    <s v="8801-RB-16"/>
    <x v="2"/>
    <m/>
    <s v="S"/>
    <s v="MNDOT"/>
    <m/>
    <s v="DISTRICTWIDE SETASIDES  - LANDSCAPE PARTNERSHIPS-2016"/>
    <n v="0"/>
    <n v="0"/>
    <n v="0"/>
    <m/>
    <s v="DISTRICTWIDE"/>
    <s v="RB"/>
    <s v="CIP "/>
    <s v="CIP"/>
    <m/>
    <s v="SETA - SET ASIDE"/>
    <s v="LANDSCAPING"/>
    <s v="SF  "/>
    <s v="SF"/>
    <m/>
    <m/>
    <n v="100000"/>
    <n v="0"/>
    <n v="0"/>
    <n v="0"/>
    <n v="0"/>
    <n v="0"/>
    <n v="0"/>
    <n v="0"/>
    <n v="0"/>
    <n v="0"/>
    <n v="0"/>
    <n v="0"/>
    <n v="0"/>
    <n v="0"/>
    <n v="0"/>
    <n v="0"/>
    <n v="100000"/>
    <n v="0"/>
    <n v="100000"/>
    <n v="0"/>
    <n v="0"/>
    <n v="100000"/>
    <n v="55280896"/>
    <n v="19033452"/>
    <n v="2016"/>
    <m/>
    <m/>
    <m/>
    <m/>
    <m/>
    <m/>
    <s v="NO"/>
    <s v="NO"/>
    <s v="8th District"/>
    <s v="NO"/>
    <s v="NO"/>
    <s v="Yes"/>
    <s v="NO"/>
    <m/>
    <n v="0"/>
    <m/>
    <m/>
    <m/>
    <m/>
    <m/>
    <n v="0"/>
    <m/>
    <m/>
    <n v="0"/>
    <m/>
    <m/>
    <m/>
    <m/>
    <m/>
    <n v="0"/>
    <m/>
    <m/>
    <m/>
    <m/>
    <m/>
    <n v="0"/>
    <m/>
    <m/>
    <m/>
    <m/>
    <m/>
    <n v="0"/>
    <m/>
    <m/>
    <m/>
    <m/>
    <m/>
    <n v="0"/>
    <m/>
    <m/>
    <m/>
    <m/>
    <m/>
    <n v="0"/>
    <m/>
    <m/>
    <m/>
    <m/>
    <n v="1"/>
    <n v="100000"/>
    <s v="District program"/>
    <m/>
    <m/>
    <m/>
    <m/>
    <n v="0"/>
    <m/>
    <m/>
    <m/>
    <m/>
    <n v="1"/>
    <n v="100000"/>
  </r>
  <r>
    <m/>
    <n v="1"/>
    <n v="1"/>
    <s v="MN"/>
    <n v="999"/>
    <s v="MN 999"/>
    <s v="8801-RB-17"/>
    <x v="9"/>
    <m/>
    <s v="S"/>
    <s v="MNDOT"/>
    <m/>
    <s v="DISTRICTWIDE SETASIDES  - LANDSCAPE PARTNERSHIPS-2017"/>
    <n v="0"/>
    <n v="0"/>
    <n v="0"/>
    <m/>
    <s v="DISTRICTWIDE"/>
    <s v="RB"/>
    <s v="CIP "/>
    <s v="CIP"/>
    <m/>
    <s v="SETA - SET ASIDE"/>
    <s v="LANDSCAPING"/>
    <s v="SF  "/>
    <s v="SF"/>
    <m/>
    <m/>
    <n v="100000"/>
    <n v="0"/>
    <n v="0"/>
    <n v="0"/>
    <n v="0"/>
    <n v="0"/>
    <n v="0"/>
    <n v="0"/>
    <n v="0"/>
    <n v="0"/>
    <n v="0"/>
    <n v="0"/>
    <n v="0"/>
    <n v="0"/>
    <n v="0"/>
    <n v="0"/>
    <n v="100000"/>
    <n v="0"/>
    <n v="100000"/>
    <n v="0"/>
    <n v="0"/>
    <n v="100000"/>
    <n v="46128499.700000003"/>
    <n v="25303233.300000001"/>
    <n v="2017"/>
    <m/>
    <m/>
    <m/>
    <m/>
    <m/>
    <m/>
    <s v="NO"/>
    <s v="NO"/>
    <s v="8th District"/>
    <s v="NO"/>
    <s v="NO"/>
    <s v="Yes"/>
    <s v="NO"/>
    <m/>
    <n v="0"/>
    <m/>
    <m/>
    <m/>
    <m/>
    <m/>
    <n v="0"/>
    <m/>
    <m/>
    <n v="0"/>
    <m/>
    <m/>
    <m/>
    <m/>
    <m/>
    <n v="0"/>
    <m/>
    <m/>
    <m/>
    <m/>
    <m/>
    <n v="0"/>
    <m/>
    <m/>
    <m/>
    <m/>
    <m/>
    <n v="0"/>
    <m/>
    <m/>
    <m/>
    <m/>
    <m/>
    <n v="0"/>
    <m/>
    <m/>
    <m/>
    <m/>
    <m/>
    <n v="0"/>
    <m/>
    <m/>
    <m/>
    <m/>
    <n v="1"/>
    <n v="100000"/>
    <s v="District program"/>
    <m/>
    <m/>
    <m/>
    <m/>
    <n v="0"/>
    <m/>
    <m/>
    <m/>
    <m/>
    <n v="1"/>
    <n v="100000"/>
  </r>
  <r>
    <m/>
    <n v="1"/>
    <n v="1"/>
    <s v="MN"/>
    <n v="999"/>
    <s v="MN 999"/>
    <s v="8801-RW-14"/>
    <x v="0"/>
    <m/>
    <s v="S"/>
    <s v="MNDOT"/>
    <m/>
    <s v="DISTRICTWIDE SETASIDES - R/W ACQUISITION/ACC MGMT - 2014"/>
    <n v="0"/>
    <n v="0"/>
    <n v="0"/>
    <m/>
    <s v="DISTRICTWIDE"/>
    <s v="RW"/>
    <s v="RW "/>
    <s v="RW"/>
    <m/>
    <s v="RW - RIGHT OF WAY"/>
    <s v="RIGHT OF WAY"/>
    <s v="SF  "/>
    <s v="SF"/>
    <m/>
    <m/>
    <n v="3750000"/>
    <n v="0"/>
    <n v="0"/>
    <n v="0"/>
    <n v="0"/>
    <n v="0"/>
    <n v="0"/>
    <n v="0"/>
    <n v="0"/>
    <n v="0"/>
    <n v="0"/>
    <n v="0"/>
    <n v="0"/>
    <n v="0"/>
    <n v="0"/>
    <n v="0"/>
    <n v="3750000"/>
    <n v="0"/>
    <n v="3750000"/>
    <n v="0"/>
    <n v="0"/>
    <n v="3750000"/>
    <n v="40934695"/>
    <n v="22894287"/>
    <n v="2014"/>
    <m/>
    <s v="$1 million + remaining State Target Funds."/>
    <m/>
    <m/>
    <m/>
    <m/>
    <s v="NO"/>
    <s v="NO"/>
    <s v="8th District"/>
    <s v="NO"/>
    <s v="NO"/>
    <s v="Yes"/>
    <s v="NO"/>
    <m/>
    <n v="0"/>
    <m/>
    <m/>
    <m/>
    <m/>
    <m/>
    <n v="0"/>
    <m/>
    <m/>
    <n v="0"/>
    <m/>
    <m/>
    <m/>
    <m/>
    <m/>
    <n v="0"/>
    <m/>
    <m/>
    <m/>
    <m/>
    <m/>
    <n v="0"/>
    <m/>
    <m/>
    <m/>
    <m/>
    <m/>
    <n v="0"/>
    <m/>
    <m/>
    <m/>
    <m/>
    <m/>
    <n v="0"/>
    <m/>
    <m/>
    <m/>
    <m/>
    <m/>
    <n v="0"/>
    <m/>
    <m/>
    <m/>
    <m/>
    <m/>
    <n v="0"/>
    <m/>
    <m/>
    <m/>
    <m/>
    <n v="1"/>
    <n v="3750000"/>
    <s v="Right of way"/>
    <m/>
    <m/>
    <m/>
    <n v="1"/>
    <n v="3750000"/>
  </r>
  <r>
    <m/>
    <n v="1"/>
    <n v="1"/>
    <s v="MN"/>
    <n v="999"/>
    <s v="MN 999"/>
    <s v="8801-RW-15"/>
    <x v="1"/>
    <m/>
    <s v="S"/>
    <s v="MNDOT"/>
    <m/>
    <s v="DISTRICTWIDE SETASIDES - R/W ACQUISITION/ACC MGMT - 2015"/>
    <n v="0"/>
    <n v="0"/>
    <n v="0"/>
    <m/>
    <s v="DISTRICTWIDE"/>
    <s v="RW"/>
    <s v="RW "/>
    <s v="RW"/>
    <m/>
    <s v="RW - RIGHT OF WAY"/>
    <s v="RIGHT OF WAY"/>
    <s v="SF  "/>
    <s v="SF"/>
    <m/>
    <m/>
    <n v="2000000"/>
    <n v="0"/>
    <n v="0"/>
    <n v="0"/>
    <n v="0"/>
    <n v="0"/>
    <n v="0"/>
    <n v="0"/>
    <n v="0"/>
    <n v="0"/>
    <n v="0"/>
    <n v="0"/>
    <n v="0"/>
    <n v="0"/>
    <n v="0"/>
    <n v="0"/>
    <n v="2000000"/>
    <n v="0"/>
    <n v="2000000"/>
    <n v="0"/>
    <n v="0"/>
    <n v="2000000"/>
    <n v="42117612"/>
    <n v="31765500"/>
    <n v="2015"/>
    <m/>
    <m/>
    <m/>
    <m/>
    <m/>
    <m/>
    <s v="NO"/>
    <s v="NO"/>
    <s v="8th District"/>
    <s v="NO"/>
    <s v="NO"/>
    <s v="Yes"/>
    <s v="NO"/>
    <m/>
    <n v="0"/>
    <m/>
    <m/>
    <m/>
    <m/>
    <m/>
    <n v="0"/>
    <m/>
    <m/>
    <n v="0"/>
    <m/>
    <m/>
    <m/>
    <m/>
    <m/>
    <n v="0"/>
    <m/>
    <m/>
    <m/>
    <m/>
    <m/>
    <n v="0"/>
    <m/>
    <m/>
    <m/>
    <m/>
    <m/>
    <n v="0"/>
    <m/>
    <m/>
    <m/>
    <m/>
    <m/>
    <n v="0"/>
    <m/>
    <m/>
    <m/>
    <m/>
    <m/>
    <n v="0"/>
    <m/>
    <m/>
    <m/>
    <m/>
    <m/>
    <n v="0"/>
    <m/>
    <m/>
    <m/>
    <m/>
    <n v="1"/>
    <n v="2000000"/>
    <s v="Right of way"/>
    <m/>
    <m/>
    <m/>
    <n v="1"/>
    <n v="2000000"/>
  </r>
  <r>
    <m/>
    <n v="1"/>
    <n v="1"/>
    <s v="MN"/>
    <n v="999"/>
    <s v="MN 999"/>
    <s v="8801-RW-16"/>
    <x v="2"/>
    <m/>
    <s v="S"/>
    <s v="MNDOT"/>
    <m/>
    <s v="DISTRICTWIDE SETASIDES - R/W ACQUISITION/ACC MGMT - 2016"/>
    <n v="0"/>
    <n v="0"/>
    <n v="0"/>
    <m/>
    <s v="DISTRICTWIDE"/>
    <s v="RW"/>
    <s v="RW "/>
    <s v="RW"/>
    <m/>
    <s v="RW - RIGHT OF WAY"/>
    <s v="RIGHT OF WAY"/>
    <s v="SF  "/>
    <s v="SF"/>
    <m/>
    <m/>
    <n v="1500000"/>
    <n v="0"/>
    <n v="0"/>
    <n v="0"/>
    <n v="0"/>
    <n v="0"/>
    <n v="0"/>
    <n v="0"/>
    <n v="0"/>
    <n v="0"/>
    <n v="0"/>
    <n v="0"/>
    <n v="0"/>
    <n v="0"/>
    <n v="0"/>
    <n v="0"/>
    <n v="1500000"/>
    <n v="0"/>
    <n v="1500000"/>
    <n v="0"/>
    <n v="0"/>
    <n v="1500000"/>
    <n v="55280896"/>
    <n v="30333452"/>
    <n v="2016"/>
    <m/>
    <m/>
    <m/>
    <m/>
    <m/>
    <m/>
    <s v="NO"/>
    <s v="NO"/>
    <s v="8th District"/>
    <s v="NO"/>
    <s v="NO"/>
    <s v="Yes"/>
    <s v="NO"/>
    <m/>
    <n v="0"/>
    <m/>
    <m/>
    <m/>
    <m/>
    <m/>
    <n v="0"/>
    <m/>
    <m/>
    <n v="0"/>
    <m/>
    <m/>
    <m/>
    <m/>
    <m/>
    <n v="0"/>
    <m/>
    <m/>
    <m/>
    <m/>
    <m/>
    <n v="0"/>
    <m/>
    <m/>
    <m/>
    <m/>
    <m/>
    <n v="0"/>
    <m/>
    <m/>
    <m/>
    <m/>
    <m/>
    <n v="0"/>
    <m/>
    <m/>
    <m/>
    <m/>
    <m/>
    <n v="0"/>
    <m/>
    <m/>
    <m/>
    <m/>
    <m/>
    <n v="0"/>
    <m/>
    <m/>
    <m/>
    <m/>
    <n v="1"/>
    <n v="1500000"/>
    <s v="Right of way"/>
    <m/>
    <m/>
    <m/>
    <n v="1"/>
    <n v="1500000"/>
  </r>
  <r>
    <m/>
    <n v="1"/>
    <n v="1"/>
    <s v="MN"/>
    <n v="999"/>
    <s v="MN 999"/>
    <s v="8801-RW-17"/>
    <x v="9"/>
    <m/>
    <s v="S"/>
    <s v="MNDOT"/>
    <m/>
    <s v="DISTRICTWIDE SETASIDES - R/W ACQUISITION/ACC MGMT - 2017"/>
    <n v="0"/>
    <n v="0"/>
    <n v="0"/>
    <m/>
    <s v="DISTRICTWIDE"/>
    <s v="RW"/>
    <s v="RW "/>
    <s v="RW"/>
    <m/>
    <s v="RW - RIGHT OF WAY"/>
    <s v="RIGHT OF WAY"/>
    <s v="SF  "/>
    <s v="SF"/>
    <m/>
    <m/>
    <n v="1000000"/>
    <n v="0"/>
    <n v="0"/>
    <n v="0"/>
    <n v="0"/>
    <n v="0"/>
    <n v="0"/>
    <n v="0"/>
    <n v="0"/>
    <n v="0"/>
    <n v="0"/>
    <n v="0"/>
    <n v="0"/>
    <n v="0"/>
    <n v="0"/>
    <n v="0"/>
    <n v="1000000"/>
    <n v="0"/>
    <n v="1000000"/>
    <n v="0"/>
    <n v="0"/>
    <n v="1000000"/>
    <n v="46128499.700000003"/>
    <n v="36003233.299999997"/>
    <n v="2017"/>
    <m/>
    <m/>
    <m/>
    <m/>
    <m/>
    <m/>
    <s v="NO"/>
    <s v="NO"/>
    <s v="8th District"/>
    <s v="NO"/>
    <s v="NO"/>
    <s v="Yes"/>
    <s v="NO"/>
    <m/>
    <n v="0"/>
    <m/>
    <m/>
    <m/>
    <m/>
    <m/>
    <n v="0"/>
    <m/>
    <m/>
    <n v="0"/>
    <m/>
    <m/>
    <m/>
    <m/>
    <m/>
    <n v="0"/>
    <m/>
    <m/>
    <m/>
    <m/>
    <m/>
    <n v="0"/>
    <m/>
    <m/>
    <m/>
    <m/>
    <m/>
    <n v="0"/>
    <m/>
    <m/>
    <m/>
    <m/>
    <m/>
    <n v="0"/>
    <m/>
    <m/>
    <m/>
    <m/>
    <m/>
    <n v="0"/>
    <m/>
    <m/>
    <m/>
    <m/>
    <m/>
    <n v="0"/>
    <m/>
    <m/>
    <m/>
    <m/>
    <n v="1"/>
    <n v="1000000"/>
    <s v="Right of way"/>
    <m/>
    <m/>
    <m/>
    <n v="1"/>
    <n v="1000000"/>
  </r>
  <r>
    <m/>
    <n v="6"/>
    <n v="6"/>
    <s v="MN"/>
    <n v="999"/>
    <s v="MN 999"/>
    <s v="8806-RW-20"/>
    <x v="5"/>
    <m/>
    <s v="S"/>
    <s v="MNDOT"/>
    <m/>
    <s v="DISTRICTWIDE SETASIDES - R/W - 2020"/>
    <m/>
    <m/>
    <n v="0"/>
    <m/>
    <s v="DISTRICTWIDE"/>
    <s v="RW"/>
    <s v="R/W "/>
    <s v="R/W"/>
    <m/>
    <s v="SETA - SET ASIDE"/>
    <s v="RIGHT OF WAY"/>
    <s v="SF  "/>
    <s v="SF"/>
    <m/>
    <m/>
    <n v="4500000"/>
    <n v="0"/>
    <n v="0"/>
    <n v="0"/>
    <n v="0"/>
    <n v="0"/>
    <n v="0"/>
    <n v="0"/>
    <n v="0"/>
    <n v="0"/>
    <n v="0"/>
    <n v="0"/>
    <n v="0"/>
    <n v="0"/>
    <n v="0"/>
    <n v="0"/>
    <n v="4500000"/>
    <n v="0"/>
    <n v="4500000"/>
    <n v="0"/>
    <n v="0"/>
    <n v="4500000"/>
    <m/>
    <m/>
    <n v="2020"/>
    <m/>
    <m/>
    <m/>
    <m/>
    <m/>
    <m/>
    <m/>
    <m/>
    <m/>
    <m/>
    <m/>
    <m/>
    <m/>
    <m/>
    <n v="0"/>
    <m/>
    <m/>
    <m/>
    <m/>
    <m/>
    <n v="0"/>
    <m/>
    <m/>
    <n v="0"/>
    <m/>
    <m/>
    <m/>
    <m/>
    <m/>
    <n v="0"/>
    <m/>
    <m/>
    <m/>
    <m/>
    <m/>
    <n v="0"/>
    <m/>
    <m/>
    <m/>
    <m/>
    <m/>
    <n v="0"/>
    <m/>
    <m/>
    <m/>
    <m/>
    <m/>
    <n v="0"/>
    <m/>
    <m/>
    <m/>
    <m/>
    <m/>
    <n v="0"/>
    <m/>
    <m/>
    <m/>
    <m/>
    <m/>
    <n v="0"/>
    <m/>
    <m/>
    <m/>
    <m/>
    <n v="1"/>
    <n v="4500000"/>
    <s v="Right of way"/>
    <m/>
    <m/>
    <m/>
    <n v="1"/>
    <n v="4500000"/>
  </r>
  <r>
    <m/>
    <n v="1"/>
    <n v="1"/>
    <s v="MN"/>
    <n v="999"/>
    <s v="MN 999"/>
    <s v="8801-RX-14"/>
    <x v="0"/>
    <m/>
    <s v="S"/>
    <s v="MNDOT"/>
    <m/>
    <s v="DISTRICTWIDE SETASIDES  - ROAD REPAIR-2014"/>
    <n v="0"/>
    <n v="0"/>
    <n v="0"/>
    <m/>
    <s v="DISTRICTWIDE"/>
    <s v="RX"/>
    <s v="1-M "/>
    <s v="1-M"/>
    <m/>
    <s v="SETA - SET ASIDE"/>
    <s v="ROAD REPAIR"/>
    <s v="SF  "/>
    <s v="SF"/>
    <m/>
    <m/>
    <n v="1500000"/>
    <n v="0"/>
    <n v="0"/>
    <n v="0"/>
    <n v="0"/>
    <n v="0"/>
    <n v="0"/>
    <n v="0"/>
    <n v="0"/>
    <n v="0"/>
    <n v="0"/>
    <n v="0"/>
    <n v="0"/>
    <n v="0"/>
    <n v="0"/>
    <n v="0"/>
    <n v="1500000"/>
    <n v="0"/>
    <n v="1500000"/>
    <n v="0"/>
    <n v="0"/>
    <n v="1500000"/>
    <n v="40934695"/>
    <n v="13544287"/>
    <n v="2014"/>
    <m/>
    <m/>
    <m/>
    <m/>
    <m/>
    <m/>
    <s v="NO"/>
    <s v="NO"/>
    <s v="8th District"/>
    <s v="NO"/>
    <s v="NO"/>
    <s v="Yes"/>
    <s v="NO"/>
    <n v="0.5"/>
    <n v="750000"/>
    <m/>
    <m/>
    <m/>
    <m/>
    <n v="0.25"/>
    <n v="375000"/>
    <m/>
    <n v="0.25"/>
    <n v="375000"/>
    <m/>
    <m/>
    <m/>
    <m/>
    <m/>
    <n v="0"/>
    <m/>
    <m/>
    <m/>
    <m/>
    <m/>
    <n v="0"/>
    <m/>
    <m/>
    <m/>
    <m/>
    <m/>
    <n v="0"/>
    <m/>
    <m/>
    <m/>
    <m/>
    <m/>
    <n v="0"/>
    <m/>
    <m/>
    <m/>
    <m/>
    <m/>
    <n v="0"/>
    <m/>
    <m/>
    <m/>
    <m/>
    <m/>
    <n v="0"/>
    <m/>
    <m/>
    <m/>
    <m/>
    <m/>
    <n v="0"/>
    <m/>
    <m/>
    <m/>
    <m/>
    <n v="1"/>
    <n v="1500000"/>
  </r>
  <r>
    <m/>
    <n v="1"/>
    <n v="1"/>
    <s v="MN"/>
    <n v="999"/>
    <s v="MN 999"/>
    <s v="8801-RX-15"/>
    <x v="1"/>
    <m/>
    <s v="S"/>
    <s v="MNDOT"/>
    <m/>
    <s v="DISTRICTWIDE SETASIDES  - ROAD REPAIR-2015"/>
    <n v="0"/>
    <n v="0"/>
    <n v="0"/>
    <m/>
    <s v="DISTRICTWIDE"/>
    <s v="RX"/>
    <s v="1-M "/>
    <s v="1-M"/>
    <m/>
    <s v="SETA - SET ASIDE"/>
    <s v="ROAD REPAIR"/>
    <s v="SF  "/>
    <s v="SF"/>
    <m/>
    <m/>
    <n v="2600000"/>
    <n v="0"/>
    <n v="0"/>
    <n v="0"/>
    <n v="0"/>
    <n v="0"/>
    <n v="0"/>
    <n v="0"/>
    <n v="0"/>
    <n v="0"/>
    <n v="0"/>
    <n v="0"/>
    <n v="0"/>
    <n v="0"/>
    <n v="0"/>
    <n v="0"/>
    <n v="2600000"/>
    <n v="0"/>
    <n v="2600000"/>
    <n v="0"/>
    <n v="0"/>
    <n v="2600000"/>
    <n v="42117612"/>
    <n v="23265500"/>
    <n v="2015"/>
    <m/>
    <m/>
    <m/>
    <m/>
    <m/>
    <m/>
    <s v="NO"/>
    <s v="NO"/>
    <s v="8th District"/>
    <s v="NO"/>
    <s v="NO"/>
    <s v="Yes"/>
    <s v="NO"/>
    <n v="0.5"/>
    <n v="1300000"/>
    <m/>
    <m/>
    <m/>
    <m/>
    <n v="0.25"/>
    <n v="650000"/>
    <m/>
    <n v="0.25"/>
    <n v="650000"/>
    <m/>
    <m/>
    <m/>
    <m/>
    <m/>
    <n v="0"/>
    <m/>
    <m/>
    <m/>
    <m/>
    <m/>
    <n v="0"/>
    <m/>
    <m/>
    <m/>
    <m/>
    <m/>
    <n v="0"/>
    <m/>
    <m/>
    <m/>
    <m/>
    <m/>
    <n v="0"/>
    <m/>
    <m/>
    <m/>
    <m/>
    <m/>
    <n v="0"/>
    <m/>
    <m/>
    <m/>
    <m/>
    <m/>
    <n v="0"/>
    <m/>
    <m/>
    <m/>
    <m/>
    <m/>
    <n v="0"/>
    <m/>
    <m/>
    <m/>
    <m/>
    <n v="1"/>
    <n v="2600000"/>
  </r>
  <r>
    <m/>
    <n v="1"/>
    <n v="1"/>
    <s v="MN"/>
    <n v="999"/>
    <s v="MN 999"/>
    <s v="8801-RX-16"/>
    <x v="2"/>
    <m/>
    <s v="S"/>
    <s v="MNDOT"/>
    <m/>
    <s v="DISTRICTWIDE SETASIDES  - ROAD REPAIR-2016"/>
    <n v="0"/>
    <n v="0"/>
    <n v="0"/>
    <m/>
    <s v="DISTRICTWIDE"/>
    <s v="RX"/>
    <s v="1-M "/>
    <s v="1-M"/>
    <m/>
    <s v="SETA - SET ASIDE"/>
    <s v="ROAD REPAIR"/>
    <s v="SF  "/>
    <s v="SF"/>
    <m/>
    <m/>
    <n v="2700000"/>
    <n v="0"/>
    <n v="0"/>
    <n v="0"/>
    <n v="0"/>
    <n v="0"/>
    <n v="0"/>
    <n v="0"/>
    <n v="0"/>
    <n v="0"/>
    <n v="0"/>
    <n v="0"/>
    <n v="0"/>
    <n v="0"/>
    <n v="0"/>
    <n v="0"/>
    <n v="2700000"/>
    <n v="0"/>
    <n v="2700000"/>
    <n v="0"/>
    <n v="0"/>
    <n v="2700000"/>
    <n v="55280896"/>
    <n v="21733452"/>
    <n v="2016"/>
    <m/>
    <m/>
    <m/>
    <m/>
    <m/>
    <m/>
    <s v="NO"/>
    <s v="NO"/>
    <s v="8th District"/>
    <s v="NO"/>
    <s v="NO"/>
    <s v="Yes"/>
    <s v="NO"/>
    <n v="0.5"/>
    <n v="1350000"/>
    <m/>
    <m/>
    <m/>
    <m/>
    <n v="0.25"/>
    <n v="675000"/>
    <m/>
    <n v="0.25"/>
    <n v="675000"/>
    <m/>
    <m/>
    <m/>
    <m/>
    <m/>
    <n v="0"/>
    <m/>
    <m/>
    <m/>
    <m/>
    <m/>
    <n v="0"/>
    <m/>
    <m/>
    <m/>
    <m/>
    <m/>
    <n v="0"/>
    <m/>
    <m/>
    <m/>
    <m/>
    <m/>
    <n v="0"/>
    <m/>
    <m/>
    <m/>
    <m/>
    <m/>
    <n v="0"/>
    <m/>
    <m/>
    <m/>
    <m/>
    <m/>
    <n v="0"/>
    <m/>
    <m/>
    <m/>
    <m/>
    <m/>
    <n v="0"/>
    <m/>
    <m/>
    <m/>
    <m/>
    <n v="1"/>
    <n v="2700000"/>
  </r>
  <r>
    <m/>
    <n v="1"/>
    <n v="1"/>
    <s v="MN"/>
    <n v="999"/>
    <s v="MN 999"/>
    <s v="8801-RX-17"/>
    <x v="9"/>
    <m/>
    <s v="S"/>
    <s v="MNDOT"/>
    <m/>
    <s v="DISTRICTWIDE SETASIDES  - ROAD REPAIR-2017"/>
    <n v="0"/>
    <n v="0"/>
    <n v="0"/>
    <m/>
    <s v="DISTRICTWIDE"/>
    <s v="RX"/>
    <s v="1-M "/>
    <s v="1-M"/>
    <m/>
    <s v="SETA - SET ASIDE"/>
    <s v="ROAD REPAIR"/>
    <s v="SF  "/>
    <s v="SF"/>
    <m/>
    <m/>
    <n v="3000000"/>
    <n v="0"/>
    <n v="0"/>
    <n v="0"/>
    <n v="0"/>
    <n v="0"/>
    <n v="0"/>
    <n v="0"/>
    <n v="0"/>
    <n v="0"/>
    <n v="0"/>
    <n v="0"/>
    <n v="0"/>
    <n v="0"/>
    <n v="0"/>
    <n v="0"/>
    <n v="3000000"/>
    <n v="0"/>
    <n v="3000000"/>
    <n v="0"/>
    <n v="0"/>
    <n v="3000000"/>
    <n v="46128499.700000003"/>
    <n v="28303233.300000001"/>
    <n v="2017"/>
    <m/>
    <m/>
    <m/>
    <m/>
    <m/>
    <m/>
    <s v="NO"/>
    <s v="NO"/>
    <s v="8th District"/>
    <s v="NO"/>
    <s v="NO"/>
    <s v="Yes"/>
    <s v="NO"/>
    <n v="0.5"/>
    <n v="1500000"/>
    <m/>
    <m/>
    <m/>
    <m/>
    <n v="0.25"/>
    <n v="750000"/>
    <m/>
    <n v="0.25"/>
    <n v="750000"/>
    <m/>
    <m/>
    <m/>
    <m/>
    <m/>
    <n v="0"/>
    <m/>
    <m/>
    <m/>
    <m/>
    <m/>
    <n v="0"/>
    <m/>
    <m/>
    <m/>
    <m/>
    <m/>
    <n v="0"/>
    <m/>
    <m/>
    <m/>
    <m/>
    <m/>
    <n v="0"/>
    <m/>
    <m/>
    <m/>
    <m/>
    <m/>
    <n v="0"/>
    <m/>
    <m/>
    <m/>
    <m/>
    <m/>
    <n v="0"/>
    <m/>
    <m/>
    <m/>
    <m/>
    <m/>
    <n v="0"/>
    <m/>
    <m/>
    <m/>
    <m/>
    <n v="1"/>
    <n v="3000000"/>
  </r>
  <r>
    <m/>
    <n v="1"/>
    <n v="1"/>
    <s v="MN"/>
    <n v="999"/>
    <s v="MN 999"/>
    <s v="8801-SA-14"/>
    <x v="0"/>
    <m/>
    <s v="S"/>
    <s v="MNDOT"/>
    <m/>
    <s v="DISTRICTWIDE SETASIDES  - SUPPLEMENTAL AGREEMENTS-2014"/>
    <n v="0"/>
    <n v="0"/>
    <n v="0"/>
    <m/>
    <s v="DISTRICTWIDE"/>
    <s v="SA"/>
    <s v="SA "/>
    <s v="SA"/>
    <m/>
    <s v="SETA - SET ASIDE"/>
    <s v="SUPP. AGREE. &amp; COST OVERRUNS"/>
    <s v="SF  "/>
    <s v="SF"/>
    <m/>
    <m/>
    <n v="4000000"/>
    <n v="0"/>
    <n v="0"/>
    <n v="0"/>
    <n v="0"/>
    <n v="0"/>
    <n v="0"/>
    <n v="0"/>
    <n v="0"/>
    <n v="0"/>
    <n v="0"/>
    <n v="0"/>
    <n v="0"/>
    <n v="0"/>
    <n v="0"/>
    <n v="0"/>
    <n v="4000000"/>
    <n v="0"/>
    <n v="4000000"/>
    <n v="0"/>
    <n v="0"/>
    <n v="4000000"/>
    <n v="40934695"/>
    <n v="17544287"/>
    <n v="2014"/>
    <m/>
    <m/>
    <m/>
    <m/>
    <m/>
    <m/>
    <s v="NO"/>
    <s v="NO"/>
    <s v="8th District"/>
    <s v="NO"/>
    <s v="NO"/>
    <s v="Yes"/>
    <s v="NO"/>
    <m/>
    <n v="0"/>
    <m/>
    <m/>
    <m/>
    <m/>
    <m/>
    <n v="0"/>
    <m/>
    <m/>
    <n v="0"/>
    <m/>
    <m/>
    <m/>
    <m/>
    <m/>
    <n v="0"/>
    <m/>
    <m/>
    <m/>
    <m/>
    <m/>
    <n v="0"/>
    <m/>
    <m/>
    <m/>
    <m/>
    <m/>
    <n v="0"/>
    <m/>
    <m/>
    <m/>
    <m/>
    <m/>
    <n v="0"/>
    <m/>
    <m/>
    <m/>
    <m/>
    <m/>
    <n v="0"/>
    <m/>
    <m/>
    <m/>
    <m/>
    <m/>
    <n v="0"/>
    <m/>
    <m/>
    <m/>
    <m/>
    <n v="1"/>
    <n v="4000000"/>
    <s v="Supplemental agreements"/>
    <m/>
    <m/>
    <m/>
    <n v="1"/>
    <n v="4000000"/>
  </r>
  <r>
    <m/>
    <n v="1"/>
    <n v="1"/>
    <s v="MN"/>
    <n v="999"/>
    <s v="MN 999"/>
    <s v="8801-SA-15"/>
    <x v="1"/>
    <m/>
    <s v="S"/>
    <s v="MNDOT"/>
    <m/>
    <s v="DISTRICTWIDE SETASIDES  - SUPPLEMENTAL AGREEMENTS-2015"/>
    <n v="0"/>
    <n v="0"/>
    <n v="0"/>
    <m/>
    <s v="DISTRICTWIDE"/>
    <s v="SA"/>
    <s v="SA "/>
    <s v="SA"/>
    <m/>
    <s v="SETA - SET ASIDE"/>
    <s v="SUPP. AGREE. &amp; COST OVERRUNS"/>
    <s v="SF  "/>
    <s v="SF"/>
    <m/>
    <m/>
    <n v="4500000"/>
    <n v="0"/>
    <n v="0"/>
    <n v="0"/>
    <n v="0"/>
    <n v="0"/>
    <n v="0"/>
    <n v="0"/>
    <n v="0"/>
    <n v="0"/>
    <n v="0"/>
    <n v="0"/>
    <n v="0"/>
    <n v="0"/>
    <n v="0"/>
    <n v="0"/>
    <n v="4500000"/>
    <n v="0"/>
    <n v="4500000"/>
    <n v="0"/>
    <n v="0"/>
    <n v="4500000"/>
    <n v="42117612"/>
    <n v="27765500"/>
    <n v="2015"/>
    <m/>
    <m/>
    <m/>
    <m/>
    <m/>
    <m/>
    <s v="NO"/>
    <s v="NO"/>
    <s v="8th District"/>
    <s v="NO"/>
    <s v="NO"/>
    <s v="Yes"/>
    <s v="NO"/>
    <m/>
    <n v="0"/>
    <m/>
    <m/>
    <m/>
    <m/>
    <m/>
    <n v="0"/>
    <m/>
    <m/>
    <n v="0"/>
    <m/>
    <m/>
    <m/>
    <m/>
    <m/>
    <n v="0"/>
    <m/>
    <m/>
    <m/>
    <m/>
    <m/>
    <n v="0"/>
    <m/>
    <m/>
    <m/>
    <m/>
    <m/>
    <n v="0"/>
    <m/>
    <m/>
    <m/>
    <m/>
    <m/>
    <n v="0"/>
    <m/>
    <m/>
    <m/>
    <m/>
    <m/>
    <n v="0"/>
    <m/>
    <m/>
    <m/>
    <m/>
    <m/>
    <n v="0"/>
    <m/>
    <m/>
    <m/>
    <m/>
    <n v="1"/>
    <n v="4500000"/>
    <s v="Supplemental agreements"/>
    <m/>
    <m/>
    <m/>
    <n v="1"/>
    <n v="4500000"/>
  </r>
  <r>
    <m/>
    <n v="1"/>
    <n v="1"/>
    <s v="MN"/>
    <n v="999"/>
    <s v="MN 999"/>
    <s v="8801-SA-16"/>
    <x v="2"/>
    <m/>
    <s v="S"/>
    <s v="MNDOT"/>
    <m/>
    <s v="DISTRICTWIDE SETASIDES  - SUPPLEMENTAL AGREEMENTS-2016"/>
    <n v="0"/>
    <n v="0"/>
    <n v="0"/>
    <m/>
    <s v="DISTRICTWIDE"/>
    <s v="SA"/>
    <s v="SA "/>
    <s v="SA"/>
    <m/>
    <s v="SETA - SET ASIDE"/>
    <s v="SUPP. AGREE. &amp; COST OVERRUNS"/>
    <s v="SF  "/>
    <s v="SF"/>
    <m/>
    <m/>
    <n v="5700000"/>
    <n v="0"/>
    <n v="0"/>
    <n v="0"/>
    <n v="0"/>
    <n v="0"/>
    <n v="0"/>
    <n v="0"/>
    <n v="0"/>
    <n v="0"/>
    <n v="0"/>
    <n v="0"/>
    <n v="0"/>
    <n v="0"/>
    <n v="0"/>
    <n v="0"/>
    <n v="5700000"/>
    <n v="0"/>
    <n v="5700000"/>
    <n v="0"/>
    <n v="0"/>
    <n v="5700000"/>
    <n v="55280896"/>
    <n v="27433452"/>
    <n v="2016"/>
    <m/>
    <m/>
    <m/>
    <m/>
    <m/>
    <m/>
    <s v="NO"/>
    <s v="NO"/>
    <s v="8th District"/>
    <s v="NO"/>
    <s v="NO"/>
    <s v="Yes"/>
    <s v="NO"/>
    <m/>
    <n v="0"/>
    <m/>
    <m/>
    <m/>
    <m/>
    <m/>
    <n v="0"/>
    <m/>
    <m/>
    <n v="0"/>
    <m/>
    <m/>
    <m/>
    <m/>
    <m/>
    <n v="0"/>
    <m/>
    <m/>
    <m/>
    <m/>
    <m/>
    <n v="0"/>
    <m/>
    <m/>
    <m/>
    <m/>
    <m/>
    <n v="0"/>
    <m/>
    <m/>
    <m/>
    <m/>
    <m/>
    <n v="0"/>
    <m/>
    <m/>
    <m/>
    <m/>
    <m/>
    <n v="0"/>
    <m/>
    <m/>
    <m/>
    <m/>
    <m/>
    <n v="0"/>
    <m/>
    <m/>
    <m/>
    <m/>
    <n v="1"/>
    <n v="5700000"/>
    <s v="Supplemental agreements"/>
    <m/>
    <m/>
    <m/>
    <n v="1"/>
    <n v="5700000"/>
  </r>
  <r>
    <m/>
    <n v="1"/>
    <n v="1"/>
    <s v="MN"/>
    <n v="999"/>
    <s v="MN 999"/>
    <s v="8801-SA-17"/>
    <x v="9"/>
    <m/>
    <s v="S"/>
    <s v="MNDOT"/>
    <m/>
    <s v="DISTRICTWIDE SETASIDES  - SUPPLEMENTAL AGREEMENTS-2017"/>
    <n v="0"/>
    <n v="0"/>
    <n v="0"/>
    <m/>
    <s v="DISTRICTWIDE"/>
    <s v="SA"/>
    <s v="SA "/>
    <s v="SA"/>
    <m/>
    <s v="SETA - SET ASIDE"/>
    <s v="SUPP. AGREE. &amp; COST OVERRUNS"/>
    <s v="SF  "/>
    <s v="SF"/>
    <m/>
    <m/>
    <n v="6100000"/>
    <n v="0"/>
    <n v="0"/>
    <n v="0"/>
    <n v="0"/>
    <n v="0"/>
    <n v="0"/>
    <n v="0"/>
    <n v="0"/>
    <n v="0"/>
    <n v="0"/>
    <n v="0"/>
    <n v="0"/>
    <n v="0"/>
    <n v="0"/>
    <n v="0"/>
    <n v="6100000"/>
    <n v="0"/>
    <n v="6100000"/>
    <n v="0"/>
    <n v="0"/>
    <n v="6100000"/>
    <n v="46128499.700000003"/>
    <n v="34403233.299999997"/>
    <n v="2017"/>
    <m/>
    <m/>
    <m/>
    <m/>
    <m/>
    <m/>
    <s v="NO"/>
    <s v="NO"/>
    <s v="8th District"/>
    <s v="NO"/>
    <s v="NO"/>
    <s v="Yes"/>
    <s v="NO"/>
    <m/>
    <n v="0"/>
    <m/>
    <m/>
    <m/>
    <m/>
    <m/>
    <n v="0"/>
    <m/>
    <m/>
    <n v="0"/>
    <m/>
    <m/>
    <m/>
    <m/>
    <m/>
    <n v="0"/>
    <m/>
    <m/>
    <m/>
    <m/>
    <m/>
    <n v="0"/>
    <m/>
    <m/>
    <m/>
    <m/>
    <m/>
    <n v="0"/>
    <m/>
    <m/>
    <m/>
    <m/>
    <m/>
    <n v="0"/>
    <m/>
    <m/>
    <m/>
    <m/>
    <m/>
    <n v="0"/>
    <m/>
    <m/>
    <m/>
    <m/>
    <m/>
    <n v="0"/>
    <m/>
    <m/>
    <m/>
    <m/>
    <n v="1"/>
    <n v="6100000"/>
    <s v="Supplemental agreements"/>
    <m/>
    <m/>
    <m/>
    <n v="1"/>
    <n v="6100000"/>
  </r>
  <r>
    <m/>
    <n v="1"/>
    <n v="1"/>
    <s v="MN"/>
    <n v="999"/>
    <s v="MN 999"/>
    <s v="8801-SE-14"/>
    <x v="0"/>
    <m/>
    <s v="S"/>
    <s v="MNDOT"/>
    <m/>
    <s v="DISTRICTWIDE SETASIDES  - SAFETY ENHANCEMENTS-2014"/>
    <n v="0"/>
    <n v="0"/>
    <n v="0"/>
    <m/>
    <s v="DISTRICTWIDE"/>
    <s v="SC"/>
    <s v="7-O-P "/>
    <s v="7-O-P"/>
    <m/>
    <s v="SETA - SET ASIDE"/>
    <s v="MISCELLANEOUS"/>
    <s v="SF  "/>
    <s v="SF"/>
    <m/>
    <m/>
    <n v="500000"/>
    <n v="0"/>
    <n v="0"/>
    <n v="0"/>
    <n v="0"/>
    <n v="0"/>
    <n v="0"/>
    <n v="0"/>
    <n v="0"/>
    <n v="0"/>
    <n v="0"/>
    <n v="0"/>
    <n v="0"/>
    <n v="0"/>
    <n v="0"/>
    <n v="0"/>
    <n v="500000"/>
    <n v="0"/>
    <n v="500000"/>
    <n v="0"/>
    <n v="0"/>
    <n v="500000"/>
    <n v="40934695"/>
    <n v="18044287"/>
    <n v="2014"/>
    <m/>
    <m/>
    <m/>
    <m/>
    <m/>
    <m/>
    <s v="NO"/>
    <s v="NO"/>
    <s v="8th District"/>
    <s v="NO"/>
    <s v="NO"/>
    <s v="Yes"/>
    <s v="NO"/>
    <m/>
    <n v="0"/>
    <m/>
    <m/>
    <m/>
    <m/>
    <m/>
    <n v="0"/>
    <m/>
    <m/>
    <n v="0"/>
    <m/>
    <m/>
    <m/>
    <m/>
    <n v="1"/>
    <n v="500000"/>
    <s v="Low cost high benefit"/>
    <m/>
    <m/>
    <m/>
    <m/>
    <n v="0"/>
    <m/>
    <m/>
    <m/>
    <m/>
    <m/>
    <n v="0"/>
    <m/>
    <m/>
    <m/>
    <m/>
    <m/>
    <n v="0"/>
    <m/>
    <m/>
    <m/>
    <m/>
    <m/>
    <n v="0"/>
    <m/>
    <m/>
    <m/>
    <m/>
    <m/>
    <n v="0"/>
    <m/>
    <m/>
    <m/>
    <m/>
    <m/>
    <n v="0"/>
    <m/>
    <m/>
    <m/>
    <m/>
    <n v="1"/>
    <n v="500000"/>
  </r>
  <r>
    <m/>
    <n v="1"/>
    <n v="1"/>
    <s v="MN"/>
    <n v="999"/>
    <s v="MN 999"/>
    <s v="8801-SE-15"/>
    <x v="1"/>
    <m/>
    <s v="S"/>
    <s v="MNDOT"/>
    <m/>
    <s v="DISTRICTWIDE SETASIDES  - SAFETY ENHANCEMENTS-2015"/>
    <n v="0"/>
    <n v="0"/>
    <n v="0"/>
    <m/>
    <s v="DISTRICTWIDE"/>
    <s v="SC"/>
    <s v="7-O-P "/>
    <s v="7-O-P"/>
    <m/>
    <s v="SETA - SET ASIDE"/>
    <s v="MISCELLANEOUS"/>
    <s v="SF  "/>
    <s v="SF"/>
    <m/>
    <m/>
    <n v="900000"/>
    <n v="0"/>
    <n v="0"/>
    <n v="0"/>
    <n v="0"/>
    <n v="0"/>
    <n v="0"/>
    <n v="0"/>
    <n v="0"/>
    <n v="0"/>
    <n v="0"/>
    <n v="0"/>
    <n v="0"/>
    <n v="0"/>
    <n v="0"/>
    <n v="0"/>
    <n v="900000"/>
    <n v="0"/>
    <n v="900000"/>
    <n v="0"/>
    <n v="0"/>
    <n v="900000"/>
    <n v="42117612"/>
    <n v="28665500"/>
    <n v="2015"/>
    <m/>
    <m/>
    <m/>
    <m/>
    <m/>
    <m/>
    <s v="NO"/>
    <s v="NO"/>
    <s v="8th District"/>
    <s v="NO"/>
    <s v="NO"/>
    <s v="Yes"/>
    <s v="NO"/>
    <m/>
    <n v="0"/>
    <m/>
    <m/>
    <m/>
    <m/>
    <m/>
    <n v="0"/>
    <m/>
    <m/>
    <n v="0"/>
    <m/>
    <m/>
    <m/>
    <m/>
    <n v="1"/>
    <n v="900000"/>
    <s v="Low cost high benefit"/>
    <m/>
    <m/>
    <m/>
    <m/>
    <n v="0"/>
    <m/>
    <m/>
    <m/>
    <m/>
    <m/>
    <n v="0"/>
    <m/>
    <m/>
    <m/>
    <m/>
    <m/>
    <n v="0"/>
    <m/>
    <m/>
    <m/>
    <m/>
    <m/>
    <n v="0"/>
    <m/>
    <m/>
    <m/>
    <m/>
    <m/>
    <n v="0"/>
    <m/>
    <m/>
    <m/>
    <m/>
    <m/>
    <n v="0"/>
    <m/>
    <m/>
    <m/>
    <m/>
    <n v="1"/>
    <n v="900000"/>
  </r>
  <r>
    <m/>
    <n v="1"/>
    <n v="1"/>
    <s v="MN"/>
    <n v="999"/>
    <s v="MN 999"/>
    <s v="8801-SE-16"/>
    <x v="2"/>
    <m/>
    <s v="S"/>
    <s v="MNDOT"/>
    <m/>
    <s v="DISTRICTWIDE SETASIDES  - SAFETY ENHANCEMENTS-2016"/>
    <n v="0"/>
    <n v="0"/>
    <n v="0"/>
    <m/>
    <s v="DISTRICTWIDE"/>
    <s v="SC"/>
    <s v="7-O-P "/>
    <s v="7-O-P"/>
    <m/>
    <s v="SETA - SET ASIDE"/>
    <s v="MISCELLANEOUS"/>
    <s v="SF  "/>
    <s v="SF"/>
    <m/>
    <m/>
    <n v="600000"/>
    <n v="0"/>
    <n v="0"/>
    <n v="0"/>
    <n v="0"/>
    <n v="0"/>
    <n v="0"/>
    <n v="0"/>
    <n v="0"/>
    <n v="0"/>
    <n v="0"/>
    <n v="0"/>
    <n v="0"/>
    <n v="0"/>
    <n v="0"/>
    <n v="0"/>
    <n v="600000"/>
    <n v="0"/>
    <n v="600000"/>
    <n v="0"/>
    <n v="0"/>
    <n v="600000"/>
    <n v="55280896"/>
    <n v="28033452"/>
    <n v="2016"/>
    <m/>
    <m/>
    <m/>
    <m/>
    <m/>
    <m/>
    <s v="NO"/>
    <s v="NO"/>
    <s v="8th District"/>
    <s v="NO"/>
    <s v="NO"/>
    <s v="Yes"/>
    <s v="NO"/>
    <m/>
    <n v="0"/>
    <m/>
    <m/>
    <m/>
    <m/>
    <m/>
    <n v="0"/>
    <m/>
    <m/>
    <n v="0"/>
    <m/>
    <m/>
    <m/>
    <m/>
    <n v="1"/>
    <n v="600000"/>
    <s v="Low cost high benefit"/>
    <m/>
    <m/>
    <m/>
    <m/>
    <n v="0"/>
    <m/>
    <m/>
    <m/>
    <m/>
    <m/>
    <n v="0"/>
    <m/>
    <m/>
    <m/>
    <m/>
    <m/>
    <n v="0"/>
    <m/>
    <m/>
    <m/>
    <m/>
    <m/>
    <n v="0"/>
    <m/>
    <m/>
    <m/>
    <m/>
    <m/>
    <n v="0"/>
    <m/>
    <m/>
    <m/>
    <m/>
    <m/>
    <n v="0"/>
    <m/>
    <m/>
    <m/>
    <m/>
    <n v="1"/>
    <n v="600000"/>
  </r>
  <r>
    <m/>
    <n v="1"/>
    <n v="1"/>
    <s v="MN"/>
    <n v="999"/>
    <s v="MN 999"/>
    <s v="8801-SG-14"/>
    <x v="0"/>
    <m/>
    <s v="S"/>
    <s v="MNDOT"/>
    <m/>
    <s v="DISTRICTWIDE SETASIDES  - SIGNING, STRIPING, LIGHTING-2014"/>
    <n v="0"/>
    <n v="0"/>
    <n v="0"/>
    <m/>
    <s v="DISTRICTWIDE"/>
    <s v="SC"/>
    <s v="7-O-P "/>
    <s v="7-O-P"/>
    <m/>
    <s v="SETA - SET ASIDE"/>
    <s v="MISCELLANEOUS"/>
    <s v="SF  "/>
    <s v="SF"/>
    <m/>
    <m/>
    <n v="400000"/>
    <n v="0"/>
    <n v="0"/>
    <n v="0"/>
    <n v="0"/>
    <n v="0"/>
    <n v="0"/>
    <n v="0"/>
    <n v="0"/>
    <n v="0"/>
    <n v="0"/>
    <n v="0"/>
    <n v="0"/>
    <n v="0"/>
    <n v="0"/>
    <n v="0"/>
    <n v="400000"/>
    <n v="0"/>
    <n v="400000"/>
    <n v="0"/>
    <n v="0"/>
    <n v="400000"/>
    <n v="40934695"/>
    <n v="18444287"/>
    <n v="2014"/>
    <m/>
    <s v="REDUCED SETASIDE $600,000 FOR 8821-218"/>
    <m/>
    <m/>
    <m/>
    <m/>
    <s v="NO"/>
    <s v="NO"/>
    <s v="8th District"/>
    <s v="NO"/>
    <s v="NO"/>
    <s v="Yes"/>
    <s v="NO"/>
    <m/>
    <n v="0"/>
    <m/>
    <m/>
    <m/>
    <m/>
    <m/>
    <n v="0"/>
    <m/>
    <n v="1"/>
    <n v="400000"/>
    <m/>
    <m/>
    <m/>
    <m/>
    <m/>
    <n v="0"/>
    <m/>
    <m/>
    <m/>
    <m/>
    <m/>
    <n v="0"/>
    <m/>
    <m/>
    <m/>
    <m/>
    <m/>
    <n v="0"/>
    <m/>
    <m/>
    <m/>
    <m/>
    <m/>
    <n v="0"/>
    <m/>
    <m/>
    <m/>
    <m/>
    <m/>
    <n v="0"/>
    <m/>
    <m/>
    <m/>
    <m/>
    <m/>
    <n v="0"/>
    <m/>
    <m/>
    <m/>
    <m/>
    <m/>
    <n v="0"/>
    <m/>
    <m/>
    <m/>
    <m/>
    <n v="1"/>
    <n v="400000"/>
  </r>
  <r>
    <m/>
    <n v="1"/>
    <n v="1"/>
    <s v="MN"/>
    <n v="999"/>
    <s v="MN 999"/>
    <s v="8801-SG-15"/>
    <x v="1"/>
    <m/>
    <s v="S"/>
    <s v="MNDOT"/>
    <m/>
    <s v="DISTRICTWIDE SETASIDES  - SIGNING, STRIPING, LIGHTING-2015"/>
    <n v="0"/>
    <n v="0"/>
    <n v="0"/>
    <m/>
    <s v="DISTRICTWIDE"/>
    <s v="SC"/>
    <s v="7-O-P "/>
    <s v="7-O-P"/>
    <m/>
    <s v="SETA - SET ASIDE"/>
    <s v="MISCELLANEOUS"/>
    <s v="SF  "/>
    <s v="SF"/>
    <m/>
    <m/>
    <n v="1000000"/>
    <n v="0"/>
    <n v="0"/>
    <n v="0"/>
    <n v="0"/>
    <n v="0"/>
    <n v="0"/>
    <n v="0"/>
    <n v="0"/>
    <n v="0"/>
    <n v="0"/>
    <n v="0"/>
    <n v="0"/>
    <n v="0"/>
    <n v="0"/>
    <n v="0"/>
    <n v="1000000"/>
    <n v="0"/>
    <n v="1000000"/>
    <n v="0"/>
    <n v="0"/>
    <n v="1000000"/>
    <n v="42117612"/>
    <n v="29665500"/>
    <n v="2015"/>
    <m/>
    <m/>
    <m/>
    <m/>
    <m/>
    <m/>
    <s v="NO"/>
    <s v="NO"/>
    <s v="8th District"/>
    <s v="NO"/>
    <s v="NO"/>
    <s v="Yes"/>
    <s v="NO"/>
    <m/>
    <n v="0"/>
    <m/>
    <m/>
    <m/>
    <m/>
    <m/>
    <n v="0"/>
    <m/>
    <n v="1"/>
    <n v="1000000"/>
    <m/>
    <m/>
    <m/>
    <m/>
    <m/>
    <n v="0"/>
    <m/>
    <m/>
    <m/>
    <m/>
    <m/>
    <n v="0"/>
    <m/>
    <m/>
    <m/>
    <m/>
    <m/>
    <n v="0"/>
    <m/>
    <m/>
    <m/>
    <m/>
    <m/>
    <n v="0"/>
    <m/>
    <m/>
    <m/>
    <m/>
    <m/>
    <n v="0"/>
    <m/>
    <m/>
    <m/>
    <m/>
    <m/>
    <n v="0"/>
    <m/>
    <m/>
    <m/>
    <m/>
    <m/>
    <n v="0"/>
    <m/>
    <m/>
    <m/>
    <m/>
    <n v="1"/>
    <n v="1000000"/>
  </r>
  <r>
    <m/>
    <n v="1"/>
    <n v="1"/>
    <s v="MN"/>
    <n v="999"/>
    <s v="MN 999"/>
    <s v="8801-SG-16"/>
    <x v="2"/>
    <m/>
    <s v="S"/>
    <s v="MNDOT"/>
    <m/>
    <s v="DISTRICTWIDE SETASIDES  - SIGNING, STRIPING, LIGHTING-2016"/>
    <n v="0"/>
    <n v="0"/>
    <n v="0"/>
    <m/>
    <s v="DISTRICTWIDE"/>
    <s v="SC"/>
    <s v="7-O-P "/>
    <s v="7-O-P"/>
    <m/>
    <s v="SETA - SET ASIDE"/>
    <s v="MISCELLANEOUS"/>
    <s v="SF  "/>
    <s v="SF"/>
    <m/>
    <m/>
    <n v="700000"/>
    <n v="0"/>
    <n v="0"/>
    <n v="0"/>
    <n v="0"/>
    <n v="0"/>
    <n v="0"/>
    <n v="0"/>
    <n v="0"/>
    <n v="0"/>
    <n v="0"/>
    <n v="0"/>
    <n v="0"/>
    <n v="0"/>
    <n v="0"/>
    <n v="0"/>
    <n v="700000"/>
    <n v="0"/>
    <n v="700000"/>
    <n v="0"/>
    <n v="0"/>
    <n v="700000"/>
    <n v="55280896"/>
    <n v="28733452"/>
    <n v="2016"/>
    <m/>
    <m/>
    <m/>
    <m/>
    <m/>
    <m/>
    <s v="NO"/>
    <s v="NO"/>
    <s v="8th District"/>
    <s v="NO"/>
    <s v="NO"/>
    <s v="Yes"/>
    <s v="NO"/>
    <m/>
    <n v="0"/>
    <m/>
    <m/>
    <m/>
    <m/>
    <m/>
    <n v="0"/>
    <m/>
    <n v="1"/>
    <n v="700000"/>
    <m/>
    <m/>
    <m/>
    <m/>
    <m/>
    <n v="0"/>
    <m/>
    <m/>
    <m/>
    <m/>
    <m/>
    <n v="0"/>
    <m/>
    <m/>
    <m/>
    <m/>
    <m/>
    <n v="0"/>
    <m/>
    <m/>
    <m/>
    <m/>
    <m/>
    <n v="0"/>
    <m/>
    <m/>
    <m/>
    <m/>
    <m/>
    <n v="0"/>
    <m/>
    <m/>
    <m/>
    <m/>
    <m/>
    <n v="0"/>
    <m/>
    <m/>
    <m/>
    <m/>
    <m/>
    <n v="0"/>
    <m/>
    <m/>
    <m/>
    <m/>
    <n v="1"/>
    <n v="700000"/>
  </r>
  <r>
    <m/>
    <n v="1"/>
    <n v="1"/>
    <s v="MN"/>
    <n v="999"/>
    <s v="MN 999"/>
    <s v="8801-SG-17"/>
    <x v="9"/>
    <m/>
    <s v="S"/>
    <s v="MNDOT"/>
    <m/>
    <s v="DISTRICTWIDE SETASIDES  - SIGNING, STRIPING, LIGHTING-2017"/>
    <n v="0"/>
    <n v="0"/>
    <n v="0"/>
    <m/>
    <s v="DISTRICTWIDE"/>
    <s v="SC"/>
    <s v="7-O-P "/>
    <s v="7-O-P"/>
    <m/>
    <s v="SETA - SET ASIDE"/>
    <s v="MISCELLANEOUS"/>
    <s v="SF  "/>
    <s v="SF"/>
    <m/>
    <m/>
    <n v="500000"/>
    <n v="0"/>
    <n v="0"/>
    <n v="0"/>
    <n v="0"/>
    <n v="0"/>
    <n v="0"/>
    <n v="0"/>
    <n v="0"/>
    <n v="0"/>
    <n v="0"/>
    <n v="0"/>
    <n v="0"/>
    <n v="0"/>
    <n v="0"/>
    <n v="0"/>
    <n v="500000"/>
    <n v="0"/>
    <n v="500000"/>
    <n v="0"/>
    <n v="0"/>
    <n v="500000"/>
    <n v="46128499.700000003"/>
    <n v="34903233.299999997"/>
    <n v="2017"/>
    <m/>
    <m/>
    <m/>
    <m/>
    <m/>
    <m/>
    <s v="NO"/>
    <s v="NO"/>
    <s v="8th District"/>
    <s v="NO"/>
    <s v="NO"/>
    <s v="Yes"/>
    <s v="NO"/>
    <m/>
    <n v="0"/>
    <m/>
    <m/>
    <m/>
    <m/>
    <m/>
    <n v="0"/>
    <m/>
    <n v="1"/>
    <n v="500000"/>
    <m/>
    <m/>
    <m/>
    <m/>
    <m/>
    <n v="0"/>
    <m/>
    <m/>
    <m/>
    <m/>
    <m/>
    <n v="0"/>
    <m/>
    <m/>
    <m/>
    <m/>
    <m/>
    <n v="0"/>
    <m/>
    <m/>
    <m/>
    <m/>
    <m/>
    <n v="0"/>
    <m/>
    <m/>
    <m/>
    <m/>
    <m/>
    <n v="0"/>
    <m/>
    <m/>
    <m/>
    <m/>
    <m/>
    <n v="0"/>
    <m/>
    <m/>
    <m/>
    <m/>
    <m/>
    <n v="0"/>
    <m/>
    <m/>
    <m/>
    <m/>
    <n v="1"/>
    <n v="500000"/>
  </r>
  <r>
    <m/>
    <n v="1"/>
    <n v="1"/>
    <s v="MN"/>
    <n v="999"/>
    <s v="MN 999"/>
    <s v="8801-SHS-15"/>
    <x v="1"/>
    <m/>
    <s v="S"/>
    <s v="MNDOT"/>
    <m/>
    <s v="DISTRICTWIDE SETASIDE - MNDOT HSIP PROJECTS"/>
    <n v="0"/>
    <n v="0"/>
    <n v="0"/>
    <m/>
    <s v="DISTRICTWIDE"/>
    <s v="SH"/>
    <s v="7-IRC-P "/>
    <s v="7-IRC-P"/>
    <m/>
    <s v="SETA - SET ASIDE"/>
    <s v="SAFETY TARGET "/>
    <s v="HSIP  "/>
    <s v="HSIP"/>
    <m/>
    <m/>
    <n v="768000"/>
    <n v="0"/>
    <n v="0"/>
    <n v="691200"/>
    <n v="0"/>
    <n v="691200"/>
    <n v="0"/>
    <n v="0"/>
    <n v="0"/>
    <n v="0"/>
    <n v="0"/>
    <n v="0"/>
    <n v="0"/>
    <n v="0"/>
    <n v="0"/>
    <n v="0"/>
    <n v="76800"/>
    <n v="0"/>
    <n v="76800"/>
    <n v="0"/>
    <n v="0"/>
    <n v="768000"/>
    <n v="41907612"/>
    <n v="15313000"/>
    <n v="2015"/>
    <m/>
    <m/>
    <m/>
    <m/>
    <m/>
    <m/>
    <s v="NO"/>
    <s v="NO"/>
    <s v="8th District"/>
    <s v="NO"/>
    <s v="NO"/>
    <s v="Yes"/>
    <s v="NO"/>
    <m/>
    <n v="0"/>
    <m/>
    <m/>
    <m/>
    <m/>
    <m/>
    <n v="0"/>
    <m/>
    <m/>
    <n v="0"/>
    <m/>
    <m/>
    <m/>
    <m/>
    <n v="1"/>
    <n v="768000"/>
    <m/>
    <m/>
    <m/>
    <m/>
    <m/>
    <n v="0"/>
    <m/>
    <m/>
    <m/>
    <m/>
    <m/>
    <n v="0"/>
    <m/>
    <m/>
    <m/>
    <m/>
    <m/>
    <n v="0"/>
    <m/>
    <m/>
    <m/>
    <m/>
    <m/>
    <n v="0"/>
    <m/>
    <m/>
    <m/>
    <m/>
    <m/>
    <n v="0"/>
    <m/>
    <m/>
    <m/>
    <m/>
    <m/>
    <n v="0"/>
    <m/>
    <m/>
    <m/>
    <m/>
    <n v="1"/>
    <n v="768000"/>
  </r>
  <r>
    <m/>
    <n v="1"/>
    <n v="1"/>
    <s v="MN"/>
    <n v="999"/>
    <s v="MN 999"/>
    <s v="8801-SHS-16"/>
    <x v="2"/>
    <m/>
    <s v="S"/>
    <s v="MNDOT"/>
    <m/>
    <s v="DISTRICTWIDE SETASIDE - MNDOT HSIP PROJECTS"/>
    <n v="0"/>
    <n v="0"/>
    <n v="0"/>
    <m/>
    <s v="DISTRICTWIDE"/>
    <s v="SH"/>
    <s v="7-IRC-P "/>
    <s v="7-IRC-P"/>
    <m/>
    <s v="SETA - SET ASIDE"/>
    <s v="SAFETY TARGET "/>
    <s v="HSIP  "/>
    <s v="HSIP"/>
    <m/>
    <m/>
    <n v="790000"/>
    <n v="0"/>
    <n v="0"/>
    <n v="711000"/>
    <n v="0"/>
    <n v="711000"/>
    <n v="0"/>
    <n v="0"/>
    <n v="0"/>
    <n v="0"/>
    <n v="0"/>
    <n v="0"/>
    <n v="0"/>
    <n v="0"/>
    <n v="0"/>
    <n v="0"/>
    <n v="79000"/>
    <n v="0"/>
    <n v="79000"/>
    <n v="0"/>
    <n v="0"/>
    <n v="790000"/>
    <n v="55072896"/>
    <n v="13581452"/>
    <n v="2016"/>
    <m/>
    <m/>
    <m/>
    <m/>
    <m/>
    <m/>
    <s v="NO"/>
    <s v="NO"/>
    <s v="8th District"/>
    <s v="NO"/>
    <s v="NO"/>
    <s v="Yes"/>
    <s v="NO"/>
    <m/>
    <n v="0"/>
    <m/>
    <m/>
    <m/>
    <m/>
    <m/>
    <n v="0"/>
    <m/>
    <m/>
    <n v="0"/>
    <m/>
    <m/>
    <m/>
    <m/>
    <n v="1"/>
    <n v="790000"/>
    <m/>
    <m/>
    <m/>
    <m/>
    <m/>
    <n v="0"/>
    <m/>
    <m/>
    <m/>
    <m/>
    <m/>
    <n v="0"/>
    <m/>
    <m/>
    <m/>
    <m/>
    <m/>
    <n v="0"/>
    <m/>
    <m/>
    <m/>
    <m/>
    <m/>
    <n v="0"/>
    <m/>
    <m/>
    <m/>
    <m/>
    <m/>
    <n v="0"/>
    <m/>
    <m/>
    <m/>
    <m/>
    <m/>
    <n v="0"/>
    <m/>
    <m/>
    <m/>
    <m/>
    <n v="1"/>
    <n v="790000"/>
  </r>
  <r>
    <m/>
    <n v="2"/>
    <n v="2"/>
    <s v="MN"/>
    <n v="999"/>
    <s v="MN 999"/>
    <s v="8802-ADA-16"/>
    <x v="2"/>
    <s v="2016-24"/>
    <s v="S"/>
    <s v="MNDOT"/>
    <m/>
    <s v="**ADA** DISTRICTWIDE &quot;ADA&quot; FUND - 2016"/>
    <n v="0"/>
    <n v="0"/>
    <n v="0"/>
    <m/>
    <s v="DISTRICTWIDE"/>
    <s v="SC"/>
    <s v="7-O-C "/>
    <s v="7-O-C"/>
    <m/>
    <s v="TRCD - TRAFFIC CONTROL DEVICES"/>
    <s v="PEDESTRIAN RAMPS"/>
    <s v="STP STATEWIDE  "/>
    <s v="STP Statewide"/>
    <m/>
    <m/>
    <n v="150000"/>
    <n v="0"/>
    <n v="0"/>
    <n v="120000"/>
    <n v="0"/>
    <n v="120000"/>
    <n v="0"/>
    <n v="0"/>
    <n v="0"/>
    <n v="0"/>
    <n v="0"/>
    <n v="0"/>
    <n v="0"/>
    <n v="0"/>
    <n v="0"/>
    <n v="0"/>
    <n v="30000"/>
    <n v="0"/>
    <n v="30000"/>
    <n v="0"/>
    <n v="0"/>
    <n v="150000"/>
    <n v="10357804"/>
    <n v="795000"/>
    <n v="2016"/>
    <m/>
    <m/>
    <s v="ADA"/>
    <m/>
    <m/>
    <m/>
    <s v="YES"/>
    <s v="NO"/>
    <m/>
    <s v="NO"/>
    <s v="NO"/>
    <s v="Yes"/>
    <s v="NO"/>
    <n v="0"/>
    <n v="0"/>
    <m/>
    <m/>
    <m/>
    <m/>
    <n v="0"/>
    <n v="0"/>
    <m/>
    <n v="0"/>
    <n v="0"/>
    <m/>
    <m/>
    <m/>
    <m/>
    <n v="0"/>
    <n v="0"/>
    <m/>
    <m/>
    <m/>
    <m/>
    <n v="0"/>
    <n v="0"/>
    <m/>
    <m/>
    <m/>
    <m/>
    <n v="0"/>
    <n v="0"/>
    <m/>
    <m/>
    <m/>
    <m/>
    <n v="0"/>
    <n v="0"/>
    <m/>
    <m/>
    <m/>
    <m/>
    <n v="1"/>
    <n v="150000"/>
    <m/>
    <m/>
    <m/>
    <m/>
    <n v="0"/>
    <n v="0"/>
    <m/>
    <m/>
    <m/>
    <m/>
    <n v="0"/>
    <n v="0"/>
    <m/>
    <m/>
    <m/>
    <m/>
    <n v="1"/>
    <n v="150000"/>
  </r>
  <r>
    <m/>
    <n v="3"/>
    <n v="3"/>
    <s v="MN"/>
    <n v="999"/>
    <s v="MN999"/>
    <m/>
    <x v="3"/>
    <m/>
    <m/>
    <m/>
    <m/>
    <s v="SUPPLEMENTAL AGREEMENTS SETASIDE"/>
    <m/>
    <m/>
    <m/>
    <m/>
    <m/>
    <m/>
    <s v=""/>
    <m/>
    <m/>
    <m/>
    <m/>
    <s v=""/>
    <m/>
    <m/>
    <m/>
    <n v="4000000"/>
    <m/>
    <m/>
    <m/>
    <m/>
    <n v="0"/>
    <m/>
    <m/>
    <m/>
    <n v="0"/>
    <m/>
    <m/>
    <m/>
    <n v="0"/>
    <m/>
    <m/>
    <m/>
    <m/>
    <n v="0"/>
    <m/>
    <n v="4000000"/>
    <n v="4000000"/>
    <n v="697117413.54999995"/>
    <n v="315964100.93000001"/>
    <n v="2018"/>
    <m/>
    <m/>
    <m/>
    <m/>
    <m/>
    <m/>
    <m/>
    <m/>
    <m/>
    <m/>
    <m/>
    <m/>
    <m/>
    <m/>
    <n v="0"/>
    <m/>
    <m/>
    <m/>
    <m/>
    <m/>
    <n v="0"/>
    <m/>
    <m/>
    <n v="0"/>
    <m/>
    <m/>
    <m/>
    <m/>
    <m/>
    <n v="0"/>
    <m/>
    <m/>
    <m/>
    <m/>
    <m/>
    <n v="0"/>
    <m/>
    <m/>
    <m/>
    <m/>
    <m/>
    <n v="0"/>
    <m/>
    <m/>
    <m/>
    <m/>
    <m/>
    <n v="0"/>
    <m/>
    <m/>
    <m/>
    <m/>
    <m/>
    <n v="0"/>
    <m/>
    <m/>
    <m/>
    <m/>
    <m/>
    <n v="0"/>
    <m/>
    <m/>
    <m/>
    <m/>
    <n v="1"/>
    <n v="4000000"/>
    <s v="Supplemental agreements"/>
    <m/>
    <m/>
    <m/>
    <n v="1"/>
    <n v="4000000"/>
  </r>
  <r>
    <m/>
    <n v="3"/>
    <n v="3"/>
    <s v="MN"/>
    <n v="999"/>
    <s v="MN999"/>
    <m/>
    <x v="4"/>
    <m/>
    <m/>
    <m/>
    <m/>
    <s v="SUPPLEMENTAL AGREEMENTS SETASIDE"/>
    <m/>
    <m/>
    <m/>
    <m/>
    <m/>
    <m/>
    <s v=""/>
    <m/>
    <m/>
    <m/>
    <m/>
    <s v=""/>
    <m/>
    <m/>
    <m/>
    <n v="4000000"/>
    <m/>
    <m/>
    <m/>
    <m/>
    <n v="0"/>
    <m/>
    <m/>
    <m/>
    <n v="0"/>
    <m/>
    <m/>
    <m/>
    <n v="0"/>
    <m/>
    <m/>
    <m/>
    <m/>
    <n v="0"/>
    <m/>
    <n v="4000000"/>
    <n v="4000000"/>
    <n v="697117413.54999995"/>
    <n v="315964100.93000001"/>
    <n v="2019"/>
    <m/>
    <m/>
    <m/>
    <m/>
    <m/>
    <m/>
    <m/>
    <m/>
    <m/>
    <m/>
    <m/>
    <m/>
    <m/>
    <m/>
    <n v="0"/>
    <m/>
    <m/>
    <m/>
    <m/>
    <m/>
    <n v="0"/>
    <m/>
    <m/>
    <n v="0"/>
    <m/>
    <m/>
    <m/>
    <m/>
    <m/>
    <n v="0"/>
    <m/>
    <m/>
    <m/>
    <m/>
    <m/>
    <n v="0"/>
    <m/>
    <m/>
    <m/>
    <m/>
    <m/>
    <n v="0"/>
    <m/>
    <m/>
    <m/>
    <m/>
    <m/>
    <n v="0"/>
    <m/>
    <m/>
    <m/>
    <m/>
    <m/>
    <n v="0"/>
    <m/>
    <m/>
    <m/>
    <m/>
    <m/>
    <n v="0"/>
    <m/>
    <m/>
    <m/>
    <m/>
    <n v="1"/>
    <n v="4000000"/>
    <s v="Supplemental agreements"/>
    <m/>
    <m/>
    <m/>
    <n v="1"/>
    <n v="4000000"/>
  </r>
  <r>
    <m/>
    <n v="7"/>
    <n v="7"/>
    <s v="MN"/>
    <n v="999"/>
    <s v="MN999"/>
    <m/>
    <x v="4"/>
    <m/>
    <m/>
    <m/>
    <m/>
    <s v="SUPPLEMENTAL AGREEMENTS SETASIDE"/>
    <m/>
    <m/>
    <m/>
    <m/>
    <m/>
    <m/>
    <s v=""/>
    <m/>
    <m/>
    <m/>
    <m/>
    <s v=""/>
    <m/>
    <m/>
    <m/>
    <n v="4000000"/>
    <m/>
    <m/>
    <m/>
    <m/>
    <n v="0"/>
    <m/>
    <m/>
    <m/>
    <n v="0"/>
    <m/>
    <m/>
    <m/>
    <n v="0"/>
    <m/>
    <m/>
    <m/>
    <m/>
    <n v="0"/>
    <m/>
    <n v="4000000"/>
    <n v="4000000"/>
    <n v="697117413.54999995"/>
    <n v="313613830.93000001"/>
    <n v="2019"/>
    <m/>
    <m/>
    <m/>
    <m/>
    <m/>
    <m/>
    <m/>
    <m/>
    <m/>
    <m/>
    <m/>
    <m/>
    <m/>
    <m/>
    <n v="0"/>
    <m/>
    <m/>
    <m/>
    <m/>
    <m/>
    <n v="0"/>
    <m/>
    <m/>
    <n v="0"/>
    <m/>
    <m/>
    <m/>
    <m/>
    <m/>
    <n v="0"/>
    <m/>
    <m/>
    <m/>
    <m/>
    <m/>
    <n v="0"/>
    <m/>
    <m/>
    <m/>
    <m/>
    <m/>
    <n v="0"/>
    <m/>
    <m/>
    <m/>
    <m/>
    <m/>
    <n v="0"/>
    <m/>
    <m/>
    <m/>
    <m/>
    <m/>
    <n v="0"/>
    <m/>
    <m/>
    <m/>
    <m/>
    <m/>
    <n v="0"/>
    <m/>
    <m/>
    <m/>
    <m/>
    <n v="1"/>
    <n v="4000000"/>
    <s v="Supplemental agreements"/>
    <m/>
    <m/>
    <m/>
    <n v="1"/>
    <n v="4000000"/>
  </r>
  <r>
    <s v="contingency"/>
    <n v="3"/>
    <n v="3"/>
    <s v="MN"/>
    <n v="999"/>
    <s v="MN999"/>
    <m/>
    <x v="5"/>
    <m/>
    <m/>
    <m/>
    <m/>
    <s v="SUPPLEMENTAL AGREEMENTS SETASIDE"/>
    <m/>
    <m/>
    <m/>
    <m/>
    <m/>
    <m/>
    <s v=""/>
    <m/>
    <m/>
    <m/>
    <m/>
    <s v=""/>
    <m/>
    <m/>
    <m/>
    <n v="4000000"/>
    <m/>
    <m/>
    <m/>
    <m/>
    <n v="0"/>
    <m/>
    <m/>
    <m/>
    <n v="0"/>
    <m/>
    <m/>
    <m/>
    <n v="0"/>
    <m/>
    <m/>
    <m/>
    <m/>
    <n v="0"/>
    <m/>
    <n v="4000000"/>
    <n v="4000000"/>
    <n v="697117413.54999995"/>
    <n v="315964100.93000001"/>
    <n v="2020"/>
    <m/>
    <m/>
    <m/>
    <m/>
    <m/>
    <m/>
    <m/>
    <m/>
    <m/>
    <m/>
    <m/>
    <m/>
    <m/>
    <m/>
    <n v="0"/>
    <m/>
    <m/>
    <m/>
    <m/>
    <m/>
    <n v="0"/>
    <m/>
    <m/>
    <n v="0"/>
    <m/>
    <m/>
    <m/>
    <m/>
    <m/>
    <n v="0"/>
    <m/>
    <m/>
    <m/>
    <m/>
    <m/>
    <n v="0"/>
    <m/>
    <m/>
    <m/>
    <m/>
    <m/>
    <n v="0"/>
    <m/>
    <m/>
    <m/>
    <m/>
    <m/>
    <n v="0"/>
    <m/>
    <m/>
    <m/>
    <m/>
    <m/>
    <n v="0"/>
    <m/>
    <m/>
    <m/>
    <m/>
    <m/>
    <n v="0"/>
    <m/>
    <m/>
    <m/>
    <m/>
    <n v="1"/>
    <n v="4000000"/>
    <s v="Supplemental agreements"/>
    <m/>
    <m/>
    <m/>
    <n v="1"/>
    <n v="4000000"/>
  </r>
  <r>
    <m/>
    <n v="2"/>
    <n v="2"/>
    <s v="MN"/>
    <n v="999"/>
    <s v="MN999"/>
    <m/>
    <x v="6"/>
    <m/>
    <m/>
    <m/>
    <m/>
    <s v="BARC SETASIDE"/>
    <m/>
    <m/>
    <m/>
    <m/>
    <m/>
    <m/>
    <s v=""/>
    <m/>
    <m/>
    <m/>
    <m/>
    <s v=""/>
    <m/>
    <m/>
    <m/>
    <n v="4000000"/>
    <m/>
    <m/>
    <m/>
    <m/>
    <n v="0"/>
    <m/>
    <m/>
    <m/>
    <n v="0"/>
    <m/>
    <m/>
    <m/>
    <n v="0"/>
    <m/>
    <m/>
    <m/>
    <m/>
    <n v="0"/>
    <m/>
    <n v="4000000"/>
    <n v="4000000"/>
    <n v="0"/>
    <n v="0"/>
    <n v="2021"/>
    <m/>
    <m/>
    <m/>
    <m/>
    <m/>
    <m/>
    <m/>
    <m/>
    <m/>
    <m/>
    <m/>
    <m/>
    <m/>
    <n v="0.66"/>
    <n v="2640000"/>
    <m/>
    <m/>
    <m/>
    <m/>
    <m/>
    <n v="0"/>
    <m/>
    <n v="0.34"/>
    <n v="1360000"/>
    <m/>
    <m/>
    <m/>
    <m/>
    <m/>
    <n v="0"/>
    <m/>
    <m/>
    <m/>
    <m/>
    <m/>
    <n v="0"/>
    <m/>
    <m/>
    <m/>
    <m/>
    <m/>
    <n v="0"/>
    <m/>
    <m/>
    <m/>
    <m/>
    <m/>
    <n v="0"/>
    <m/>
    <m/>
    <m/>
    <m/>
    <m/>
    <n v="0"/>
    <m/>
    <m/>
    <m/>
    <m/>
    <m/>
    <n v="0"/>
    <m/>
    <m/>
    <m/>
    <m/>
    <m/>
    <n v="0"/>
    <m/>
    <m/>
    <m/>
    <m/>
    <n v="1"/>
    <n v="4000000"/>
  </r>
  <r>
    <m/>
    <n v="3"/>
    <n v="3"/>
    <s v="MN"/>
    <n v="999"/>
    <s v="MN999"/>
    <m/>
    <x v="6"/>
    <m/>
    <m/>
    <m/>
    <m/>
    <s v="SUPPLEMENTAL AGREEMENTS SETASIDE"/>
    <m/>
    <m/>
    <m/>
    <m/>
    <m/>
    <m/>
    <s v=""/>
    <m/>
    <m/>
    <m/>
    <m/>
    <s v=""/>
    <m/>
    <m/>
    <m/>
    <n v="4000000"/>
    <m/>
    <m/>
    <m/>
    <m/>
    <n v="0"/>
    <m/>
    <m/>
    <m/>
    <n v="0"/>
    <m/>
    <m/>
    <m/>
    <n v="0"/>
    <m/>
    <m/>
    <m/>
    <m/>
    <n v="0"/>
    <m/>
    <n v="4000000"/>
    <n v="4000000"/>
    <n v="697117413.54999995"/>
    <n v="315964100.93000001"/>
    <n v="2021"/>
    <m/>
    <m/>
    <m/>
    <m/>
    <m/>
    <m/>
    <m/>
    <m/>
    <m/>
    <m/>
    <m/>
    <m/>
    <m/>
    <m/>
    <n v="0"/>
    <m/>
    <m/>
    <m/>
    <m/>
    <m/>
    <n v="0"/>
    <m/>
    <m/>
    <n v="0"/>
    <m/>
    <m/>
    <m/>
    <m/>
    <m/>
    <n v="0"/>
    <m/>
    <m/>
    <m/>
    <m/>
    <m/>
    <n v="0"/>
    <m/>
    <m/>
    <m/>
    <m/>
    <m/>
    <n v="0"/>
    <m/>
    <m/>
    <m/>
    <m/>
    <m/>
    <n v="0"/>
    <m/>
    <m/>
    <m/>
    <m/>
    <m/>
    <n v="0"/>
    <m/>
    <m/>
    <m/>
    <m/>
    <m/>
    <n v="0"/>
    <m/>
    <m/>
    <m/>
    <m/>
    <n v="1"/>
    <n v="4000000"/>
    <s v="Supplemental agreements"/>
    <m/>
    <m/>
    <m/>
    <n v="1"/>
    <n v="4000000"/>
  </r>
  <r>
    <n v="82"/>
    <n v="2"/>
    <n v="2"/>
    <s v="MN"/>
    <n v="999"/>
    <s v="MN999"/>
    <m/>
    <x v="7"/>
    <m/>
    <m/>
    <m/>
    <m/>
    <s v="BARC SETASIDE"/>
    <m/>
    <m/>
    <m/>
    <m/>
    <m/>
    <m/>
    <s v=""/>
    <m/>
    <m/>
    <m/>
    <m/>
    <s v=""/>
    <m/>
    <m/>
    <m/>
    <n v="4000000"/>
    <m/>
    <m/>
    <m/>
    <m/>
    <n v="0"/>
    <m/>
    <m/>
    <m/>
    <n v="0"/>
    <m/>
    <m/>
    <m/>
    <n v="0"/>
    <m/>
    <m/>
    <m/>
    <m/>
    <n v="0"/>
    <m/>
    <n v="4000000"/>
    <n v="4000000"/>
    <n v="0"/>
    <n v="0"/>
    <n v="2022"/>
    <m/>
    <m/>
    <m/>
    <m/>
    <m/>
    <m/>
    <m/>
    <m/>
    <m/>
    <m/>
    <m/>
    <m/>
    <m/>
    <n v="0.66"/>
    <n v="2640000"/>
    <m/>
    <m/>
    <m/>
    <m/>
    <m/>
    <n v="0"/>
    <m/>
    <n v="0.34"/>
    <n v="1360000"/>
    <m/>
    <m/>
    <m/>
    <m/>
    <m/>
    <n v="0"/>
    <m/>
    <m/>
    <m/>
    <m/>
    <m/>
    <n v="0"/>
    <m/>
    <m/>
    <m/>
    <m/>
    <m/>
    <n v="0"/>
    <m/>
    <m/>
    <m/>
    <m/>
    <m/>
    <n v="0"/>
    <m/>
    <m/>
    <m/>
    <m/>
    <m/>
    <n v="0"/>
    <m/>
    <m/>
    <m/>
    <m/>
    <m/>
    <n v="0"/>
    <m/>
    <m/>
    <m/>
    <m/>
    <m/>
    <n v="0"/>
    <m/>
    <m/>
    <m/>
    <m/>
    <n v="1"/>
    <n v="4000000"/>
  </r>
  <r>
    <m/>
    <n v="3"/>
    <n v="3"/>
    <s v="MN"/>
    <n v="999"/>
    <s v="MN999"/>
    <m/>
    <x v="7"/>
    <m/>
    <m/>
    <m/>
    <m/>
    <s v="SUPPLEMENTAL AGREEMENTS SETASIDE"/>
    <m/>
    <m/>
    <m/>
    <m/>
    <m/>
    <m/>
    <s v=""/>
    <m/>
    <m/>
    <m/>
    <m/>
    <s v=""/>
    <m/>
    <m/>
    <m/>
    <n v="4000000"/>
    <m/>
    <m/>
    <m/>
    <m/>
    <n v="0"/>
    <m/>
    <m/>
    <m/>
    <n v="0"/>
    <m/>
    <m/>
    <m/>
    <n v="0"/>
    <m/>
    <m/>
    <m/>
    <m/>
    <n v="0"/>
    <m/>
    <n v="4000000"/>
    <n v="4000000"/>
    <n v="697117413.54999995"/>
    <n v="315964100.93000001"/>
    <n v="2022"/>
    <m/>
    <m/>
    <m/>
    <m/>
    <m/>
    <m/>
    <m/>
    <m/>
    <m/>
    <m/>
    <m/>
    <m/>
    <m/>
    <m/>
    <n v="0"/>
    <m/>
    <m/>
    <m/>
    <m/>
    <m/>
    <n v="0"/>
    <m/>
    <m/>
    <n v="0"/>
    <m/>
    <m/>
    <m/>
    <m/>
    <m/>
    <n v="0"/>
    <m/>
    <m/>
    <m/>
    <m/>
    <m/>
    <n v="0"/>
    <m/>
    <m/>
    <m/>
    <m/>
    <m/>
    <n v="0"/>
    <m/>
    <m/>
    <m/>
    <m/>
    <m/>
    <n v="0"/>
    <m/>
    <m/>
    <m/>
    <m/>
    <m/>
    <n v="0"/>
    <m/>
    <m/>
    <m/>
    <m/>
    <m/>
    <n v="0"/>
    <m/>
    <m/>
    <m/>
    <m/>
    <n v="1"/>
    <n v="4000000"/>
    <s v="Supplemental agreements"/>
    <m/>
    <m/>
    <m/>
    <n v="1"/>
    <n v="4000000"/>
  </r>
  <r>
    <m/>
    <n v="2"/>
    <n v="2"/>
    <s v="MN"/>
    <n v="999"/>
    <s v="MN999"/>
    <m/>
    <x v="8"/>
    <m/>
    <m/>
    <m/>
    <m/>
    <s v="BARC SETASIDE"/>
    <m/>
    <m/>
    <m/>
    <m/>
    <m/>
    <m/>
    <s v=""/>
    <m/>
    <m/>
    <m/>
    <m/>
    <s v=""/>
    <m/>
    <m/>
    <m/>
    <n v="4000000"/>
    <m/>
    <m/>
    <m/>
    <m/>
    <n v="0"/>
    <m/>
    <m/>
    <m/>
    <n v="0"/>
    <m/>
    <m/>
    <m/>
    <n v="0"/>
    <m/>
    <m/>
    <m/>
    <m/>
    <n v="0"/>
    <m/>
    <n v="4000000"/>
    <n v="4000000"/>
    <n v="0"/>
    <n v="0"/>
    <n v="2023"/>
    <m/>
    <m/>
    <m/>
    <m/>
    <m/>
    <m/>
    <m/>
    <m/>
    <m/>
    <m/>
    <m/>
    <m/>
    <m/>
    <n v="0.66"/>
    <n v="2640000"/>
    <m/>
    <m/>
    <m/>
    <m/>
    <m/>
    <n v="0"/>
    <m/>
    <n v="0.34"/>
    <n v="1360000"/>
    <m/>
    <m/>
    <m/>
    <m/>
    <m/>
    <n v="0"/>
    <m/>
    <m/>
    <m/>
    <m/>
    <m/>
    <n v="0"/>
    <m/>
    <m/>
    <m/>
    <m/>
    <m/>
    <n v="0"/>
    <m/>
    <m/>
    <m/>
    <m/>
    <m/>
    <n v="0"/>
    <m/>
    <m/>
    <m/>
    <m/>
    <m/>
    <n v="0"/>
    <m/>
    <m/>
    <m/>
    <m/>
    <m/>
    <n v="0"/>
    <m/>
    <m/>
    <m/>
    <m/>
    <m/>
    <n v="0"/>
    <m/>
    <m/>
    <m/>
    <m/>
    <n v="1"/>
    <n v="4000000"/>
  </r>
  <r>
    <m/>
    <n v="3"/>
    <n v="3"/>
    <s v="MN"/>
    <n v="999"/>
    <s v="MN999"/>
    <m/>
    <x v="8"/>
    <m/>
    <m/>
    <m/>
    <m/>
    <s v="SUPPLEMENTAL AGREEMENTS SETASIDE"/>
    <m/>
    <m/>
    <m/>
    <m/>
    <m/>
    <m/>
    <s v=""/>
    <m/>
    <m/>
    <m/>
    <m/>
    <s v=""/>
    <m/>
    <m/>
    <m/>
    <n v="4000000"/>
    <m/>
    <m/>
    <m/>
    <m/>
    <n v="0"/>
    <m/>
    <m/>
    <m/>
    <n v="0"/>
    <m/>
    <m/>
    <m/>
    <n v="0"/>
    <m/>
    <m/>
    <m/>
    <m/>
    <n v="0"/>
    <m/>
    <n v="4000000"/>
    <n v="4000000"/>
    <n v="697117413.54999995"/>
    <n v="315964100.93000001"/>
    <n v="2023"/>
    <m/>
    <m/>
    <m/>
    <m/>
    <m/>
    <m/>
    <m/>
    <m/>
    <m/>
    <m/>
    <m/>
    <m/>
    <m/>
    <m/>
    <n v="0"/>
    <m/>
    <m/>
    <m/>
    <m/>
    <m/>
    <n v="0"/>
    <m/>
    <m/>
    <n v="0"/>
    <m/>
    <m/>
    <m/>
    <m/>
    <m/>
    <n v="0"/>
    <m/>
    <m/>
    <m/>
    <m/>
    <m/>
    <n v="0"/>
    <m/>
    <m/>
    <m/>
    <m/>
    <m/>
    <n v="0"/>
    <m/>
    <m/>
    <m/>
    <m/>
    <m/>
    <n v="0"/>
    <m/>
    <m/>
    <m/>
    <m/>
    <m/>
    <n v="0"/>
    <m/>
    <m/>
    <m/>
    <m/>
    <m/>
    <n v="0"/>
    <m/>
    <m/>
    <m/>
    <m/>
    <n v="1"/>
    <n v="4000000"/>
    <s v="Supplemental agreements"/>
    <m/>
    <m/>
    <m/>
    <n v="1"/>
    <n v="4000000"/>
  </r>
  <r>
    <m/>
    <n v="2"/>
    <n v="2"/>
    <s v="MN"/>
    <n v="999"/>
    <s v="MN 999"/>
    <s v="8802-AM-14"/>
    <x v="0"/>
    <s v="2014-S01"/>
    <s v="S"/>
    <s v="MNDOT"/>
    <m/>
    <s v="DISTRICTWIDE SETASIDE -  COOPERATIVE AGREEMENT - 2014"/>
    <n v="0"/>
    <n v="0"/>
    <n v="0"/>
    <m/>
    <s v="DISTRICTWIDE"/>
    <s v="AM"/>
    <s v=" "/>
    <m/>
    <m/>
    <s v="SETA - SETASIDE"/>
    <s v="COOP. CONST. AGREEMENT"/>
    <s v="SF  "/>
    <s v="SF"/>
    <m/>
    <m/>
    <n v="500000"/>
    <n v="0"/>
    <n v="0"/>
    <n v="0"/>
    <n v="0"/>
    <n v="0"/>
    <n v="0"/>
    <n v="0"/>
    <n v="0"/>
    <n v="0"/>
    <n v="0"/>
    <n v="0"/>
    <n v="0"/>
    <n v="0"/>
    <n v="0"/>
    <n v="0"/>
    <n v="500000"/>
    <n v="0"/>
    <n v="500000"/>
    <n v="0"/>
    <n v="0"/>
    <n v="500000"/>
    <n v="18022963"/>
    <n v="4375294"/>
    <n v="2014"/>
    <m/>
    <m/>
    <m/>
    <m/>
    <m/>
    <m/>
    <s v="NO"/>
    <s v="NO"/>
    <m/>
    <s v="NO"/>
    <s v="NO"/>
    <s v="Yes"/>
    <s v="NO"/>
    <n v="0"/>
    <n v="0"/>
    <m/>
    <m/>
    <m/>
    <m/>
    <n v="0"/>
    <n v="0"/>
    <m/>
    <n v="0"/>
    <n v="0"/>
    <m/>
    <m/>
    <m/>
    <m/>
    <n v="0"/>
    <n v="0"/>
    <m/>
    <m/>
    <m/>
    <m/>
    <n v="0"/>
    <n v="0"/>
    <m/>
    <m/>
    <m/>
    <m/>
    <n v="0"/>
    <n v="0"/>
    <m/>
    <m/>
    <m/>
    <m/>
    <n v="0"/>
    <n v="0"/>
    <m/>
    <m/>
    <m/>
    <m/>
    <n v="0"/>
    <n v="0"/>
    <m/>
    <m/>
    <m/>
    <m/>
    <n v="1"/>
    <n v="500000"/>
    <m/>
    <m/>
    <m/>
    <m/>
    <n v="0"/>
    <n v="0"/>
    <m/>
    <m/>
    <m/>
    <m/>
    <n v="1"/>
    <n v="500000"/>
  </r>
  <r>
    <m/>
    <n v="2"/>
    <n v="2"/>
    <s v="MN"/>
    <n v="999"/>
    <s v="MN 999"/>
    <s v="8802-AM-15"/>
    <x v="1"/>
    <s v="2015-S01"/>
    <s v="S"/>
    <s v="MNDOT"/>
    <m/>
    <s v="DISTRICTWIDE SETASIDE -  COOPERATIVE AGREEMENT - 2015"/>
    <n v="0"/>
    <n v="0"/>
    <n v="0"/>
    <m/>
    <s v="DISTRICTWIDE"/>
    <s v="AM"/>
    <s v=" "/>
    <m/>
    <m/>
    <s v="SETA - SETASIDE"/>
    <s v="COOP. CONST. AGREEMENT"/>
    <s v="SF  "/>
    <s v="SF"/>
    <m/>
    <m/>
    <n v="500000"/>
    <n v="0"/>
    <n v="0"/>
    <n v="0"/>
    <n v="0"/>
    <n v="0"/>
    <n v="0"/>
    <n v="0"/>
    <n v="0"/>
    <n v="0"/>
    <n v="0"/>
    <n v="0"/>
    <n v="0"/>
    <n v="0"/>
    <n v="0"/>
    <n v="0"/>
    <n v="500000"/>
    <n v="0"/>
    <n v="500000"/>
    <n v="0"/>
    <n v="0"/>
    <n v="500000"/>
    <n v="24551482"/>
    <n v="5207894"/>
    <n v="2015"/>
    <m/>
    <m/>
    <m/>
    <m/>
    <m/>
    <m/>
    <s v="NO"/>
    <s v="NO"/>
    <m/>
    <s v="NO"/>
    <s v="NO"/>
    <s v="Yes"/>
    <s v="NO"/>
    <n v="0"/>
    <n v="0"/>
    <m/>
    <m/>
    <m/>
    <m/>
    <n v="0"/>
    <n v="0"/>
    <m/>
    <n v="0"/>
    <n v="0"/>
    <m/>
    <m/>
    <m/>
    <m/>
    <n v="0"/>
    <n v="0"/>
    <m/>
    <m/>
    <m/>
    <m/>
    <n v="0"/>
    <n v="0"/>
    <m/>
    <m/>
    <m/>
    <m/>
    <n v="0"/>
    <n v="0"/>
    <m/>
    <m/>
    <m/>
    <m/>
    <n v="0"/>
    <n v="0"/>
    <m/>
    <m/>
    <m/>
    <m/>
    <n v="0"/>
    <n v="0"/>
    <m/>
    <m/>
    <m/>
    <m/>
    <n v="1"/>
    <n v="500000"/>
    <m/>
    <m/>
    <m/>
    <m/>
    <n v="0"/>
    <n v="0"/>
    <m/>
    <m/>
    <m/>
    <m/>
    <n v="1"/>
    <n v="500000"/>
  </r>
  <r>
    <m/>
    <n v="2"/>
    <n v="2"/>
    <s v="MN"/>
    <n v="999"/>
    <s v="MN 999"/>
    <s v="8802-AM-16"/>
    <x v="2"/>
    <s v="2016-S01"/>
    <s v="S"/>
    <s v="MNDOT"/>
    <m/>
    <s v="DISTRICTWIDE SETASIDE -  COOPERATIVE AGREEMENT - 2016"/>
    <n v="0"/>
    <n v="0"/>
    <n v="0"/>
    <m/>
    <s v="DISTRICTWIDE"/>
    <s v="AM"/>
    <s v=" "/>
    <m/>
    <m/>
    <s v="SETA - SETASIDE"/>
    <s v="COOP. CONST. AGREEMENT"/>
    <s v="SF  "/>
    <s v="SF"/>
    <m/>
    <m/>
    <n v="500000"/>
    <n v="0"/>
    <n v="0"/>
    <n v="0"/>
    <n v="0"/>
    <n v="0"/>
    <n v="0"/>
    <n v="0"/>
    <n v="0"/>
    <n v="0"/>
    <n v="0"/>
    <n v="0"/>
    <n v="0"/>
    <n v="0"/>
    <n v="0"/>
    <n v="0"/>
    <n v="500000"/>
    <n v="0"/>
    <n v="500000"/>
    <n v="0"/>
    <n v="0"/>
    <n v="500000"/>
    <n v="33891451"/>
    <n v="4634294"/>
    <n v="2016"/>
    <m/>
    <m/>
    <m/>
    <m/>
    <m/>
    <m/>
    <s v="NO"/>
    <s v="NO"/>
    <m/>
    <s v="NO"/>
    <s v="NO"/>
    <s v="Yes"/>
    <s v="NO"/>
    <n v="0"/>
    <n v="0"/>
    <m/>
    <m/>
    <m/>
    <m/>
    <n v="0"/>
    <n v="0"/>
    <m/>
    <n v="0"/>
    <n v="0"/>
    <m/>
    <m/>
    <m/>
    <m/>
    <n v="0"/>
    <n v="0"/>
    <m/>
    <m/>
    <m/>
    <m/>
    <n v="0"/>
    <n v="0"/>
    <m/>
    <m/>
    <m/>
    <m/>
    <n v="0"/>
    <n v="0"/>
    <m/>
    <m/>
    <m/>
    <m/>
    <n v="0"/>
    <n v="0"/>
    <m/>
    <m/>
    <m/>
    <m/>
    <n v="0"/>
    <n v="0"/>
    <m/>
    <m/>
    <m/>
    <m/>
    <n v="1"/>
    <n v="500000"/>
    <m/>
    <m/>
    <m/>
    <m/>
    <n v="0"/>
    <n v="0"/>
    <m/>
    <m/>
    <m/>
    <m/>
    <n v="1"/>
    <n v="500000"/>
  </r>
  <r>
    <n v="89"/>
    <n v="2"/>
    <n v="2"/>
    <s v="MN"/>
    <n v="999"/>
    <s v="MN 999"/>
    <s v="8802-AM-17"/>
    <x v="9"/>
    <m/>
    <s v="S"/>
    <s v="MNDOT"/>
    <m/>
    <s v="DISTRICTWIDE SETASIDE -  COOPERATIVE AGREEMENT - 2017"/>
    <n v="0"/>
    <n v="0"/>
    <n v="0"/>
    <m/>
    <s v="DISTRICTWIDE"/>
    <s v="AM"/>
    <m/>
    <m/>
    <m/>
    <s v="SETA - SETASIDE"/>
    <s v="COOP. CONST. AGREEMENT"/>
    <s v="SF  "/>
    <s v="SF"/>
    <m/>
    <m/>
    <n v="400000"/>
    <n v="0"/>
    <n v="0"/>
    <n v="0"/>
    <n v="0"/>
    <n v="0"/>
    <n v="0"/>
    <n v="0"/>
    <n v="0"/>
    <n v="0"/>
    <n v="0"/>
    <n v="0"/>
    <n v="0"/>
    <n v="0"/>
    <n v="0"/>
    <n v="0"/>
    <n v="400000"/>
    <n v="0"/>
    <n v="400000"/>
    <n v="0"/>
    <n v="0"/>
    <n v="400000"/>
    <n v="15771400"/>
    <n v="3395778"/>
    <n v="2017"/>
    <m/>
    <m/>
    <m/>
    <m/>
    <m/>
    <m/>
    <s v="NO"/>
    <s v="NO"/>
    <m/>
    <s v="NO"/>
    <s v="NO"/>
    <s v="Yes"/>
    <s v="NO"/>
    <n v="0"/>
    <n v="0"/>
    <m/>
    <m/>
    <m/>
    <m/>
    <n v="0"/>
    <n v="0"/>
    <m/>
    <n v="0"/>
    <n v="0"/>
    <m/>
    <m/>
    <m/>
    <m/>
    <n v="0"/>
    <n v="0"/>
    <m/>
    <m/>
    <m/>
    <m/>
    <n v="0"/>
    <n v="0"/>
    <m/>
    <m/>
    <m/>
    <m/>
    <n v="0"/>
    <n v="0"/>
    <m/>
    <m/>
    <m/>
    <m/>
    <n v="0"/>
    <n v="0"/>
    <m/>
    <m/>
    <m/>
    <m/>
    <n v="0"/>
    <n v="0"/>
    <m/>
    <m/>
    <m/>
    <m/>
    <n v="1"/>
    <n v="400000"/>
    <m/>
    <m/>
    <m/>
    <m/>
    <n v="0"/>
    <n v="0"/>
    <m/>
    <m/>
    <m/>
    <m/>
    <n v="1"/>
    <n v="400000"/>
  </r>
  <r>
    <n v="138"/>
    <n v="6"/>
    <n v="6"/>
    <s v="MN"/>
    <n v="999"/>
    <s v="MN 999"/>
    <s v="8806-RW-19"/>
    <x v="4"/>
    <m/>
    <s v="S"/>
    <s v="MNDOT"/>
    <m/>
    <s v="DISTRICTWIDE SETASIDES - R/W - 2019"/>
    <m/>
    <m/>
    <n v="0"/>
    <m/>
    <s v="DISTRICTWIDE"/>
    <s v="RW"/>
    <s v="R/W "/>
    <s v="R/W"/>
    <m/>
    <s v="SETA - SET ASIDE"/>
    <s v="RIGHT OF WAY"/>
    <s v="SF  "/>
    <s v="SF"/>
    <m/>
    <m/>
    <n v="3900000"/>
    <n v="0"/>
    <n v="0"/>
    <n v="0"/>
    <n v="0"/>
    <n v="0"/>
    <n v="0"/>
    <n v="0"/>
    <n v="0"/>
    <n v="0"/>
    <n v="0"/>
    <n v="0"/>
    <n v="0"/>
    <n v="0"/>
    <n v="0"/>
    <n v="0"/>
    <n v="3900000"/>
    <n v="0"/>
    <n v="3900000"/>
    <n v="0"/>
    <n v="0"/>
    <n v="3900000"/>
    <m/>
    <m/>
    <n v="2019"/>
    <m/>
    <m/>
    <m/>
    <m/>
    <m/>
    <m/>
    <m/>
    <m/>
    <m/>
    <m/>
    <m/>
    <m/>
    <m/>
    <m/>
    <n v="0"/>
    <m/>
    <m/>
    <m/>
    <m/>
    <m/>
    <n v="0"/>
    <m/>
    <m/>
    <n v="0"/>
    <m/>
    <m/>
    <m/>
    <m/>
    <m/>
    <n v="0"/>
    <m/>
    <m/>
    <m/>
    <m/>
    <m/>
    <n v="0"/>
    <m/>
    <m/>
    <m/>
    <m/>
    <m/>
    <n v="0"/>
    <m/>
    <m/>
    <m/>
    <m/>
    <m/>
    <n v="0"/>
    <m/>
    <m/>
    <m/>
    <m/>
    <m/>
    <n v="0"/>
    <m/>
    <m/>
    <m/>
    <m/>
    <m/>
    <n v="0"/>
    <m/>
    <m/>
    <m/>
    <m/>
    <n v="1"/>
    <n v="3900000"/>
    <s v="Right of way"/>
    <m/>
    <m/>
    <m/>
    <n v="1"/>
    <n v="3900000"/>
  </r>
  <r>
    <n v="182"/>
    <n v="2"/>
    <n v="2"/>
    <s v="MN"/>
    <n v="999"/>
    <s v="MN 999"/>
    <s v="8802-CA-14"/>
    <x v="0"/>
    <s v="2014-S02"/>
    <s v="S"/>
    <s v="MNDOT"/>
    <m/>
    <s v="DISTRICTWIDE - CONSULTANT AGREEMENTS - 2014"/>
    <n v="0"/>
    <n v="0"/>
    <n v="0"/>
    <m/>
    <s v="DISTRICTWIDE"/>
    <s v="CA"/>
    <s v=" "/>
    <m/>
    <m/>
    <s v="SETA - SETASIDE"/>
    <s v="PLANNING"/>
    <s v="SF  "/>
    <s v="SF"/>
    <m/>
    <m/>
    <n v="1000000"/>
    <n v="0"/>
    <n v="0"/>
    <n v="0"/>
    <n v="0"/>
    <n v="0"/>
    <n v="0"/>
    <n v="0"/>
    <n v="0"/>
    <n v="0"/>
    <n v="0"/>
    <n v="0"/>
    <n v="0"/>
    <n v="0"/>
    <n v="0"/>
    <n v="0"/>
    <n v="1000000"/>
    <n v="0"/>
    <n v="1000000"/>
    <n v="0"/>
    <n v="0"/>
    <n v="1000000"/>
    <n v="18022963"/>
    <n v="5375294"/>
    <n v="2014"/>
    <m/>
    <m/>
    <m/>
    <m/>
    <m/>
    <m/>
    <s v="NO"/>
    <s v="NO"/>
    <m/>
    <s v="NO"/>
    <s v="NO"/>
    <s v="Yes"/>
    <s v="NO"/>
    <n v="0"/>
    <n v="0"/>
    <m/>
    <m/>
    <m/>
    <m/>
    <n v="0"/>
    <n v="0"/>
    <m/>
    <n v="0"/>
    <n v="0"/>
    <m/>
    <m/>
    <m/>
    <m/>
    <n v="0"/>
    <n v="0"/>
    <m/>
    <m/>
    <m/>
    <m/>
    <n v="0"/>
    <n v="0"/>
    <m/>
    <m/>
    <m/>
    <m/>
    <n v="0"/>
    <n v="0"/>
    <m/>
    <m/>
    <m/>
    <m/>
    <n v="0"/>
    <n v="0"/>
    <m/>
    <m/>
    <m/>
    <m/>
    <n v="0"/>
    <n v="0"/>
    <m/>
    <m/>
    <m/>
    <m/>
    <n v="0"/>
    <n v="0"/>
    <m/>
    <m/>
    <m/>
    <m/>
    <n v="1"/>
    <n v="1000000"/>
    <m/>
    <m/>
    <m/>
    <m/>
    <n v="1"/>
    <n v="1000000"/>
  </r>
  <r>
    <m/>
    <n v="2"/>
    <n v="2"/>
    <s v="MN"/>
    <n v="999"/>
    <s v="MN 999"/>
    <s v="8802-CA-15"/>
    <x v="1"/>
    <s v="2015-S02"/>
    <s v="S"/>
    <s v="MNDOT"/>
    <m/>
    <s v="DISTRICTWIDE - CONSULTANT AGREEMENTS - 2015"/>
    <n v="0"/>
    <n v="0"/>
    <n v="0"/>
    <m/>
    <s v="DISTRICTWIDE"/>
    <s v="CA"/>
    <s v=" "/>
    <m/>
    <m/>
    <s v="SETA - SETASIDE"/>
    <s v="PLANNING"/>
    <s v="SF  "/>
    <s v="SF"/>
    <m/>
    <m/>
    <n v="1000000"/>
    <n v="0"/>
    <n v="0"/>
    <n v="0"/>
    <n v="0"/>
    <n v="0"/>
    <n v="0"/>
    <n v="0"/>
    <n v="0"/>
    <n v="0"/>
    <n v="0"/>
    <n v="0"/>
    <n v="0"/>
    <n v="0"/>
    <n v="0"/>
    <n v="0"/>
    <n v="1000000"/>
    <n v="0"/>
    <n v="1000000"/>
    <n v="0"/>
    <n v="0"/>
    <n v="1000000"/>
    <n v="24551482"/>
    <n v="6207894"/>
    <n v="2015"/>
    <m/>
    <m/>
    <m/>
    <m/>
    <m/>
    <m/>
    <s v="NO"/>
    <s v="NO"/>
    <m/>
    <s v="NO"/>
    <s v="NO"/>
    <s v="Yes"/>
    <s v="NO"/>
    <n v="0"/>
    <n v="0"/>
    <m/>
    <m/>
    <m/>
    <m/>
    <n v="0"/>
    <n v="0"/>
    <m/>
    <n v="0"/>
    <n v="0"/>
    <m/>
    <m/>
    <m/>
    <m/>
    <n v="0"/>
    <n v="0"/>
    <m/>
    <m/>
    <m/>
    <m/>
    <n v="0"/>
    <n v="0"/>
    <m/>
    <m/>
    <m/>
    <m/>
    <n v="0"/>
    <n v="0"/>
    <m/>
    <m/>
    <m/>
    <m/>
    <n v="0"/>
    <n v="0"/>
    <m/>
    <m/>
    <m/>
    <m/>
    <n v="0"/>
    <n v="0"/>
    <m/>
    <m/>
    <m/>
    <m/>
    <n v="0"/>
    <n v="0"/>
    <m/>
    <m/>
    <m/>
    <m/>
    <n v="1"/>
    <n v="1000000"/>
    <m/>
    <m/>
    <m/>
    <m/>
    <n v="1"/>
    <n v="1000000"/>
  </r>
  <r>
    <m/>
    <n v="2"/>
    <n v="2"/>
    <s v="MN"/>
    <n v="999"/>
    <s v="MN 999"/>
    <s v="8802-CA-16"/>
    <x v="2"/>
    <s v="2016-S02"/>
    <s v="S"/>
    <s v="MNDOT"/>
    <m/>
    <s v="DISTRICTWIDE - CONSULTANT AGREEMENTS - 2016"/>
    <n v="0"/>
    <n v="0"/>
    <n v="0"/>
    <m/>
    <s v="DISTRICTWIDE"/>
    <s v="CA"/>
    <s v=" "/>
    <m/>
    <m/>
    <s v="SETA - SETASIDE"/>
    <s v="PLANNING"/>
    <s v="SF  "/>
    <s v="SF"/>
    <m/>
    <m/>
    <n v="1000000"/>
    <n v="0"/>
    <n v="0"/>
    <n v="0"/>
    <n v="0"/>
    <n v="0"/>
    <n v="0"/>
    <n v="0"/>
    <n v="0"/>
    <n v="0"/>
    <n v="0"/>
    <n v="0"/>
    <n v="0"/>
    <n v="0"/>
    <n v="0"/>
    <n v="0"/>
    <n v="1000000"/>
    <n v="0"/>
    <n v="1000000"/>
    <n v="0"/>
    <n v="0"/>
    <n v="1000000"/>
    <n v="33891451"/>
    <n v="5634294"/>
    <n v="2016"/>
    <m/>
    <m/>
    <m/>
    <m/>
    <m/>
    <m/>
    <s v="NO"/>
    <s v="NO"/>
    <m/>
    <s v="NO"/>
    <s v="NO"/>
    <s v="Yes"/>
    <s v="NO"/>
    <n v="0"/>
    <n v="0"/>
    <m/>
    <m/>
    <m/>
    <m/>
    <n v="0"/>
    <n v="0"/>
    <m/>
    <n v="0"/>
    <n v="0"/>
    <m/>
    <m/>
    <m/>
    <m/>
    <n v="0"/>
    <n v="0"/>
    <m/>
    <m/>
    <m/>
    <m/>
    <n v="0"/>
    <n v="0"/>
    <m/>
    <m/>
    <m/>
    <m/>
    <n v="0"/>
    <n v="0"/>
    <m/>
    <m/>
    <m/>
    <m/>
    <n v="0"/>
    <n v="0"/>
    <m/>
    <m/>
    <m/>
    <m/>
    <n v="0"/>
    <n v="0"/>
    <m/>
    <m/>
    <m/>
    <m/>
    <n v="0"/>
    <n v="0"/>
    <m/>
    <m/>
    <m/>
    <m/>
    <n v="1"/>
    <n v="1000000"/>
    <m/>
    <m/>
    <m/>
    <m/>
    <n v="1"/>
    <n v="1000000"/>
  </r>
  <r>
    <m/>
    <n v="2"/>
    <n v="2"/>
    <s v="MN"/>
    <n v="999"/>
    <s v="MN 999"/>
    <s v="8802-CA-17"/>
    <x v="9"/>
    <m/>
    <s v="S"/>
    <s v="MNDOT"/>
    <m/>
    <s v="DISTRICTWIDE - CONSULTANT AGREEMENTS - 2017"/>
    <n v="0"/>
    <n v="0"/>
    <n v="0"/>
    <m/>
    <s v="DISTRICTWIDE"/>
    <s v="CA"/>
    <m/>
    <m/>
    <m/>
    <s v="SETA - SETASIDE"/>
    <s v="PLANNING"/>
    <s v="SF  "/>
    <s v="SF"/>
    <m/>
    <m/>
    <n v="1000000"/>
    <n v="0"/>
    <n v="0"/>
    <n v="0"/>
    <n v="0"/>
    <n v="0"/>
    <n v="0"/>
    <n v="0"/>
    <n v="0"/>
    <n v="0"/>
    <n v="0"/>
    <n v="0"/>
    <n v="0"/>
    <n v="0"/>
    <n v="0"/>
    <n v="0"/>
    <n v="1000000"/>
    <n v="0"/>
    <n v="1000000"/>
    <n v="0"/>
    <n v="0"/>
    <n v="1000000"/>
    <n v="15771400"/>
    <n v="4395778"/>
    <n v="2017"/>
    <m/>
    <m/>
    <m/>
    <m/>
    <m/>
    <m/>
    <s v="NO"/>
    <s v="NO"/>
    <m/>
    <s v="NO"/>
    <s v="NO"/>
    <s v="Yes"/>
    <s v="NO"/>
    <n v="0"/>
    <n v="0"/>
    <m/>
    <m/>
    <m/>
    <m/>
    <n v="0"/>
    <n v="0"/>
    <m/>
    <n v="0"/>
    <n v="0"/>
    <m/>
    <m/>
    <m/>
    <m/>
    <n v="0"/>
    <n v="0"/>
    <m/>
    <m/>
    <m/>
    <m/>
    <n v="0"/>
    <n v="0"/>
    <m/>
    <m/>
    <m/>
    <m/>
    <n v="0"/>
    <n v="0"/>
    <m/>
    <m/>
    <m/>
    <m/>
    <n v="0"/>
    <n v="0"/>
    <m/>
    <m/>
    <m/>
    <m/>
    <n v="0"/>
    <n v="0"/>
    <m/>
    <m/>
    <m/>
    <m/>
    <n v="0"/>
    <n v="0"/>
    <m/>
    <m/>
    <m/>
    <m/>
    <n v="1"/>
    <n v="1000000"/>
    <m/>
    <m/>
    <m/>
    <m/>
    <n v="1"/>
    <n v="1000000"/>
  </r>
  <r>
    <m/>
    <n v="2"/>
    <n v="2"/>
    <s v="MN"/>
    <n v="999"/>
    <s v="MN 999"/>
    <s v="8802-MA-14"/>
    <x v="0"/>
    <s v="2014-S03"/>
    <s v="S"/>
    <s v="MNDOT"/>
    <m/>
    <s v="DISTRICTWIDE - Misc. AGREEMENTS - 2014"/>
    <n v="0"/>
    <n v="0"/>
    <n v="0"/>
    <m/>
    <s v="DISTRICTWIDE"/>
    <s v="MA"/>
    <s v=" "/>
    <m/>
    <m/>
    <s v="SETA - SETASIDE"/>
    <s v="MISCELLANEOUS"/>
    <s v="SF  "/>
    <s v="SF"/>
    <m/>
    <m/>
    <n v="200000"/>
    <n v="0"/>
    <n v="0"/>
    <n v="0"/>
    <n v="0"/>
    <n v="0"/>
    <n v="0"/>
    <n v="0"/>
    <n v="0"/>
    <n v="0"/>
    <n v="0"/>
    <n v="0"/>
    <n v="0"/>
    <n v="0"/>
    <n v="0"/>
    <n v="0"/>
    <n v="200000"/>
    <n v="0"/>
    <n v="200000"/>
    <n v="0"/>
    <n v="0"/>
    <n v="200000"/>
    <n v="18022963"/>
    <n v="5575294"/>
    <n v="2014"/>
    <m/>
    <m/>
    <m/>
    <m/>
    <m/>
    <m/>
    <s v="NO"/>
    <s v="NO"/>
    <m/>
    <s v="NO"/>
    <s v="NO"/>
    <s v="Yes"/>
    <s v="NO"/>
    <n v="0"/>
    <n v="0"/>
    <m/>
    <m/>
    <m/>
    <m/>
    <n v="0"/>
    <n v="0"/>
    <m/>
    <n v="0"/>
    <n v="0"/>
    <m/>
    <m/>
    <m/>
    <m/>
    <n v="0"/>
    <n v="0"/>
    <m/>
    <m/>
    <m/>
    <m/>
    <n v="0"/>
    <n v="0"/>
    <m/>
    <m/>
    <m/>
    <m/>
    <n v="0"/>
    <n v="0"/>
    <m/>
    <m/>
    <m/>
    <m/>
    <n v="0"/>
    <n v="0"/>
    <m/>
    <m/>
    <m/>
    <m/>
    <n v="0"/>
    <n v="0"/>
    <m/>
    <m/>
    <m/>
    <m/>
    <n v="0"/>
    <n v="0"/>
    <m/>
    <m/>
    <m/>
    <m/>
    <n v="1"/>
    <n v="200000"/>
    <m/>
    <m/>
    <m/>
    <m/>
    <n v="1"/>
    <n v="200000"/>
  </r>
  <r>
    <m/>
    <n v="7"/>
    <n v="7"/>
    <s v="MN"/>
    <n v="999"/>
    <s v="MN999"/>
    <m/>
    <x v="3"/>
    <m/>
    <m/>
    <m/>
    <m/>
    <s v="SUPPLEMENTAL AGREEMENTS SETASIDE"/>
    <m/>
    <m/>
    <m/>
    <m/>
    <m/>
    <m/>
    <m/>
    <m/>
    <m/>
    <m/>
    <m/>
    <m/>
    <m/>
    <m/>
    <m/>
    <n v="3800000"/>
    <m/>
    <m/>
    <m/>
    <m/>
    <m/>
    <m/>
    <m/>
    <m/>
    <m/>
    <m/>
    <m/>
    <m/>
    <m/>
    <m/>
    <m/>
    <m/>
    <m/>
    <m/>
    <m/>
    <n v="3800000"/>
    <n v="3800000"/>
    <m/>
    <m/>
    <m/>
    <m/>
    <m/>
    <m/>
    <m/>
    <m/>
    <m/>
    <m/>
    <m/>
    <m/>
    <m/>
    <m/>
    <m/>
    <m/>
    <m/>
    <n v="0"/>
    <m/>
    <m/>
    <m/>
    <m/>
    <m/>
    <n v="0"/>
    <m/>
    <m/>
    <n v="0"/>
    <m/>
    <m/>
    <m/>
    <m/>
    <m/>
    <n v="0"/>
    <m/>
    <m/>
    <m/>
    <m/>
    <m/>
    <n v="0"/>
    <m/>
    <m/>
    <m/>
    <m/>
    <m/>
    <n v="0"/>
    <m/>
    <m/>
    <m/>
    <m/>
    <m/>
    <n v="0"/>
    <m/>
    <m/>
    <m/>
    <m/>
    <m/>
    <n v="0"/>
    <m/>
    <m/>
    <m/>
    <m/>
    <m/>
    <n v="0"/>
    <m/>
    <m/>
    <m/>
    <m/>
    <n v="1"/>
    <n v="3800000"/>
    <s v="Supplemental agreements"/>
    <m/>
    <m/>
    <m/>
    <n v="1"/>
    <n v="3800000"/>
  </r>
  <r>
    <m/>
    <n v="2"/>
    <n v="2"/>
    <s v="MN"/>
    <n v="999"/>
    <s v="MN 999"/>
    <s v="8802-MA-15"/>
    <x v="1"/>
    <s v="2015-S03"/>
    <s v="S"/>
    <s v="MNDOT"/>
    <m/>
    <s v="DISTRICTWIDE - MISC AGREEMENTS - 2015"/>
    <n v="0"/>
    <n v="0"/>
    <n v="0"/>
    <m/>
    <s v="DISTRICTWIDE"/>
    <s v="MA"/>
    <s v=" "/>
    <m/>
    <m/>
    <s v="SETA - SETASIDE"/>
    <s v="MISCELLANEOUS"/>
    <s v="SF  "/>
    <s v="SF"/>
    <m/>
    <m/>
    <n v="200000"/>
    <n v="0"/>
    <n v="0"/>
    <n v="0"/>
    <n v="0"/>
    <n v="0"/>
    <n v="0"/>
    <n v="0"/>
    <n v="0"/>
    <n v="0"/>
    <n v="0"/>
    <n v="0"/>
    <n v="0"/>
    <n v="0"/>
    <n v="0"/>
    <n v="0"/>
    <n v="200000"/>
    <n v="0"/>
    <n v="200000"/>
    <n v="0"/>
    <n v="0"/>
    <n v="200000"/>
    <n v="24551482"/>
    <n v="6407894"/>
    <n v="2015"/>
    <m/>
    <m/>
    <m/>
    <m/>
    <m/>
    <m/>
    <s v="NO"/>
    <s v="NO"/>
    <m/>
    <s v="NO"/>
    <s v="NO"/>
    <s v="Yes"/>
    <s v="NO"/>
    <n v="0"/>
    <n v="0"/>
    <m/>
    <m/>
    <m/>
    <m/>
    <n v="0"/>
    <n v="0"/>
    <m/>
    <n v="0"/>
    <n v="0"/>
    <m/>
    <m/>
    <m/>
    <m/>
    <n v="0"/>
    <n v="0"/>
    <m/>
    <m/>
    <m/>
    <m/>
    <n v="0"/>
    <n v="0"/>
    <m/>
    <m/>
    <m/>
    <m/>
    <n v="0"/>
    <n v="0"/>
    <m/>
    <m/>
    <m/>
    <m/>
    <n v="0"/>
    <n v="0"/>
    <m/>
    <m/>
    <m/>
    <m/>
    <n v="0"/>
    <n v="0"/>
    <m/>
    <m/>
    <m/>
    <m/>
    <n v="0"/>
    <n v="0"/>
    <m/>
    <m/>
    <m/>
    <m/>
    <n v="1"/>
    <n v="200000"/>
    <m/>
    <m/>
    <m/>
    <m/>
    <n v="1"/>
    <n v="200000"/>
  </r>
  <r>
    <m/>
    <n v="2"/>
    <n v="2"/>
    <s v="MN"/>
    <n v="999"/>
    <s v="MN 999"/>
    <s v="8802-MA-16"/>
    <x v="2"/>
    <s v="2016-S03"/>
    <s v="S"/>
    <s v="MNDOT"/>
    <m/>
    <s v="DISTRICTWIDE - MISC AGREEMENTS - 2016"/>
    <n v="0"/>
    <n v="0"/>
    <n v="0"/>
    <m/>
    <s v="DISTRICTWIDE"/>
    <s v="MA"/>
    <s v=" "/>
    <m/>
    <m/>
    <s v="SETA - SETASIDE"/>
    <s v="MISCELLANEOUS"/>
    <s v="SF  "/>
    <s v="SF"/>
    <m/>
    <m/>
    <n v="200000"/>
    <n v="0"/>
    <n v="0"/>
    <n v="0"/>
    <n v="0"/>
    <n v="0"/>
    <n v="0"/>
    <n v="0"/>
    <n v="0"/>
    <n v="0"/>
    <n v="0"/>
    <n v="0"/>
    <n v="0"/>
    <n v="0"/>
    <n v="0"/>
    <n v="0"/>
    <n v="200000"/>
    <n v="0"/>
    <n v="200000"/>
    <n v="0"/>
    <n v="0"/>
    <n v="200000"/>
    <n v="33891451"/>
    <n v="5834294"/>
    <n v="2016"/>
    <m/>
    <m/>
    <m/>
    <m/>
    <m/>
    <m/>
    <s v="NO"/>
    <s v="NO"/>
    <m/>
    <s v="NO"/>
    <s v="NO"/>
    <s v="Yes"/>
    <s v="NO"/>
    <n v="0"/>
    <n v="0"/>
    <m/>
    <m/>
    <m/>
    <m/>
    <n v="0"/>
    <n v="0"/>
    <m/>
    <n v="0"/>
    <n v="0"/>
    <m/>
    <m/>
    <m/>
    <m/>
    <n v="0"/>
    <n v="0"/>
    <m/>
    <m/>
    <m/>
    <m/>
    <n v="0"/>
    <n v="0"/>
    <m/>
    <m/>
    <m/>
    <m/>
    <n v="0"/>
    <n v="0"/>
    <m/>
    <m/>
    <m/>
    <m/>
    <n v="0"/>
    <n v="0"/>
    <m/>
    <m/>
    <m/>
    <m/>
    <n v="0"/>
    <n v="0"/>
    <m/>
    <m/>
    <m/>
    <m/>
    <n v="0"/>
    <n v="0"/>
    <m/>
    <m/>
    <m/>
    <m/>
    <n v="1"/>
    <n v="200000"/>
    <m/>
    <m/>
    <m/>
    <m/>
    <n v="1"/>
    <n v="200000"/>
  </r>
  <r>
    <m/>
    <n v="2"/>
    <n v="2"/>
    <s v="MN"/>
    <n v="999"/>
    <s v="MN 999"/>
    <s v="8802-MA-17"/>
    <x v="9"/>
    <m/>
    <s v="S"/>
    <s v="MNDOT"/>
    <m/>
    <s v="DISTRICTWIDE - MISC AGREEMENTS - 2017"/>
    <n v="0"/>
    <n v="0"/>
    <n v="0"/>
    <m/>
    <s v="DISTRICTWIDE"/>
    <s v="MA"/>
    <m/>
    <m/>
    <m/>
    <s v="SETA - SETASIDE"/>
    <s v="MISCELLANEOUS"/>
    <s v="SF  "/>
    <s v="SF"/>
    <m/>
    <m/>
    <n v="200000"/>
    <n v="0"/>
    <n v="0"/>
    <n v="0"/>
    <n v="0"/>
    <n v="0"/>
    <n v="0"/>
    <n v="0"/>
    <n v="0"/>
    <n v="0"/>
    <n v="0"/>
    <n v="0"/>
    <n v="0"/>
    <n v="0"/>
    <n v="0"/>
    <n v="0"/>
    <n v="200000"/>
    <n v="0"/>
    <n v="200000"/>
    <n v="0"/>
    <n v="0"/>
    <n v="200000"/>
    <n v="15771400"/>
    <n v="4595778"/>
    <n v="2017"/>
    <m/>
    <m/>
    <m/>
    <m/>
    <m/>
    <m/>
    <s v="NO"/>
    <s v="NO"/>
    <m/>
    <s v="NO"/>
    <s v="NO"/>
    <s v="Yes"/>
    <s v="NO"/>
    <n v="0"/>
    <n v="0"/>
    <m/>
    <m/>
    <m/>
    <m/>
    <n v="0"/>
    <n v="0"/>
    <m/>
    <n v="0"/>
    <n v="0"/>
    <m/>
    <m/>
    <m/>
    <m/>
    <n v="0"/>
    <n v="0"/>
    <m/>
    <m/>
    <m/>
    <m/>
    <n v="0"/>
    <n v="0"/>
    <m/>
    <m/>
    <m/>
    <m/>
    <n v="0"/>
    <n v="0"/>
    <m/>
    <m/>
    <m/>
    <m/>
    <n v="0"/>
    <n v="0"/>
    <m/>
    <m/>
    <m/>
    <m/>
    <n v="0"/>
    <n v="0"/>
    <m/>
    <m/>
    <m/>
    <m/>
    <n v="0"/>
    <n v="0"/>
    <m/>
    <m/>
    <m/>
    <m/>
    <n v="1"/>
    <n v="200000"/>
    <m/>
    <m/>
    <m/>
    <m/>
    <n v="1"/>
    <n v="200000"/>
  </r>
  <r>
    <m/>
    <n v="2"/>
    <n v="2"/>
    <s v="MN"/>
    <n v="999"/>
    <s v="MN 999"/>
    <s v="8802-PM-14"/>
    <x v="0"/>
    <s v="2014-S04"/>
    <s v="S"/>
    <s v="MNDOT"/>
    <m/>
    <s v="DISTRICTWIDE SETASIDE - PAVEMENT MANAGEMENT - 2014"/>
    <n v="0"/>
    <n v="0"/>
    <n v="0"/>
    <m/>
    <s v="DISTRICTWIDE"/>
    <s v="PM"/>
    <s v=" "/>
    <m/>
    <m/>
    <s v="SETA - SETASIDE"/>
    <s v="PREVENTIVE MAINTENANCE"/>
    <s v="SF  "/>
    <s v="SF"/>
    <m/>
    <m/>
    <n v="2900000"/>
    <n v="0"/>
    <n v="0"/>
    <n v="0"/>
    <n v="0"/>
    <n v="0"/>
    <n v="0"/>
    <n v="0"/>
    <n v="0"/>
    <n v="0"/>
    <n v="0"/>
    <n v="0"/>
    <n v="0"/>
    <n v="0"/>
    <n v="0"/>
    <n v="0"/>
    <n v="2900000"/>
    <n v="0"/>
    <n v="2900000"/>
    <n v="0"/>
    <n v="0"/>
    <n v="2900000"/>
    <n v="18022963"/>
    <n v="8475294"/>
    <n v="2014"/>
    <m/>
    <m/>
    <m/>
    <m/>
    <m/>
    <m/>
    <s v="NO"/>
    <s v="NO"/>
    <m/>
    <s v="NO"/>
    <s v="NO"/>
    <s v="Yes"/>
    <s v="NO"/>
    <n v="1"/>
    <n v="2900000"/>
    <m/>
    <m/>
    <m/>
    <m/>
    <n v="0"/>
    <n v="0"/>
    <m/>
    <n v="0"/>
    <n v="0"/>
    <m/>
    <m/>
    <m/>
    <m/>
    <n v="0"/>
    <n v="0"/>
    <m/>
    <m/>
    <m/>
    <m/>
    <n v="0"/>
    <n v="0"/>
    <m/>
    <m/>
    <m/>
    <m/>
    <n v="0"/>
    <n v="0"/>
    <m/>
    <m/>
    <m/>
    <m/>
    <n v="0"/>
    <n v="0"/>
    <m/>
    <m/>
    <m/>
    <m/>
    <n v="0"/>
    <n v="0"/>
    <m/>
    <m/>
    <m/>
    <m/>
    <n v="0"/>
    <n v="0"/>
    <m/>
    <m/>
    <m/>
    <m/>
    <n v="0"/>
    <n v="0"/>
    <m/>
    <m/>
    <m/>
    <m/>
    <n v="1"/>
    <n v="2900000"/>
  </r>
  <r>
    <s v="contingency"/>
    <s v="M"/>
    <s v="M"/>
    <s v="MN"/>
    <n v="999"/>
    <s v="MN999"/>
    <m/>
    <x v="3"/>
    <m/>
    <m/>
    <m/>
    <m/>
    <s v="HSIP SETASIDE"/>
    <m/>
    <m/>
    <m/>
    <m/>
    <m/>
    <m/>
    <s v=""/>
    <m/>
    <m/>
    <m/>
    <m/>
    <s v=""/>
    <m/>
    <m/>
    <m/>
    <n v="3700000"/>
    <m/>
    <m/>
    <m/>
    <m/>
    <n v="0"/>
    <m/>
    <m/>
    <m/>
    <n v="0"/>
    <m/>
    <m/>
    <m/>
    <n v="0"/>
    <m/>
    <m/>
    <m/>
    <m/>
    <n v="0"/>
    <m/>
    <n v="3700000"/>
    <n v="3700000"/>
    <n v="697117413.54999995"/>
    <n v="329464100.93000001"/>
    <n v="2018"/>
    <m/>
    <m/>
    <m/>
    <m/>
    <m/>
    <m/>
    <m/>
    <m/>
    <m/>
    <m/>
    <m/>
    <m/>
    <m/>
    <m/>
    <n v="0"/>
    <m/>
    <m/>
    <m/>
    <m/>
    <m/>
    <n v="0"/>
    <m/>
    <m/>
    <n v="0"/>
    <m/>
    <m/>
    <m/>
    <m/>
    <n v="1"/>
    <n v="3700000"/>
    <m/>
    <m/>
    <m/>
    <m/>
    <m/>
    <n v="0"/>
    <m/>
    <m/>
    <m/>
    <m/>
    <m/>
    <n v="0"/>
    <m/>
    <m/>
    <m/>
    <m/>
    <m/>
    <n v="0"/>
    <m/>
    <m/>
    <m/>
    <m/>
    <m/>
    <n v="0"/>
    <m/>
    <m/>
    <m/>
    <m/>
    <m/>
    <n v="0"/>
    <m/>
    <m/>
    <m/>
    <m/>
    <m/>
    <n v="0"/>
    <m/>
    <m/>
    <m/>
    <m/>
    <n v="1"/>
    <n v="3700000"/>
  </r>
  <r>
    <m/>
    <s v="M"/>
    <s v="M"/>
    <s v="MN"/>
    <n v="999"/>
    <s v="MN999"/>
    <m/>
    <x v="4"/>
    <m/>
    <m/>
    <m/>
    <m/>
    <s v="HSIP SETASIDE"/>
    <m/>
    <m/>
    <m/>
    <m/>
    <m/>
    <m/>
    <s v=""/>
    <m/>
    <m/>
    <m/>
    <m/>
    <s v=""/>
    <m/>
    <m/>
    <m/>
    <n v="3700000"/>
    <m/>
    <m/>
    <m/>
    <m/>
    <n v="0"/>
    <m/>
    <m/>
    <m/>
    <n v="0"/>
    <m/>
    <m/>
    <m/>
    <n v="0"/>
    <m/>
    <m/>
    <m/>
    <m/>
    <n v="0"/>
    <m/>
    <n v="3700000"/>
    <n v="3700000"/>
    <n v="697117413.54999995"/>
    <n v="332664100.93000001"/>
    <n v="2019"/>
    <m/>
    <m/>
    <m/>
    <m/>
    <m/>
    <m/>
    <m/>
    <m/>
    <m/>
    <m/>
    <m/>
    <m/>
    <m/>
    <m/>
    <n v="0"/>
    <m/>
    <m/>
    <m/>
    <m/>
    <m/>
    <n v="0"/>
    <m/>
    <m/>
    <n v="0"/>
    <m/>
    <m/>
    <m/>
    <m/>
    <n v="1"/>
    <n v="3700000"/>
    <m/>
    <m/>
    <m/>
    <m/>
    <m/>
    <n v="0"/>
    <m/>
    <m/>
    <m/>
    <m/>
    <m/>
    <n v="0"/>
    <m/>
    <m/>
    <m/>
    <m/>
    <m/>
    <n v="0"/>
    <m/>
    <m/>
    <m/>
    <m/>
    <m/>
    <n v="0"/>
    <m/>
    <m/>
    <m/>
    <m/>
    <m/>
    <n v="0"/>
    <m/>
    <m/>
    <m/>
    <m/>
    <m/>
    <n v="0"/>
    <m/>
    <m/>
    <m/>
    <m/>
    <n v="1"/>
    <n v="3700000"/>
  </r>
  <r>
    <m/>
    <s v="M"/>
    <s v="M"/>
    <s v="MN"/>
    <n v="999"/>
    <s v="MN999"/>
    <m/>
    <x v="5"/>
    <m/>
    <m/>
    <m/>
    <m/>
    <s v="HSIP SETASIDE"/>
    <m/>
    <m/>
    <m/>
    <m/>
    <m/>
    <m/>
    <s v=""/>
    <m/>
    <m/>
    <m/>
    <m/>
    <s v=""/>
    <m/>
    <m/>
    <m/>
    <n v="3700000"/>
    <m/>
    <m/>
    <m/>
    <m/>
    <n v="0"/>
    <m/>
    <m/>
    <m/>
    <n v="0"/>
    <m/>
    <m/>
    <m/>
    <n v="0"/>
    <m/>
    <m/>
    <m/>
    <m/>
    <n v="0"/>
    <m/>
    <n v="3700000"/>
    <n v="3700000"/>
    <n v="697117413.54999995"/>
    <n v="336304100.93000001"/>
    <n v="2020"/>
    <m/>
    <m/>
    <m/>
    <m/>
    <m/>
    <m/>
    <m/>
    <m/>
    <m/>
    <m/>
    <m/>
    <m/>
    <m/>
    <m/>
    <n v="0"/>
    <m/>
    <m/>
    <m/>
    <m/>
    <m/>
    <n v="0"/>
    <m/>
    <m/>
    <n v="0"/>
    <m/>
    <m/>
    <m/>
    <m/>
    <n v="1"/>
    <n v="3700000"/>
    <m/>
    <m/>
    <m/>
    <m/>
    <m/>
    <n v="0"/>
    <m/>
    <m/>
    <m/>
    <m/>
    <m/>
    <n v="0"/>
    <m/>
    <m/>
    <m/>
    <m/>
    <m/>
    <n v="0"/>
    <m/>
    <m/>
    <m/>
    <m/>
    <m/>
    <n v="0"/>
    <m/>
    <m/>
    <m/>
    <m/>
    <m/>
    <n v="0"/>
    <m/>
    <m/>
    <m/>
    <m/>
    <m/>
    <n v="0"/>
    <m/>
    <m/>
    <m/>
    <m/>
    <n v="1"/>
    <n v="3700000"/>
  </r>
  <r>
    <m/>
    <s v="M"/>
    <s v="M"/>
    <s v="MN"/>
    <n v="999"/>
    <s v="MN999"/>
    <m/>
    <x v="6"/>
    <m/>
    <m/>
    <m/>
    <m/>
    <s v="HSIP SETASIDE"/>
    <m/>
    <m/>
    <m/>
    <m/>
    <m/>
    <m/>
    <s v=""/>
    <m/>
    <m/>
    <m/>
    <m/>
    <s v=""/>
    <m/>
    <m/>
    <m/>
    <n v="3700000"/>
    <m/>
    <m/>
    <m/>
    <m/>
    <n v="0"/>
    <m/>
    <m/>
    <m/>
    <n v="0"/>
    <m/>
    <m/>
    <m/>
    <n v="0"/>
    <m/>
    <m/>
    <m/>
    <m/>
    <n v="0"/>
    <m/>
    <n v="3700000"/>
    <n v="3700000"/>
    <n v="697117413.54999995"/>
    <n v="339604100.93000001"/>
    <n v="2021"/>
    <m/>
    <m/>
    <m/>
    <m/>
    <m/>
    <m/>
    <m/>
    <m/>
    <m/>
    <m/>
    <m/>
    <m/>
    <m/>
    <m/>
    <n v="0"/>
    <m/>
    <m/>
    <m/>
    <m/>
    <m/>
    <n v="0"/>
    <m/>
    <m/>
    <n v="0"/>
    <m/>
    <m/>
    <m/>
    <m/>
    <n v="1"/>
    <n v="3700000"/>
    <m/>
    <m/>
    <m/>
    <m/>
    <m/>
    <n v="0"/>
    <m/>
    <m/>
    <m/>
    <m/>
    <m/>
    <n v="0"/>
    <m/>
    <m/>
    <m/>
    <m/>
    <m/>
    <n v="0"/>
    <m/>
    <m/>
    <m/>
    <m/>
    <m/>
    <n v="0"/>
    <m/>
    <m/>
    <m/>
    <m/>
    <m/>
    <n v="0"/>
    <m/>
    <m/>
    <m/>
    <m/>
    <m/>
    <n v="0"/>
    <m/>
    <m/>
    <m/>
    <m/>
    <n v="1"/>
    <n v="3700000"/>
  </r>
  <r>
    <m/>
    <s v="M"/>
    <s v="M"/>
    <s v="MN"/>
    <n v="999"/>
    <s v="MN999"/>
    <m/>
    <x v="7"/>
    <m/>
    <m/>
    <m/>
    <m/>
    <s v="HSIP SETASIDE"/>
    <m/>
    <m/>
    <m/>
    <m/>
    <m/>
    <m/>
    <s v=""/>
    <m/>
    <m/>
    <m/>
    <m/>
    <s v=""/>
    <m/>
    <m/>
    <m/>
    <n v="3700000"/>
    <m/>
    <m/>
    <m/>
    <m/>
    <n v="0"/>
    <m/>
    <m/>
    <m/>
    <n v="0"/>
    <m/>
    <m/>
    <m/>
    <n v="0"/>
    <m/>
    <m/>
    <m/>
    <m/>
    <n v="0"/>
    <m/>
    <n v="3700000"/>
    <n v="3700000"/>
    <n v="697117413.54999995"/>
    <n v="341804100.93000001"/>
    <n v="2022"/>
    <m/>
    <m/>
    <m/>
    <m/>
    <m/>
    <m/>
    <m/>
    <m/>
    <m/>
    <m/>
    <m/>
    <m/>
    <m/>
    <m/>
    <n v="0"/>
    <m/>
    <m/>
    <m/>
    <m/>
    <m/>
    <n v="0"/>
    <m/>
    <m/>
    <n v="0"/>
    <m/>
    <m/>
    <m/>
    <m/>
    <n v="1"/>
    <n v="3700000"/>
    <m/>
    <m/>
    <m/>
    <m/>
    <m/>
    <n v="0"/>
    <m/>
    <m/>
    <m/>
    <m/>
    <m/>
    <n v="0"/>
    <m/>
    <m/>
    <m/>
    <m/>
    <m/>
    <n v="0"/>
    <m/>
    <m/>
    <m/>
    <m/>
    <m/>
    <n v="0"/>
    <m/>
    <m/>
    <m/>
    <m/>
    <m/>
    <n v="0"/>
    <m/>
    <m/>
    <m/>
    <m/>
    <m/>
    <n v="0"/>
    <m/>
    <m/>
    <m/>
    <m/>
    <n v="1"/>
    <n v="3700000"/>
  </r>
  <r>
    <m/>
    <s v="M"/>
    <s v="M"/>
    <s v="MN"/>
    <n v="999"/>
    <s v="MN999"/>
    <m/>
    <x v="8"/>
    <m/>
    <m/>
    <m/>
    <m/>
    <s v="HSIP SETASIDE"/>
    <m/>
    <m/>
    <m/>
    <m/>
    <m/>
    <m/>
    <s v=""/>
    <m/>
    <m/>
    <m/>
    <m/>
    <s v=""/>
    <m/>
    <m/>
    <m/>
    <n v="3700000"/>
    <m/>
    <m/>
    <m/>
    <m/>
    <n v="0"/>
    <m/>
    <m/>
    <m/>
    <n v="0"/>
    <m/>
    <m/>
    <m/>
    <n v="0"/>
    <m/>
    <m/>
    <m/>
    <m/>
    <n v="0"/>
    <m/>
    <n v="3700000"/>
    <n v="3700000"/>
    <n v="697117413.54999995"/>
    <n v="341804100.93000001"/>
    <n v="2023"/>
    <m/>
    <m/>
    <m/>
    <m/>
    <m/>
    <m/>
    <m/>
    <m/>
    <m/>
    <m/>
    <m/>
    <m/>
    <m/>
    <m/>
    <n v="0"/>
    <m/>
    <m/>
    <m/>
    <m/>
    <m/>
    <n v="0"/>
    <m/>
    <m/>
    <n v="0"/>
    <m/>
    <m/>
    <m/>
    <m/>
    <n v="1"/>
    <n v="3700000"/>
    <m/>
    <m/>
    <m/>
    <m/>
    <m/>
    <n v="0"/>
    <m/>
    <m/>
    <m/>
    <m/>
    <m/>
    <n v="0"/>
    <m/>
    <m/>
    <m/>
    <m/>
    <m/>
    <n v="0"/>
    <m/>
    <m/>
    <m/>
    <m/>
    <m/>
    <n v="0"/>
    <m/>
    <m/>
    <m/>
    <m/>
    <m/>
    <n v="0"/>
    <m/>
    <m/>
    <m/>
    <m/>
    <m/>
    <n v="0"/>
    <m/>
    <m/>
    <m/>
    <m/>
    <n v="1"/>
    <n v="3700000"/>
  </r>
  <r>
    <m/>
    <n v="2"/>
    <n v="2"/>
    <s v="MN"/>
    <n v="999"/>
    <s v="MN 999"/>
    <s v="8802-PM-15"/>
    <x v="1"/>
    <s v="2015-S04"/>
    <s v="S"/>
    <s v="MNDOT"/>
    <m/>
    <s v="DISTRICTWIDE SETASIDE - PAVEMENT MANAGEMENT - 2015"/>
    <n v="0"/>
    <n v="0"/>
    <n v="0"/>
    <m/>
    <s v="DISTRICTWIDE"/>
    <s v="PM"/>
    <s v=" "/>
    <m/>
    <m/>
    <s v="SETA - SETASIDE"/>
    <s v="PREVENTIVE MAINTENANCE"/>
    <s v="SF  "/>
    <s v="SF"/>
    <m/>
    <m/>
    <n v="3200000"/>
    <n v="0"/>
    <n v="0"/>
    <n v="0"/>
    <n v="0"/>
    <n v="0"/>
    <n v="0"/>
    <n v="0"/>
    <n v="0"/>
    <n v="0"/>
    <n v="0"/>
    <n v="0"/>
    <n v="0"/>
    <n v="0"/>
    <n v="0"/>
    <n v="0"/>
    <n v="3200000"/>
    <n v="0"/>
    <n v="3200000"/>
    <n v="0"/>
    <n v="0"/>
    <n v="3200000"/>
    <n v="24551482"/>
    <n v="9607894"/>
    <n v="2015"/>
    <m/>
    <m/>
    <m/>
    <m/>
    <m/>
    <m/>
    <s v="NO"/>
    <s v="NO"/>
    <m/>
    <s v="NO"/>
    <s v="NO"/>
    <s v="Yes"/>
    <s v="NO"/>
    <n v="1"/>
    <n v="3200000"/>
    <m/>
    <m/>
    <m/>
    <m/>
    <n v="0"/>
    <n v="0"/>
    <m/>
    <n v="0"/>
    <n v="0"/>
    <m/>
    <m/>
    <m/>
    <m/>
    <n v="0"/>
    <n v="0"/>
    <m/>
    <m/>
    <m/>
    <m/>
    <n v="0"/>
    <n v="0"/>
    <m/>
    <m/>
    <m/>
    <m/>
    <n v="0"/>
    <n v="0"/>
    <m/>
    <m/>
    <m/>
    <m/>
    <n v="0"/>
    <n v="0"/>
    <m/>
    <m/>
    <m/>
    <m/>
    <n v="0"/>
    <n v="0"/>
    <m/>
    <m/>
    <m/>
    <m/>
    <n v="0"/>
    <n v="0"/>
    <m/>
    <m/>
    <m/>
    <m/>
    <n v="0"/>
    <n v="0"/>
    <m/>
    <m/>
    <m/>
    <m/>
    <n v="1"/>
    <n v="3200000"/>
  </r>
  <r>
    <m/>
    <n v="6"/>
    <n v="6"/>
    <s v="MN"/>
    <n v="999"/>
    <s v="MN 999"/>
    <s v="8806-RSI-23"/>
    <x v="8"/>
    <m/>
    <s v="S"/>
    <s v="MNDOT"/>
    <m/>
    <s v="DISTRICTWIDE SETASIDE - ROADSIDE INFRASTRUCTURE - 2023"/>
    <m/>
    <m/>
    <m/>
    <m/>
    <m/>
    <m/>
    <m/>
    <m/>
    <m/>
    <m/>
    <m/>
    <m/>
    <m/>
    <m/>
    <m/>
    <n v="3640000"/>
    <m/>
    <m/>
    <m/>
    <m/>
    <n v="0"/>
    <m/>
    <m/>
    <m/>
    <n v="0"/>
    <m/>
    <m/>
    <m/>
    <n v="0"/>
    <m/>
    <m/>
    <n v="3640000"/>
    <m/>
    <n v="3640000"/>
    <m/>
    <m/>
    <n v="3640000"/>
    <m/>
    <m/>
    <n v="2023"/>
    <m/>
    <m/>
    <m/>
    <m/>
    <m/>
    <m/>
    <m/>
    <m/>
    <m/>
    <m/>
    <m/>
    <m/>
    <m/>
    <m/>
    <n v="0"/>
    <m/>
    <m/>
    <m/>
    <m/>
    <m/>
    <n v="0"/>
    <m/>
    <n v="1"/>
    <n v="3640000"/>
    <m/>
    <m/>
    <m/>
    <m/>
    <m/>
    <n v="0"/>
    <m/>
    <m/>
    <m/>
    <m/>
    <m/>
    <n v="0"/>
    <m/>
    <m/>
    <m/>
    <m/>
    <m/>
    <n v="0"/>
    <m/>
    <m/>
    <m/>
    <m/>
    <m/>
    <n v="0"/>
    <m/>
    <m/>
    <m/>
    <m/>
    <m/>
    <n v="0"/>
    <m/>
    <m/>
    <m/>
    <m/>
    <m/>
    <n v="0"/>
    <m/>
    <m/>
    <m/>
    <m/>
    <m/>
    <n v="0"/>
    <m/>
    <m/>
    <m/>
    <m/>
    <n v="1"/>
    <n v="3640000"/>
  </r>
  <r>
    <m/>
    <n v="2"/>
    <n v="2"/>
    <s v="MN"/>
    <n v="999"/>
    <s v="MN 999"/>
    <s v="8802-PM-16"/>
    <x v="2"/>
    <s v="2016-S04"/>
    <s v="S"/>
    <s v="MNDOT"/>
    <m/>
    <s v="DISTRICTWIDE SETASIDE - PAVEMENT MANAGEMENT - 2016"/>
    <n v="0"/>
    <n v="0"/>
    <n v="0"/>
    <m/>
    <s v="DISTRICTWIDE"/>
    <s v="PM"/>
    <s v=" "/>
    <m/>
    <m/>
    <s v="SETA - SETASIDE"/>
    <s v="PREVENTIVE MAINTENANCE"/>
    <s v="SF  "/>
    <s v="SF"/>
    <m/>
    <m/>
    <n v="3300000"/>
    <n v="0"/>
    <n v="0"/>
    <n v="0"/>
    <n v="0"/>
    <n v="0"/>
    <n v="0"/>
    <n v="0"/>
    <n v="0"/>
    <n v="0"/>
    <n v="0"/>
    <n v="0"/>
    <n v="0"/>
    <n v="0"/>
    <n v="0"/>
    <n v="0"/>
    <n v="3300000"/>
    <n v="0"/>
    <n v="3300000"/>
    <n v="0"/>
    <n v="0"/>
    <n v="3300000"/>
    <n v="33891451"/>
    <n v="9134294"/>
    <n v="2016"/>
    <m/>
    <m/>
    <m/>
    <m/>
    <m/>
    <m/>
    <s v="NO"/>
    <s v="NO"/>
    <m/>
    <s v="NO"/>
    <s v="NO"/>
    <s v="Yes"/>
    <s v="NO"/>
    <n v="1"/>
    <n v="3300000"/>
    <m/>
    <m/>
    <m/>
    <m/>
    <n v="0"/>
    <n v="0"/>
    <m/>
    <n v="0"/>
    <n v="0"/>
    <m/>
    <m/>
    <m/>
    <m/>
    <n v="0"/>
    <n v="0"/>
    <m/>
    <m/>
    <m/>
    <m/>
    <n v="0"/>
    <n v="0"/>
    <m/>
    <m/>
    <m/>
    <m/>
    <n v="0"/>
    <n v="0"/>
    <m/>
    <m/>
    <m/>
    <m/>
    <n v="0"/>
    <n v="0"/>
    <m/>
    <m/>
    <m/>
    <m/>
    <n v="0"/>
    <n v="0"/>
    <m/>
    <m/>
    <m/>
    <m/>
    <n v="0"/>
    <n v="0"/>
    <m/>
    <m/>
    <m/>
    <m/>
    <n v="0"/>
    <n v="0"/>
    <m/>
    <m/>
    <m/>
    <m/>
    <n v="1"/>
    <n v="3300000"/>
  </r>
  <r>
    <m/>
    <n v="2"/>
    <n v="2"/>
    <s v="MN"/>
    <n v="999"/>
    <s v="MN 999"/>
    <s v="8802-PM-17"/>
    <x v="9"/>
    <m/>
    <s v="S"/>
    <s v="MNDOT"/>
    <m/>
    <s v="DISTRICTWIDE SETASIDE - PAVEMENT MANAGEMENT - 2017"/>
    <n v="0"/>
    <n v="0"/>
    <n v="0"/>
    <m/>
    <s v="DISTRICTWIDE"/>
    <s v="PM"/>
    <m/>
    <m/>
    <m/>
    <s v="SETA - SETASIDE"/>
    <s v="PREVENTIVE MAINTENANCE"/>
    <s v="SF  "/>
    <s v="SF"/>
    <m/>
    <m/>
    <n v="2200000"/>
    <n v="0"/>
    <n v="0"/>
    <n v="0"/>
    <n v="0"/>
    <n v="0"/>
    <n v="0"/>
    <n v="0"/>
    <n v="0"/>
    <n v="0"/>
    <n v="0"/>
    <n v="0"/>
    <n v="0"/>
    <n v="0"/>
    <n v="0"/>
    <n v="0"/>
    <n v="2200000"/>
    <n v="0"/>
    <n v="2200000"/>
    <n v="0"/>
    <n v="0"/>
    <n v="2200000"/>
    <n v="15771400"/>
    <n v="6795778"/>
    <n v="2017"/>
    <m/>
    <m/>
    <m/>
    <m/>
    <m/>
    <m/>
    <s v="NO"/>
    <s v="NO"/>
    <m/>
    <s v="NO"/>
    <s v="NO"/>
    <s v="Yes"/>
    <s v="NO"/>
    <n v="1"/>
    <n v="2200000"/>
    <m/>
    <m/>
    <m/>
    <m/>
    <n v="0"/>
    <n v="0"/>
    <m/>
    <n v="0"/>
    <n v="0"/>
    <m/>
    <m/>
    <m/>
    <m/>
    <n v="0"/>
    <n v="0"/>
    <m/>
    <m/>
    <m/>
    <m/>
    <n v="0"/>
    <n v="0"/>
    <m/>
    <m/>
    <m/>
    <m/>
    <n v="0"/>
    <n v="0"/>
    <m/>
    <m/>
    <m/>
    <m/>
    <n v="0"/>
    <n v="0"/>
    <m/>
    <m/>
    <m/>
    <m/>
    <n v="0"/>
    <n v="0"/>
    <m/>
    <m/>
    <m/>
    <m/>
    <n v="0"/>
    <n v="0"/>
    <m/>
    <m/>
    <m/>
    <m/>
    <n v="0"/>
    <n v="0"/>
    <m/>
    <m/>
    <m/>
    <m/>
    <n v="1"/>
    <n v="2200000"/>
  </r>
  <r>
    <m/>
    <n v="7"/>
    <n v="7"/>
    <s v="MN"/>
    <n v="999"/>
    <s v="MN999"/>
    <m/>
    <x v="3"/>
    <m/>
    <m/>
    <m/>
    <m/>
    <s v="BARC SETASIDE"/>
    <m/>
    <m/>
    <m/>
    <m/>
    <m/>
    <m/>
    <s v=""/>
    <m/>
    <m/>
    <m/>
    <m/>
    <s v=""/>
    <m/>
    <m/>
    <m/>
    <n v="3600000"/>
    <m/>
    <m/>
    <m/>
    <m/>
    <n v="0"/>
    <m/>
    <m/>
    <m/>
    <n v="0"/>
    <m/>
    <m/>
    <m/>
    <n v="0"/>
    <m/>
    <m/>
    <m/>
    <m/>
    <n v="0"/>
    <m/>
    <n v="3600000"/>
    <n v="3600000"/>
    <n v="697117413.54999995"/>
    <n v="339453830.93000001"/>
    <n v="2018"/>
    <m/>
    <m/>
    <m/>
    <m/>
    <m/>
    <m/>
    <m/>
    <m/>
    <m/>
    <m/>
    <m/>
    <m/>
    <m/>
    <n v="0.87"/>
    <n v="3132000"/>
    <m/>
    <m/>
    <m/>
    <m/>
    <n v="0.13"/>
    <n v="468000"/>
    <m/>
    <m/>
    <n v="0"/>
    <m/>
    <m/>
    <m/>
    <m/>
    <m/>
    <n v="0"/>
    <m/>
    <m/>
    <m/>
    <m/>
    <m/>
    <n v="0"/>
    <m/>
    <m/>
    <m/>
    <m/>
    <m/>
    <n v="0"/>
    <m/>
    <m/>
    <m/>
    <m/>
    <m/>
    <n v="0"/>
    <m/>
    <m/>
    <m/>
    <m/>
    <m/>
    <n v="0"/>
    <m/>
    <m/>
    <m/>
    <m/>
    <m/>
    <n v="0"/>
    <m/>
    <m/>
    <m/>
    <m/>
    <m/>
    <n v="0"/>
    <m/>
    <m/>
    <m/>
    <m/>
    <n v="1"/>
    <n v="3600000"/>
  </r>
  <r>
    <m/>
    <n v="7"/>
    <n v="7"/>
    <s v="MN"/>
    <n v="999"/>
    <s v="MN999"/>
    <m/>
    <x v="4"/>
    <m/>
    <m/>
    <m/>
    <m/>
    <s v="BARC SETASIDE"/>
    <m/>
    <m/>
    <m/>
    <m/>
    <m/>
    <m/>
    <s v=""/>
    <m/>
    <m/>
    <m/>
    <m/>
    <s v=""/>
    <m/>
    <m/>
    <m/>
    <n v="3600000"/>
    <m/>
    <m/>
    <m/>
    <m/>
    <n v="0"/>
    <m/>
    <m/>
    <m/>
    <n v="0"/>
    <m/>
    <m/>
    <m/>
    <n v="0"/>
    <m/>
    <m/>
    <m/>
    <m/>
    <n v="0"/>
    <m/>
    <n v="3600000"/>
    <n v="3600000"/>
    <n v="697117413.54999995"/>
    <n v="339453830.93000001"/>
    <n v="2019"/>
    <m/>
    <m/>
    <m/>
    <m/>
    <m/>
    <m/>
    <m/>
    <m/>
    <m/>
    <m/>
    <m/>
    <m/>
    <m/>
    <n v="0.87"/>
    <n v="3132000"/>
    <m/>
    <m/>
    <m/>
    <m/>
    <n v="0.13"/>
    <n v="468000"/>
    <m/>
    <m/>
    <n v="0"/>
    <m/>
    <m/>
    <m/>
    <m/>
    <m/>
    <n v="0"/>
    <m/>
    <m/>
    <m/>
    <m/>
    <m/>
    <n v="0"/>
    <m/>
    <m/>
    <m/>
    <m/>
    <m/>
    <n v="0"/>
    <m/>
    <m/>
    <m/>
    <m/>
    <m/>
    <n v="0"/>
    <m/>
    <m/>
    <m/>
    <m/>
    <m/>
    <n v="0"/>
    <m/>
    <m/>
    <m/>
    <m/>
    <m/>
    <n v="0"/>
    <m/>
    <m/>
    <m/>
    <m/>
    <m/>
    <n v="0"/>
    <m/>
    <m/>
    <m/>
    <m/>
    <n v="1"/>
    <n v="3600000"/>
  </r>
  <r>
    <m/>
    <n v="7"/>
    <n v="7"/>
    <s v="MN"/>
    <n v="999"/>
    <s v="MN999"/>
    <m/>
    <x v="5"/>
    <m/>
    <m/>
    <m/>
    <m/>
    <s v="BARC SETASIDE"/>
    <m/>
    <m/>
    <m/>
    <m/>
    <m/>
    <m/>
    <s v=""/>
    <m/>
    <m/>
    <m/>
    <m/>
    <s v=""/>
    <m/>
    <m/>
    <m/>
    <n v="3600000"/>
    <m/>
    <m/>
    <m/>
    <m/>
    <n v="0"/>
    <m/>
    <m/>
    <m/>
    <n v="0"/>
    <m/>
    <m/>
    <m/>
    <n v="0"/>
    <m/>
    <m/>
    <m/>
    <m/>
    <n v="0"/>
    <m/>
    <n v="3600000"/>
    <n v="3600000"/>
    <n v="697117413.54999995"/>
    <n v="339453830.93000001"/>
    <n v="2020"/>
    <m/>
    <m/>
    <m/>
    <m/>
    <m/>
    <m/>
    <m/>
    <m/>
    <m/>
    <m/>
    <m/>
    <m/>
    <m/>
    <n v="0.87"/>
    <n v="3132000"/>
    <m/>
    <m/>
    <m/>
    <m/>
    <n v="0.13"/>
    <n v="468000"/>
    <m/>
    <m/>
    <n v="0"/>
    <m/>
    <m/>
    <m/>
    <m/>
    <m/>
    <n v="0"/>
    <m/>
    <m/>
    <m/>
    <m/>
    <m/>
    <n v="0"/>
    <m/>
    <m/>
    <m/>
    <m/>
    <m/>
    <n v="0"/>
    <m/>
    <m/>
    <m/>
    <m/>
    <m/>
    <n v="0"/>
    <m/>
    <m/>
    <m/>
    <m/>
    <m/>
    <n v="0"/>
    <m/>
    <m/>
    <m/>
    <m/>
    <m/>
    <n v="0"/>
    <m/>
    <m/>
    <m/>
    <m/>
    <m/>
    <n v="0"/>
    <m/>
    <m/>
    <m/>
    <m/>
    <n v="1"/>
    <n v="3600000"/>
  </r>
  <r>
    <m/>
    <n v="7"/>
    <n v="7"/>
    <s v="MN"/>
    <n v="999"/>
    <s v="MN999"/>
    <m/>
    <x v="6"/>
    <m/>
    <m/>
    <m/>
    <m/>
    <s v="BARC SETASIDE"/>
    <m/>
    <m/>
    <m/>
    <m/>
    <m/>
    <m/>
    <s v=""/>
    <m/>
    <m/>
    <m/>
    <m/>
    <s v=""/>
    <m/>
    <m/>
    <m/>
    <n v="3600000"/>
    <m/>
    <m/>
    <m/>
    <m/>
    <n v="0"/>
    <m/>
    <m/>
    <m/>
    <n v="0"/>
    <m/>
    <m/>
    <m/>
    <n v="0"/>
    <m/>
    <m/>
    <m/>
    <m/>
    <n v="0"/>
    <m/>
    <n v="3600000"/>
    <n v="3600000"/>
    <n v="697117413.54999995"/>
    <n v="339453830.93000001"/>
    <n v="2021"/>
    <m/>
    <m/>
    <m/>
    <m/>
    <m/>
    <m/>
    <m/>
    <m/>
    <m/>
    <m/>
    <m/>
    <m/>
    <m/>
    <n v="0.87"/>
    <n v="3132000"/>
    <m/>
    <m/>
    <m/>
    <m/>
    <n v="0.13"/>
    <n v="468000"/>
    <m/>
    <m/>
    <n v="0"/>
    <m/>
    <m/>
    <m/>
    <m/>
    <m/>
    <n v="0"/>
    <m/>
    <m/>
    <m/>
    <m/>
    <m/>
    <n v="0"/>
    <m/>
    <m/>
    <m/>
    <m/>
    <m/>
    <n v="0"/>
    <m/>
    <m/>
    <m/>
    <m/>
    <m/>
    <n v="0"/>
    <m/>
    <m/>
    <m/>
    <m/>
    <m/>
    <n v="0"/>
    <m/>
    <m/>
    <m/>
    <m/>
    <m/>
    <n v="0"/>
    <m/>
    <m/>
    <m/>
    <m/>
    <m/>
    <n v="0"/>
    <m/>
    <m/>
    <m/>
    <m/>
    <n v="1"/>
    <n v="3600000"/>
  </r>
  <r>
    <m/>
    <n v="7"/>
    <n v="7"/>
    <s v="MN"/>
    <n v="999"/>
    <s v="MN999"/>
    <m/>
    <x v="7"/>
    <m/>
    <m/>
    <m/>
    <m/>
    <s v="BARC SETASIDE"/>
    <m/>
    <m/>
    <m/>
    <m/>
    <m/>
    <m/>
    <s v=""/>
    <m/>
    <m/>
    <m/>
    <m/>
    <s v=""/>
    <m/>
    <m/>
    <m/>
    <n v="3600000"/>
    <m/>
    <m/>
    <m/>
    <m/>
    <n v="0"/>
    <m/>
    <m/>
    <m/>
    <n v="0"/>
    <m/>
    <m/>
    <m/>
    <n v="0"/>
    <m/>
    <m/>
    <m/>
    <m/>
    <n v="0"/>
    <m/>
    <n v="3600000"/>
    <n v="3600000"/>
    <n v="697117413.54999995"/>
    <n v="339453830.93000001"/>
    <n v="2022"/>
    <m/>
    <m/>
    <m/>
    <m/>
    <m/>
    <m/>
    <m/>
    <m/>
    <m/>
    <m/>
    <m/>
    <m/>
    <m/>
    <n v="0.87"/>
    <n v="3132000"/>
    <m/>
    <m/>
    <m/>
    <m/>
    <n v="0.13"/>
    <n v="468000"/>
    <m/>
    <m/>
    <n v="0"/>
    <m/>
    <m/>
    <m/>
    <m/>
    <m/>
    <n v="0"/>
    <m/>
    <m/>
    <m/>
    <m/>
    <m/>
    <n v="0"/>
    <m/>
    <m/>
    <m/>
    <m/>
    <m/>
    <n v="0"/>
    <m/>
    <m/>
    <m/>
    <m/>
    <m/>
    <n v="0"/>
    <m/>
    <m/>
    <m/>
    <m/>
    <m/>
    <n v="0"/>
    <m/>
    <m/>
    <m/>
    <m/>
    <m/>
    <n v="0"/>
    <m/>
    <m/>
    <m/>
    <m/>
    <m/>
    <n v="0"/>
    <m/>
    <m/>
    <m/>
    <m/>
    <n v="1"/>
    <n v="3600000"/>
  </r>
  <r>
    <m/>
    <n v="7"/>
    <n v="7"/>
    <s v="MN"/>
    <n v="999"/>
    <s v="MN999"/>
    <m/>
    <x v="8"/>
    <m/>
    <m/>
    <m/>
    <m/>
    <s v="BARC SETASIDE"/>
    <m/>
    <m/>
    <m/>
    <m/>
    <m/>
    <m/>
    <s v=""/>
    <m/>
    <m/>
    <m/>
    <m/>
    <s v=""/>
    <m/>
    <m/>
    <m/>
    <n v="3600000"/>
    <m/>
    <m/>
    <m/>
    <m/>
    <n v="0"/>
    <m/>
    <m/>
    <m/>
    <n v="0"/>
    <m/>
    <m/>
    <m/>
    <n v="0"/>
    <m/>
    <m/>
    <m/>
    <m/>
    <n v="0"/>
    <m/>
    <n v="3600000"/>
    <n v="3600000"/>
    <n v="697117413.54999995"/>
    <n v="339453830.93000001"/>
    <n v="2023"/>
    <m/>
    <m/>
    <m/>
    <m/>
    <m/>
    <m/>
    <m/>
    <m/>
    <m/>
    <m/>
    <m/>
    <m/>
    <m/>
    <n v="0.87"/>
    <n v="3132000"/>
    <m/>
    <m/>
    <m/>
    <m/>
    <n v="0.13"/>
    <n v="468000"/>
    <m/>
    <m/>
    <n v="0"/>
    <m/>
    <m/>
    <m/>
    <m/>
    <m/>
    <n v="0"/>
    <m/>
    <m/>
    <m/>
    <m/>
    <m/>
    <n v="0"/>
    <m/>
    <m/>
    <m/>
    <m/>
    <m/>
    <n v="0"/>
    <m/>
    <m/>
    <m/>
    <m/>
    <m/>
    <n v="0"/>
    <m/>
    <m/>
    <m/>
    <m/>
    <m/>
    <n v="0"/>
    <m/>
    <m/>
    <m/>
    <m/>
    <m/>
    <n v="0"/>
    <m/>
    <m/>
    <m/>
    <m/>
    <m/>
    <n v="0"/>
    <m/>
    <m/>
    <m/>
    <m/>
    <n v="1"/>
    <n v="3600000"/>
  </r>
  <r>
    <m/>
    <n v="2"/>
    <n v="2"/>
    <s v="MN"/>
    <n v="999"/>
    <s v="MN 999"/>
    <s v="8802-RW-14"/>
    <x v="0"/>
    <s v="2014-S05"/>
    <s v="S"/>
    <s v="MNDOT"/>
    <m/>
    <s v="DISTRICTWIDE SETASIDE - RIGHT OF WAY - 2014"/>
    <n v="0"/>
    <n v="0"/>
    <n v="0"/>
    <m/>
    <s v="DISTRICTWIDE"/>
    <s v="RW"/>
    <s v=" "/>
    <m/>
    <m/>
    <s v="SETA - SETASIDE"/>
    <s v="RIGHT OF WAY"/>
    <s v="SF  "/>
    <s v="SF"/>
    <m/>
    <m/>
    <n v="500000"/>
    <n v="0"/>
    <n v="0"/>
    <n v="0"/>
    <n v="0"/>
    <n v="0"/>
    <n v="0"/>
    <n v="0"/>
    <n v="0"/>
    <n v="0"/>
    <n v="0"/>
    <n v="0"/>
    <n v="0"/>
    <n v="0"/>
    <n v="0"/>
    <n v="0"/>
    <n v="500000"/>
    <n v="0"/>
    <n v="500000"/>
    <n v="0"/>
    <n v="0"/>
    <n v="500000"/>
    <n v="18022963"/>
    <n v="8975294"/>
    <n v="2014"/>
    <m/>
    <m/>
    <m/>
    <m/>
    <m/>
    <m/>
    <s v="NO"/>
    <s v="NO"/>
    <m/>
    <s v="NO"/>
    <s v="NO"/>
    <s v="Yes"/>
    <s v="NO"/>
    <n v="0"/>
    <n v="0"/>
    <m/>
    <m/>
    <m/>
    <m/>
    <n v="0"/>
    <n v="0"/>
    <m/>
    <n v="0"/>
    <n v="0"/>
    <m/>
    <m/>
    <m/>
    <m/>
    <n v="0"/>
    <n v="0"/>
    <m/>
    <m/>
    <m/>
    <m/>
    <n v="0"/>
    <n v="0"/>
    <m/>
    <m/>
    <m/>
    <m/>
    <n v="0"/>
    <n v="0"/>
    <m/>
    <m/>
    <m/>
    <m/>
    <n v="0"/>
    <n v="0"/>
    <m/>
    <m/>
    <m/>
    <m/>
    <n v="0"/>
    <n v="0"/>
    <m/>
    <m/>
    <m/>
    <m/>
    <n v="0"/>
    <n v="0"/>
    <m/>
    <m/>
    <m/>
    <m/>
    <n v="1"/>
    <n v="500000"/>
    <m/>
    <m/>
    <m/>
    <m/>
    <n v="1"/>
    <n v="500000"/>
  </r>
  <r>
    <m/>
    <n v="2"/>
    <n v="2"/>
    <s v="MN"/>
    <n v="999"/>
    <s v="MN 999"/>
    <s v="8802-RW-15"/>
    <x v="1"/>
    <s v="2015-S05"/>
    <s v="S"/>
    <s v="MNDOT"/>
    <m/>
    <s v="DISTRICTWIDE SETASIDE - RIGHT OF WAY - 2015"/>
    <n v="0"/>
    <n v="0"/>
    <n v="0"/>
    <m/>
    <s v="DISTRICTWIDE"/>
    <s v="RW"/>
    <s v=" "/>
    <m/>
    <m/>
    <s v="SETA - SETASIDE"/>
    <s v="RIGHT OF WAY"/>
    <s v="SF  "/>
    <s v="SF"/>
    <m/>
    <m/>
    <n v="500000"/>
    <n v="0"/>
    <n v="0"/>
    <n v="0"/>
    <n v="0"/>
    <n v="0"/>
    <n v="0"/>
    <n v="0"/>
    <n v="0"/>
    <n v="0"/>
    <n v="0"/>
    <n v="0"/>
    <n v="0"/>
    <n v="0"/>
    <n v="0"/>
    <n v="0"/>
    <n v="500000"/>
    <n v="0"/>
    <n v="500000"/>
    <n v="0"/>
    <n v="0"/>
    <n v="500000"/>
    <n v="24551482"/>
    <n v="10107894"/>
    <n v="2015"/>
    <m/>
    <m/>
    <m/>
    <m/>
    <m/>
    <m/>
    <s v="NO"/>
    <s v="NO"/>
    <m/>
    <s v="NO"/>
    <s v="NO"/>
    <s v="Yes"/>
    <s v="NO"/>
    <n v="0"/>
    <n v="0"/>
    <m/>
    <m/>
    <m/>
    <m/>
    <n v="0"/>
    <n v="0"/>
    <m/>
    <n v="0"/>
    <n v="0"/>
    <m/>
    <m/>
    <m/>
    <m/>
    <n v="0"/>
    <n v="0"/>
    <m/>
    <m/>
    <m/>
    <m/>
    <n v="0"/>
    <n v="0"/>
    <m/>
    <m/>
    <m/>
    <m/>
    <n v="0"/>
    <n v="0"/>
    <m/>
    <m/>
    <m/>
    <m/>
    <n v="0"/>
    <n v="0"/>
    <m/>
    <m/>
    <m/>
    <m/>
    <n v="0"/>
    <n v="0"/>
    <m/>
    <m/>
    <m/>
    <m/>
    <n v="0"/>
    <n v="0"/>
    <m/>
    <m/>
    <m/>
    <m/>
    <n v="1"/>
    <n v="500000"/>
    <m/>
    <m/>
    <m/>
    <m/>
    <n v="1"/>
    <n v="500000"/>
  </r>
  <r>
    <m/>
    <n v="2"/>
    <n v="2"/>
    <s v="MN"/>
    <n v="999"/>
    <s v="MN 999"/>
    <s v="8802-RW-16"/>
    <x v="2"/>
    <s v="2016-S05"/>
    <s v="S"/>
    <s v="MNDOT"/>
    <m/>
    <s v="DISTRICTWIDE SETASIDE - RIGHT OF WAY - 2016"/>
    <n v="0"/>
    <n v="0"/>
    <n v="0"/>
    <m/>
    <s v="DISTRICTWIDE"/>
    <s v="RW"/>
    <s v=" "/>
    <m/>
    <m/>
    <s v="SETA - SETASIDE"/>
    <s v="RIGHT OF WAY"/>
    <s v="SF  "/>
    <s v="SF"/>
    <m/>
    <m/>
    <n v="500000"/>
    <n v="0"/>
    <n v="0"/>
    <n v="0"/>
    <n v="0"/>
    <n v="0"/>
    <n v="0"/>
    <n v="0"/>
    <n v="0"/>
    <n v="0"/>
    <n v="0"/>
    <n v="0"/>
    <n v="0"/>
    <n v="0"/>
    <n v="0"/>
    <n v="0"/>
    <n v="500000"/>
    <n v="0"/>
    <n v="500000"/>
    <n v="0"/>
    <n v="0"/>
    <n v="500000"/>
    <n v="33891451"/>
    <n v="9634294"/>
    <n v="2016"/>
    <m/>
    <m/>
    <m/>
    <m/>
    <m/>
    <m/>
    <s v="NO"/>
    <s v="NO"/>
    <m/>
    <s v="NO"/>
    <s v="NO"/>
    <s v="Yes"/>
    <s v="NO"/>
    <n v="0"/>
    <n v="0"/>
    <m/>
    <m/>
    <m/>
    <m/>
    <n v="0"/>
    <n v="0"/>
    <m/>
    <n v="0"/>
    <n v="0"/>
    <m/>
    <m/>
    <m/>
    <m/>
    <n v="0"/>
    <n v="0"/>
    <m/>
    <m/>
    <m/>
    <m/>
    <n v="0"/>
    <n v="0"/>
    <m/>
    <m/>
    <m/>
    <m/>
    <n v="0"/>
    <n v="0"/>
    <m/>
    <m/>
    <m/>
    <m/>
    <n v="0"/>
    <n v="0"/>
    <m/>
    <m/>
    <m/>
    <m/>
    <n v="0"/>
    <n v="0"/>
    <m/>
    <m/>
    <m/>
    <m/>
    <n v="0"/>
    <n v="0"/>
    <m/>
    <m/>
    <m/>
    <m/>
    <n v="1"/>
    <n v="500000"/>
    <m/>
    <m/>
    <m/>
    <m/>
    <n v="1"/>
    <n v="500000"/>
  </r>
  <r>
    <m/>
    <n v="2"/>
    <n v="2"/>
    <s v="MN"/>
    <n v="999"/>
    <s v="MN 999"/>
    <s v="8802-RW-17"/>
    <x v="9"/>
    <m/>
    <s v="S"/>
    <s v="MNDOT"/>
    <m/>
    <s v="DISTRICTWIDE SETASIDE - RIGHT OF WAY - 2017"/>
    <n v="0"/>
    <n v="0"/>
    <n v="0"/>
    <m/>
    <s v="DISTRICTWIDE"/>
    <s v="RW"/>
    <m/>
    <m/>
    <m/>
    <s v="SETA - SETASIDE"/>
    <s v="RIGHT OF WAY"/>
    <s v="SF  "/>
    <s v="SF"/>
    <m/>
    <m/>
    <n v="500000"/>
    <n v="0"/>
    <n v="0"/>
    <n v="0"/>
    <n v="0"/>
    <n v="0"/>
    <n v="0"/>
    <n v="0"/>
    <n v="0"/>
    <n v="0"/>
    <n v="0"/>
    <n v="0"/>
    <n v="0"/>
    <n v="0"/>
    <n v="0"/>
    <n v="0"/>
    <n v="500000"/>
    <n v="0"/>
    <n v="500000"/>
    <n v="0"/>
    <n v="0"/>
    <n v="500000"/>
    <n v="15771400"/>
    <n v="7295778"/>
    <n v="2017"/>
    <m/>
    <m/>
    <m/>
    <m/>
    <m/>
    <m/>
    <s v="NO"/>
    <s v="NO"/>
    <m/>
    <s v="NO"/>
    <s v="NO"/>
    <s v="Yes"/>
    <s v="NO"/>
    <n v="0"/>
    <n v="0"/>
    <m/>
    <m/>
    <m/>
    <m/>
    <n v="0"/>
    <n v="0"/>
    <m/>
    <n v="0"/>
    <n v="0"/>
    <m/>
    <m/>
    <m/>
    <m/>
    <n v="0"/>
    <n v="0"/>
    <m/>
    <m/>
    <m/>
    <m/>
    <n v="0"/>
    <n v="0"/>
    <m/>
    <m/>
    <m/>
    <m/>
    <n v="0"/>
    <n v="0"/>
    <m/>
    <m/>
    <m/>
    <m/>
    <n v="0"/>
    <n v="0"/>
    <m/>
    <m/>
    <m/>
    <m/>
    <n v="0"/>
    <n v="0"/>
    <m/>
    <m/>
    <m/>
    <m/>
    <n v="0"/>
    <n v="0"/>
    <m/>
    <m/>
    <m/>
    <m/>
    <n v="1"/>
    <n v="500000"/>
    <m/>
    <m/>
    <m/>
    <m/>
    <n v="1"/>
    <n v="500000"/>
  </r>
  <r>
    <m/>
    <n v="2"/>
    <n v="2"/>
    <s v="MN"/>
    <n v="999"/>
    <s v="MN 999"/>
    <s v="8802-RX-14"/>
    <x v="0"/>
    <s v="2014-S06"/>
    <s v="S"/>
    <s v="MNDOT"/>
    <m/>
    <s v="DISTRICTWIDE SETASIDE - BARC - 2014 "/>
    <n v="0"/>
    <n v="0"/>
    <n v="0"/>
    <m/>
    <s v="DISTRICTWIDE"/>
    <s v="RX"/>
    <s v=" "/>
    <m/>
    <m/>
    <s v="SETA - SETASIDE"/>
    <s v="ROAD REPAIR"/>
    <s v="SF  "/>
    <s v="SF"/>
    <m/>
    <m/>
    <n v="2000000"/>
    <n v="0"/>
    <n v="0"/>
    <n v="0"/>
    <n v="0"/>
    <n v="0"/>
    <n v="0"/>
    <n v="0"/>
    <n v="0"/>
    <n v="0"/>
    <n v="0"/>
    <n v="0"/>
    <n v="0"/>
    <n v="0"/>
    <n v="0"/>
    <n v="0"/>
    <n v="2000000"/>
    <n v="0"/>
    <n v="2000000"/>
    <n v="0"/>
    <n v="0"/>
    <n v="2000000"/>
    <n v="18022963"/>
    <n v="10975294"/>
    <n v="2014"/>
    <m/>
    <m/>
    <m/>
    <m/>
    <m/>
    <m/>
    <s v="NO"/>
    <s v="NO"/>
    <m/>
    <s v="NO"/>
    <s v="NO"/>
    <s v="Yes"/>
    <s v="NO"/>
    <n v="0.66"/>
    <n v="1320000"/>
    <m/>
    <m/>
    <m/>
    <m/>
    <n v="0"/>
    <n v="0"/>
    <m/>
    <n v="0.34"/>
    <n v="680000"/>
    <m/>
    <m/>
    <m/>
    <m/>
    <n v="0"/>
    <n v="0"/>
    <m/>
    <m/>
    <m/>
    <m/>
    <n v="0"/>
    <n v="0"/>
    <m/>
    <m/>
    <m/>
    <m/>
    <n v="0"/>
    <n v="0"/>
    <m/>
    <m/>
    <m/>
    <m/>
    <n v="0"/>
    <n v="0"/>
    <m/>
    <m/>
    <m/>
    <m/>
    <n v="0"/>
    <n v="0"/>
    <m/>
    <m/>
    <m/>
    <m/>
    <n v="0"/>
    <n v="0"/>
    <m/>
    <m/>
    <m/>
    <m/>
    <n v="0"/>
    <n v="0"/>
    <m/>
    <m/>
    <m/>
    <m/>
    <n v="1"/>
    <n v="2000000"/>
  </r>
  <r>
    <m/>
    <n v="7"/>
    <n v="7"/>
    <s v="MN"/>
    <n v="999"/>
    <s v="MN999"/>
    <m/>
    <x v="4"/>
    <m/>
    <m/>
    <m/>
    <m/>
    <s v="CONSULTANT AGREEMENTS SETASIDE"/>
    <m/>
    <m/>
    <m/>
    <m/>
    <m/>
    <m/>
    <m/>
    <m/>
    <m/>
    <m/>
    <m/>
    <m/>
    <m/>
    <m/>
    <m/>
    <n v="3500000"/>
    <m/>
    <m/>
    <m/>
    <m/>
    <m/>
    <m/>
    <m/>
    <m/>
    <m/>
    <m/>
    <m/>
    <m/>
    <m/>
    <m/>
    <m/>
    <m/>
    <m/>
    <m/>
    <m/>
    <n v="3500000"/>
    <n v="3500000"/>
    <m/>
    <m/>
    <m/>
    <m/>
    <m/>
    <m/>
    <m/>
    <m/>
    <m/>
    <m/>
    <m/>
    <m/>
    <m/>
    <m/>
    <m/>
    <m/>
    <m/>
    <n v="0"/>
    <m/>
    <m/>
    <m/>
    <m/>
    <m/>
    <n v="0"/>
    <m/>
    <m/>
    <n v="0"/>
    <m/>
    <m/>
    <m/>
    <m/>
    <m/>
    <n v="0"/>
    <m/>
    <m/>
    <m/>
    <m/>
    <m/>
    <n v="0"/>
    <m/>
    <m/>
    <m/>
    <m/>
    <m/>
    <n v="0"/>
    <m/>
    <m/>
    <m/>
    <m/>
    <m/>
    <n v="0"/>
    <m/>
    <m/>
    <m/>
    <m/>
    <m/>
    <n v="0"/>
    <m/>
    <m/>
    <m/>
    <m/>
    <m/>
    <n v="0"/>
    <m/>
    <m/>
    <m/>
    <m/>
    <n v="1"/>
    <n v="3500000"/>
    <s v="Consultant services"/>
    <m/>
    <m/>
    <m/>
    <n v="1"/>
    <n v="3500000"/>
  </r>
  <r>
    <m/>
    <n v="1"/>
    <n v="1"/>
    <s v="MN"/>
    <n v="999"/>
    <s v="MN 999"/>
    <s v="8801-RX-20"/>
    <x v="5"/>
    <m/>
    <m/>
    <m/>
    <m/>
    <s v="DISTICTWIDE SETASIDE - BARC - 2020"/>
    <m/>
    <m/>
    <m/>
    <m/>
    <m/>
    <m/>
    <s v=""/>
    <m/>
    <m/>
    <m/>
    <m/>
    <s v=""/>
    <m/>
    <m/>
    <m/>
    <n v="3500000"/>
    <m/>
    <m/>
    <m/>
    <m/>
    <n v="0"/>
    <m/>
    <m/>
    <m/>
    <n v="0"/>
    <m/>
    <m/>
    <m/>
    <n v="0"/>
    <m/>
    <m/>
    <m/>
    <m/>
    <n v="0"/>
    <m/>
    <n v="3500000"/>
    <n v="2500000"/>
    <n v="0"/>
    <n v="0"/>
    <n v="2018"/>
    <m/>
    <m/>
    <m/>
    <m/>
    <m/>
    <m/>
    <m/>
    <m/>
    <m/>
    <m/>
    <m/>
    <m/>
    <m/>
    <n v="0.5"/>
    <n v="1750000"/>
    <m/>
    <m/>
    <m/>
    <m/>
    <n v="0.25"/>
    <n v="875000"/>
    <m/>
    <n v="0.25"/>
    <n v="875000"/>
    <m/>
    <m/>
    <m/>
    <m/>
    <m/>
    <n v="0"/>
    <m/>
    <m/>
    <m/>
    <m/>
    <m/>
    <n v="0"/>
    <m/>
    <m/>
    <m/>
    <m/>
    <m/>
    <n v="0"/>
    <m/>
    <m/>
    <m/>
    <m/>
    <m/>
    <n v="0"/>
    <m/>
    <m/>
    <m/>
    <m/>
    <m/>
    <n v="0"/>
    <m/>
    <m/>
    <m/>
    <m/>
    <m/>
    <n v="0"/>
    <m/>
    <m/>
    <m/>
    <m/>
    <m/>
    <n v="0"/>
    <m/>
    <m/>
    <m/>
    <m/>
    <n v="1"/>
    <n v="3500000"/>
  </r>
  <r>
    <m/>
    <n v="1"/>
    <n v="1"/>
    <s v="MN"/>
    <n v="999"/>
    <s v="MN 999"/>
    <s v="8801-RX-21"/>
    <x v="6"/>
    <m/>
    <m/>
    <m/>
    <m/>
    <s v="DISTICTWIDE SETASIDE - BARC - 2021"/>
    <m/>
    <m/>
    <m/>
    <m/>
    <m/>
    <m/>
    <s v=""/>
    <m/>
    <m/>
    <m/>
    <m/>
    <s v=""/>
    <m/>
    <m/>
    <m/>
    <n v="3500000"/>
    <m/>
    <m/>
    <m/>
    <m/>
    <n v="0"/>
    <m/>
    <m/>
    <m/>
    <n v="0"/>
    <m/>
    <m/>
    <m/>
    <n v="0"/>
    <m/>
    <m/>
    <m/>
    <m/>
    <n v="0"/>
    <m/>
    <n v="3500000"/>
    <n v="2500000"/>
    <n v="0"/>
    <n v="0"/>
    <n v="2018"/>
    <m/>
    <m/>
    <m/>
    <m/>
    <m/>
    <m/>
    <m/>
    <m/>
    <m/>
    <m/>
    <m/>
    <m/>
    <m/>
    <n v="0.5"/>
    <n v="1750000"/>
    <m/>
    <m/>
    <m/>
    <m/>
    <n v="0.25"/>
    <n v="875000"/>
    <m/>
    <n v="0.25"/>
    <n v="875000"/>
    <m/>
    <m/>
    <m/>
    <m/>
    <m/>
    <n v="0"/>
    <m/>
    <m/>
    <m/>
    <m/>
    <m/>
    <n v="0"/>
    <m/>
    <m/>
    <m/>
    <m/>
    <m/>
    <n v="0"/>
    <m/>
    <m/>
    <m/>
    <m/>
    <m/>
    <n v="0"/>
    <m/>
    <m/>
    <m/>
    <m/>
    <m/>
    <n v="0"/>
    <m/>
    <m/>
    <m/>
    <m/>
    <m/>
    <n v="0"/>
    <m/>
    <m/>
    <m/>
    <m/>
    <m/>
    <n v="0"/>
    <m/>
    <m/>
    <m/>
    <m/>
    <n v="1"/>
    <n v="3500000"/>
  </r>
  <r>
    <m/>
    <n v="6"/>
    <n v="6"/>
    <s v="MN"/>
    <n v="999"/>
    <s v="MN 999"/>
    <s v="8806-RW-21"/>
    <x v="6"/>
    <m/>
    <s v="S"/>
    <s v="MNDOT"/>
    <m/>
    <s v="DISTRICTWIDE SETASIDES - R/W - 2021"/>
    <m/>
    <m/>
    <n v="0"/>
    <m/>
    <s v="DISTRICTWIDE"/>
    <s v="RW"/>
    <s v="R/W "/>
    <s v="R/W"/>
    <m/>
    <s v="SETA - SET ASIDE"/>
    <s v="RIGHT OF WAY"/>
    <s v="SF  "/>
    <s v="SF"/>
    <m/>
    <m/>
    <n v="3500000"/>
    <n v="0"/>
    <n v="0"/>
    <n v="0"/>
    <n v="0"/>
    <n v="0"/>
    <n v="0"/>
    <n v="0"/>
    <n v="0"/>
    <n v="0"/>
    <n v="0"/>
    <n v="0"/>
    <n v="0"/>
    <n v="0"/>
    <n v="0"/>
    <n v="0"/>
    <n v="3500000"/>
    <n v="0"/>
    <n v="3500000"/>
    <n v="0"/>
    <n v="0"/>
    <n v="3500000"/>
    <m/>
    <m/>
    <n v="2021"/>
    <m/>
    <m/>
    <m/>
    <m/>
    <m/>
    <m/>
    <m/>
    <m/>
    <m/>
    <m/>
    <m/>
    <m/>
    <m/>
    <m/>
    <n v="0"/>
    <m/>
    <m/>
    <m/>
    <m/>
    <m/>
    <n v="0"/>
    <m/>
    <m/>
    <n v="0"/>
    <m/>
    <m/>
    <m/>
    <m/>
    <m/>
    <n v="0"/>
    <m/>
    <m/>
    <m/>
    <m/>
    <m/>
    <n v="0"/>
    <m/>
    <m/>
    <m/>
    <m/>
    <m/>
    <n v="0"/>
    <m/>
    <m/>
    <m/>
    <m/>
    <m/>
    <n v="0"/>
    <m/>
    <m/>
    <m/>
    <m/>
    <m/>
    <n v="0"/>
    <m/>
    <m/>
    <m/>
    <m/>
    <m/>
    <n v="0"/>
    <m/>
    <m/>
    <m/>
    <m/>
    <n v="1"/>
    <n v="3500000"/>
    <s v="Right of way"/>
    <m/>
    <m/>
    <m/>
    <n v="1"/>
    <n v="3500000"/>
  </r>
  <r>
    <n v="137"/>
    <n v="2"/>
    <n v="2"/>
    <s v="MN"/>
    <n v="999"/>
    <s v="MN999"/>
    <m/>
    <x v="6"/>
    <m/>
    <m/>
    <m/>
    <m/>
    <s v="PROJECT SUPPORT SETASIDE"/>
    <m/>
    <m/>
    <m/>
    <m/>
    <m/>
    <m/>
    <s v=""/>
    <m/>
    <m/>
    <m/>
    <m/>
    <s v=""/>
    <m/>
    <m/>
    <m/>
    <n v="3500000"/>
    <m/>
    <m/>
    <m/>
    <m/>
    <n v="0"/>
    <m/>
    <m/>
    <m/>
    <n v="0"/>
    <m/>
    <m/>
    <m/>
    <n v="0"/>
    <m/>
    <m/>
    <m/>
    <m/>
    <n v="0"/>
    <m/>
    <n v="3500000"/>
    <n v="3500000"/>
    <n v="0"/>
    <n v="0"/>
    <n v="2021"/>
    <m/>
    <m/>
    <m/>
    <m/>
    <m/>
    <m/>
    <m/>
    <m/>
    <m/>
    <m/>
    <m/>
    <m/>
    <m/>
    <m/>
    <n v="0"/>
    <m/>
    <m/>
    <m/>
    <m/>
    <m/>
    <n v="0"/>
    <m/>
    <m/>
    <n v="0"/>
    <m/>
    <m/>
    <m/>
    <m/>
    <m/>
    <n v="0"/>
    <m/>
    <m/>
    <m/>
    <m/>
    <m/>
    <n v="0"/>
    <m/>
    <m/>
    <m/>
    <m/>
    <m/>
    <n v="0"/>
    <m/>
    <m/>
    <m/>
    <m/>
    <m/>
    <n v="0"/>
    <m/>
    <m/>
    <m/>
    <m/>
    <m/>
    <n v="0"/>
    <m/>
    <m/>
    <m/>
    <m/>
    <m/>
    <n v="0"/>
    <m/>
    <m/>
    <m/>
    <m/>
    <n v="1"/>
    <n v="3500000"/>
    <m/>
    <m/>
    <m/>
    <m/>
    <n v="1"/>
    <n v="3500000"/>
  </r>
  <r>
    <n v="123"/>
    <n v="2"/>
    <n v="2"/>
    <s v="MN"/>
    <n v="999"/>
    <s v="MN999"/>
    <m/>
    <x v="6"/>
    <m/>
    <m/>
    <m/>
    <m/>
    <s v="RCIP"/>
    <m/>
    <m/>
    <m/>
    <m/>
    <m/>
    <m/>
    <s v=""/>
    <m/>
    <m/>
    <m/>
    <m/>
    <s v=""/>
    <m/>
    <m/>
    <m/>
    <n v="3500000"/>
    <m/>
    <m/>
    <m/>
    <m/>
    <n v="0"/>
    <m/>
    <m/>
    <m/>
    <n v="0"/>
    <m/>
    <m/>
    <m/>
    <n v="0"/>
    <m/>
    <m/>
    <m/>
    <m/>
    <n v="0"/>
    <m/>
    <n v="3500000"/>
    <n v="3500000"/>
    <n v="0"/>
    <n v="0"/>
    <n v="2021"/>
    <m/>
    <m/>
    <m/>
    <m/>
    <m/>
    <m/>
    <m/>
    <m/>
    <m/>
    <m/>
    <m/>
    <m/>
    <m/>
    <m/>
    <n v="0"/>
    <m/>
    <m/>
    <m/>
    <m/>
    <m/>
    <n v="0"/>
    <m/>
    <m/>
    <n v="0"/>
    <m/>
    <m/>
    <m/>
    <m/>
    <m/>
    <n v="0"/>
    <m/>
    <m/>
    <m/>
    <m/>
    <m/>
    <n v="0"/>
    <m/>
    <m/>
    <m/>
    <m/>
    <m/>
    <n v="0"/>
    <m/>
    <m/>
    <m/>
    <m/>
    <m/>
    <n v="0"/>
    <m/>
    <m/>
    <m/>
    <m/>
    <m/>
    <n v="0"/>
    <m/>
    <m/>
    <m/>
    <m/>
    <n v="1"/>
    <n v="3500000"/>
    <m/>
    <m/>
    <m/>
    <m/>
    <m/>
    <n v="0"/>
    <m/>
    <m/>
    <m/>
    <m/>
    <n v="1"/>
    <n v="3500000"/>
  </r>
  <r>
    <n v="181"/>
    <n v="1"/>
    <n v="1"/>
    <s v="MN"/>
    <n v="999"/>
    <s v="MN999"/>
    <s v="8801-RX-22"/>
    <x v="7"/>
    <m/>
    <m/>
    <m/>
    <m/>
    <s v="DISTICTWIDE SETASIDE - BARC - 2022"/>
    <m/>
    <m/>
    <m/>
    <m/>
    <m/>
    <m/>
    <s v=""/>
    <m/>
    <m/>
    <m/>
    <m/>
    <s v=""/>
    <m/>
    <m/>
    <m/>
    <n v="3500000"/>
    <m/>
    <m/>
    <m/>
    <m/>
    <n v="0"/>
    <m/>
    <m/>
    <m/>
    <n v="0"/>
    <m/>
    <m/>
    <m/>
    <n v="0"/>
    <m/>
    <m/>
    <m/>
    <m/>
    <n v="0"/>
    <m/>
    <n v="3500000"/>
    <n v="2500000"/>
    <n v="0"/>
    <n v="0"/>
    <n v="2018"/>
    <m/>
    <m/>
    <m/>
    <m/>
    <m/>
    <m/>
    <m/>
    <m/>
    <m/>
    <m/>
    <m/>
    <m/>
    <m/>
    <n v="0.5"/>
    <n v="1750000"/>
    <m/>
    <m/>
    <m/>
    <m/>
    <n v="0.25"/>
    <n v="875000"/>
    <m/>
    <n v="0.25"/>
    <n v="875000"/>
    <m/>
    <m/>
    <m/>
    <m/>
    <m/>
    <n v="0"/>
    <m/>
    <m/>
    <m/>
    <m/>
    <m/>
    <n v="0"/>
    <m/>
    <m/>
    <m/>
    <m/>
    <m/>
    <n v="0"/>
    <m/>
    <m/>
    <m/>
    <m/>
    <m/>
    <n v="0"/>
    <m/>
    <m/>
    <m/>
    <m/>
    <m/>
    <n v="0"/>
    <m/>
    <m/>
    <m/>
    <m/>
    <m/>
    <n v="0"/>
    <m/>
    <m/>
    <m/>
    <m/>
    <m/>
    <n v="0"/>
    <m/>
    <m/>
    <m/>
    <m/>
    <n v="1"/>
    <n v="3500000"/>
  </r>
  <r>
    <m/>
    <n v="6"/>
    <n v="6"/>
    <s v="MN"/>
    <n v="999"/>
    <s v="MN 999"/>
    <s v="8806-SA-22"/>
    <x v="7"/>
    <m/>
    <s v="S"/>
    <s v="MNDOT"/>
    <m/>
    <s v="DISTRICTWIDE SETASIDES - SUPPLEMENTAL AGREEMENTS AND COST OVERRUNS - 2022"/>
    <m/>
    <m/>
    <n v="0"/>
    <m/>
    <s v="DISTRICTWIDE"/>
    <s v="SA"/>
    <s v="SA "/>
    <s v="SA"/>
    <m/>
    <s v="SETA - SET ASIDE"/>
    <s v="SUPP. AGREE. &amp; COST OVERRUNS"/>
    <s v="SF  "/>
    <s v="SF"/>
    <m/>
    <m/>
    <n v="3500000"/>
    <n v="0"/>
    <n v="0"/>
    <n v="0"/>
    <n v="0"/>
    <n v="0"/>
    <n v="0"/>
    <n v="0"/>
    <n v="0"/>
    <n v="0"/>
    <n v="0"/>
    <n v="0"/>
    <n v="0"/>
    <n v="0"/>
    <n v="0"/>
    <n v="0"/>
    <n v="3500000"/>
    <n v="0"/>
    <n v="3500000"/>
    <n v="0"/>
    <n v="0"/>
    <n v="3500000"/>
    <m/>
    <m/>
    <n v="2022"/>
    <m/>
    <m/>
    <m/>
    <m/>
    <m/>
    <m/>
    <m/>
    <m/>
    <m/>
    <m/>
    <m/>
    <m/>
    <m/>
    <m/>
    <n v="0"/>
    <m/>
    <m/>
    <m/>
    <m/>
    <m/>
    <n v="0"/>
    <m/>
    <m/>
    <n v="0"/>
    <m/>
    <m/>
    <m/>
    <m/>
    <m/>
    <n v="0"/>
    <m/>
    <m/>
    <m/>
    <m/>
    <m/>
    <n v="0"/>
    <m/>
    <m/>
    <m/>
    <m/>
    <m/>
    <n v="0"/>
    <m/>
    <m/>
    <m/>
    <m/>
    <m/>
    <n v="0"/>
    <m/>
    <m/>
    <m/>
    <m/>
    <m/>
    <n v="0"/>
    <m/>
    <m/>
    <m/>
    <m/>
    <m/>
    <n v="0"/>
    <m/>
    <m/>
    <m/>
    <m/>
    <n v="1"/>
    <n v="3500000"/>
    <s v="Supplemental agreements"/>
    <m/>
    <m/>
    <m/>
    <n v="1"/>
    <n v="3500000"/>
  </r>
  <r>
    <m/>
    <n v="2"/>
    <n v="2"/>
    <s v="MN"/>
    <n v="999"/>
    <s v="MN999"/>
    <m/>
    <x v="7"/>
    <m/>
    <m/>
    <m/>
    <m/>
    <s v="PROJECT SUPPORT SETASIDE"/>
    <m/>
    <m/>
    <m/>
    <m/>
    <m/>
    <m/>
    <s v=""/>
    <m/>
    <m/>
    <m/>
    <m/>
    <s v=""/>
    <m/>
    <m/>
    <m/>
    <n v="3500000"/>
    <m/>
    <m/>
    <m/>
    <m/>
    <n v="0"/>
    <m/>
    <m/>
    <m/>
    <n v="0"/>
    <m/>
    <m/>
    <m/>
    <n v="0"/>
    <m/>
    <m/>
    <m/>
    <m/>
    <n v="0"/>
    <m/>
    <n v="3500000"/>
    <n v="3500000"/>
    <n v="0"/>
    <n v="0"/>
    <n v="2022"/>
    <m/>
    <m/>
    <m/>
    <m/>
    <m/>
    <m/>
    <m/>
    <m/>
    <m/>
    <m/>
    <m/>
    <m/>
    <m/>
    <m/>
    <n v="0"/>
    <m/>
    <m/>
    <m/>
    <m/>
    <m/>
    <n v="0"/>
    <m/>
    <m/>
    <n v="0"/>
    <m/>
    <m/>
    <m/>
    <m/>
    <m/>
    <n v="0"/>
    <m/>
    <m/>
    <m/>
    <m/>
    <m/>
    <n v="0"/>
    <m/>
    <m/>
    <m/>
    <m/>
    <m/>
    <n v="0"/>
    <m/>
    <m/>
    <m/>
    <m/>
    <m/>
    <n v="0"/>
    <m/>
    <m/>
    <m/>
    <m/>
    <m/>
    <n v="0"/>
    <m/>
    <m/>
    <m/>
    <m/>
    <m/>
    <n v="0"/>
    <m/>
    <m/>
    <m/>
    <m/>
    <n v="1"/>
    <n v="3500000"/>
    <m/>
    <m/>
    <m/>
    <m/>
    <n v="1"/>
    <n v="3500000"/>
  </r>
  <r>
    <m/>
    <n v="2"/>
    <n v="2"/>
    <s v="MN"/>
    <n v="999"/>
    <s v="MN999"/>
    <m/>
    <x v="7"/>
    <m/>
    <m/>
    <m/>
    <m/>
    <s v="RCIP"/>
    <m/>
    <m/>
    <m/>
    <m/>
    <m/>
    <m/>
    <s v=""/>
    <m/>
    <m/>
    <m/>
    <m/>
    <s v=""/>
    <m/>
    <m/>
    <m/>
    <n v="3500000"/>
    <m/>
    <m/>
    <m/>
    <m/>
    <n v="0"/>
    <m/>
    <m/>
    <m/>
    <n v="0"/>
    <m/>
    <m/>
    <m/>
    <n v="0"/>
    <m/>
    <m/>
    <m/>
    <m/>
    <n v="0"/>
    <m/>
    <n v="3500000"/>
    <n v="3500000"/>
    <n v="0"/>
    <n v="0"/>
    <n v="2022"/>
    <m/>
    <m/>
    <m/>
    <m/>
    <m/>
    <m/>
    <m/>
    <m/>
    <m/>
    <m/>
    <m/>
    <m/>
    <m/>
    <m/>
    <n v="0"/>
    <m/>
    <m/>
    <m/>
    <m/>
    <m/>
    <n v="0"/>
    <m/>
    <m/>
    <n v="0"/>
    <m/>
    <m/>
    <m/>
    <m/>
    <m/>
    <n v="0"/>
    <m/>
    <m/>
    <m/>
    <m/>
    <m/>
    <n v="0"/>
    <m/>
    <m/>
    <m/>
    <m/>
    <m/>
    <n v="0"/>
    <m/>
    <m/>
    <m/>
    <m/>
    <m/>
    <n v="0"/>
    <m/>
    <m/>
    <m/>
    <m/>
    <m/>
    <n v="0"/>
    <m/>
    <m/>
    <m/>
    <m/>
    <n v="1"/>
    <n v="3500000"/>
    <m/>
    <m/>
    <m/>
    <m/>
    <m/>
    <n v="0"/>
    <m/>
    <m/>
    <m/>
    <m/>
    <n v="1"/>
    <n v="3500000"/>
  </r>
  <r>
    <m/>
    <n v="1"/>
    <n v="1"/>
    <s v="MN"/>
    <n v="999"/>
    <s v="MN999"/>
    <s v="8801-RX-23"/>
    <x v="8"/>
    <m/>
    <m/>
    <m/>
    <m/>
    <s v="DISTICTWIDE SETASIDE - BARC - 2023"/>
    <m/>
    <m/>
    <m/>
    <m/>
    <m/>
    <m/>
    <s v=""/>
    <m/>
    <m/>
    <m/>
    <m/>
    <s v=""/>
    <m/>
    <m/>
    <m/>
    <n v="3500000"/>
    <m/>
    <m/>
    <m/>
    <m/>
    <n v="0"/>
    <m/>
    <m/>
    <m/>
    <n v="0"/>
    <m/>
    <m/>
    <m/>
    <n v="0"/>
    <m/>
    <m/>
    <m/>
    <m/>
    <n v="0"/>
    <m/>
    <n v="3500000"/>
    <n v="2500000"/>
    <n v="0"/>
    <n v="0"/>
    <n v="2018"/>
    <m/>
    <m/>
    <m/>
    <m/>
    <m/>
    <m/>
    <m/>
    <m/>
    <m/>
    <m/>
    <m/>
    <m/>
    <m/>
    <n v="0.5"/>
    <n v="1750000"/>
    <m/>
    <m/>
    <m/>
    <m/>
    <n v="0.25"/>
    <n v="875000"/>
    <m/>
    <n v="0.25"/>
    <n v="875000"/>
    <m/>
    <m/>
    <m/>
    <m/>
    <m/>
    <n v="0"/>
    <m/>
    <m/>
    <m/>
    <m/>
    <m/>
    <n v="0"/>
    <m/>
    <m/>
    <m/>
    <m/>
    <m/>
    <n v="0"/>
    <m/>
    <m/>
    <m/>
    <m/>
    <m/>
    <n v="0"/>
    <m/>
    <m/>
    <m/>
    <m/>
    <m/>
    <n v="0"/>
    <m/>
    <m/>
    <m/>
    <m/>
    <m/>
    <n v="0"/>
    <m/>
    <m/>
    <m/>
    <m/>
    <m/>
    <n v="0"/>
    <m/>
    <m/>
    <m/>
    <m/>
    <n v="1"/>
    <n v="3500000"/>
  </r>
  <r>
    <m/>
    <n v="2"/>
    <n v="2"/>
    <s v="MN"/>
    <n v="999"/>
    <s v="MN999"/>
    <m/>
    <x v="8"/>
    <m/>
    <m/>
    <m/>
    <m/>
    <s v="PROJECT SUPPORT SETASIDE"/>
    <m/>
    <m/>
    <m/>
    <m/>
    <m/>
    <m/>
    <s v=""/>
    <m/>
    <m/>
    <m/>
    <m/>
    <s v=""/>
    <m/>
    <m/>
    <m/>
    <n v="3500000"/>
    <m/>
    <m/>
    <m/>
    <m/>
    <n v="0"/>
    <m/>
    <m/>
    <m/>
    <n v="0"/>
    <m/>
    <m/>
    <m/>
    <n v="0"/>
    <m/>
    <m/>
    <m/>
    <m/>
    <n v="0"/>
    <m/>
    <n v="3500000"/>
    <n v="3500000"/>
    <n v="0"/>
    <n v="0"/>
    <n v="2023"/>
    <m/>
    <m/>
    <m/>
    <m/>
    <m/>
    <m/>
    <m/>
    <m/>
    <m/>
    <m/>
    <m/>
    <m/>
    <m/>
    <m/>
    <n v="0"/>
    <m/>
    <m/>
    <m/>
    <m/>
    <m/>
    <n v="0"/>
    <m/>
    <m/>
    <n v="0"/>
    <m/>
    <m/>
    <m/>
    <m/>
    <m/>
    <n v="0"/>
    <m/>
    <m/>
    <m/>
    <m/>
    <m/>
    <n v="0"/>
    <m/>
    <m/>
    <m/>
    <m/>
    <m/>
    <n v="0"/>
    <m/>
    <m/>
    <m/>
    <m/>
    <m/>
    <n v="0"/>
    <m/>
    <m/>
    <m/>
    <m/>
    <m/>
    <n v="0"/>
    <m/>
    <m/>
    <m/>
    <m/>
    <m/>
    <n v="0"/>
    <m/>
    <m/>
    <m/>
    <m/>
    <n v="1"/>
    <n v="3500000"/>
    <m/>
    <m/>
    <m/>
    <m/>
    <n v="1"/>
    <n v="3500000"/>
  </r>
  <r>
    <m/>
    <n v="2"/>
    <n v="2"/>
    <s v="MN"/>
    <n v="999"/>
    <s v="MN999"/>
    <m/>
    <x v="8"/>
    <m/>
    <m/>
    <m/>
    <m/>
    <s v="RCIP"/>
    <m/>
    <m/>
    <m/>
    <m/>
    <m/>
    <m/>
    <s v=""/>
    <m/>
    <m/>
    <m/>
    <m/>
    <s v=""/>
    <m/>
    <m/>
    <m/>
    <n v="3500000"/>
    <m/>
    <m/>
    <m/>
    <m/>
    <n v="0"/>
    <m/>
    <m/>
    <m/>
    <n v="0"/>
    <m/>
    <m/>
    <m/>
    <n v="0"/>
    <m/>
    <m/>
    <m/>
    <m/>
    <n v="0"/>
    <m/>
    <n v="3500000"/>
    <n v="3500000"/>
    <n v="0"/>
    <n v="0"/>
    <n v="2023"/>
    <m/>
    <m/>
    <m/>
    <m/>
    <m/>
    <m/>
    <m/>
    <m/>
    <m/>
    <m/>
    <m/>
    <m/>
    <m/>
    <m/>
    <n v="0"/>
    <m/>
    <m/>
    <m/>
    <m/>
    <m/>
    <n v="0"/>
    <m/>
    <m/>
    <n v="0"/>
    <m/>
    <m/>
    <m/>
    <m/>
    <m/>
    <n v="0"/>
    <m/>
    <m/>
    <m/>
    <m/>
    <m/>
    <n v="0"/>
    <m/>
    <m/>
    <m/>
    <m/>
    <m/>
    <n v="0"/>
    <m/>
    <m/>
    <m/>
    <m/>
    <m/>
    <n v="0"/>
    <m/>
    <m/>
    <m/>
    <m/>
    <m/>
    <n v="0"/>
    <m/>
    <m/>
    <m/>
    <m/>
    <n v="1"/>
    <n v="3500000"/>
    <m/>
    <m/>
    <m/>
    <m/>
    <n v="0"/>
    <n v="0"/>
    <m/>
    <m/>
    <m/>
    <m/>
    <n v="1"/>
    <n v="3500000"/>
  </r>
  <r>
    <m/>
    <n v="2"/>
    <n v="2"/>
    <s v="MN"/>
    <n v="999"/>
    <s v="MN 999"/>
    <s v="8802-RX-15"/>
    <x v="1"/>
    <s v="2015-S06"/>
    <s v="S"/>
    <s v="MNDOT"/>
    <m/>
    <s v="DISTRICTWIDE SETASIDE - BARC - 2015"/>
    <n v="0"/>
    <n v="0"/>
    <n v="0"/>
    <m/>
    <s v="DISTRICTWIDE"/>
    <s v="RX"/>
    <s v=" "/>
    <m/>
    <m/>
    <s v="SETA - SETASIDE"/>
    <s v="ROAD REPAIR"/>
    <s v="SF  "/>
    <s v="SF"/>
    <m/>
    <m/>
    <n v="2000000"/>
    <n v="0"/>
    <n v="0"/>
    <n v="0"/>
    <n v="0"/>
    <n v="0"/>
    <n v="0"/>
    <n v="0"/>
    <n v="0"/>
    <n v="0"/>
    <n v="0"/>
    <n v="0"/>
    <n v="0"/>
    <n v="0"/>
    <n v="0"/>
    <n v="0"/>
    <n v="2000000"/>
    <n v="0"/>
    <n v="2000000"/>
    <n v="0"/>
    <n v="0"/>
    <n v="2000000"/>
    <n v="24551482"/>
    <n v="12107894"/>
    <n v="2015"/>
    <m/>
    <m/>
    <m/>
    <m/>
    <m/>
    <m/>
    <s v="NO"/>
    <s v="NO"/>
    <m/>
    <s v="NO"/>
    <s v="NO"/>
    <s v="Yes"/>
    <s v="NO"/>
    <n v="0.66"/>
    <n v="1320000"/>
    <m/>
    <m/>
    <m/>
    <m/>
    <n v="0"/>
    <n v="0"/>
    <m/>
    <n v="0.34"/>
    <n v="680000"/>
    <m/>
    <m/>
    <m/>
    <m/>
    <n v="0"/>
    <n v="0"/>
    <m/>
    <m/>
    <m/>
    <m/>
    <n v="0"/>
    <n v="0"/>
    <m/>
    <m/>
    <m/>
    <m/>
    <n v="0"/>
    <n v="0"/>
    <m/>
    <m/>
    <m/>
    <m/>
    <n v="0"/>
    <n v="0"/>
    <m/>
    <m/>
    <m/>
    <m/>
    <n v="0"/>
    <n v="0"/>
    <m/>
    <m/>
    <m/>
    <m/>
    <n v="0"/>
    <n v="0"/>
    <m/>
    <m/>
    <m/>
    <m/>
    <n v="0"/>
    <n v="0"/>
    <m/>
    <m/>
    <m/>
    <m/>
    <n v="1"/>
    <n v="2000000"/>
  </r>
  <r>
    <m/>
    <n v="2"/>
    <n v="2"/>
    <s v="MN"/>
    <n v="999"/>
    <s v="MN 999"/>
    <s v="8802-RX-16"/>
    <x v="2"/>
    <s v="2016-S06"/>
    <s v="S"/>
    <s v="MNDOT"/>
    <m/>
    <s v="DISTRICTWIDE SETASIDE - BARC - 2016"/>
    <n v="0"/>
    <n v="0"/>
    <n v="0"/>
    <m/>
    <s v="DISTRICTWIDE"/>
    <s v="RX"/>
    <s v=" "/>
    <m/>
    <m/>
    <s v="SETA - SETASIDE"/>
    <s v="ROAD REPAIR"/>
    <s v="SF  "/>
    <s v="SF"/>
    <m/>
    <m/>
    <n v="2000000"/>
    <n v="0"/>
    <n v="0"/>
    <n v="0"/>
    <n v="0"/>
    <n v="0"/>
    <n v="0"/>
    <n v="0"/>
    <n v="0"/>
    <n v="0"/>
    <n v="0"/>
    <n v="0"/>
    <n v="0"/>
    <n v="0"/>
    <n v="0"/>
    <n v="0"/>
    <n v="2000000"/>
    <n v="0"/>
    <n v="2000000"/>
    <n v="0"/>
    <n v="0"/>
    <n v="2000000"/>
    <n v="33891451"/>
    <n v="11634294"/>
    <n v="2016"/>
    <m/>
    <m/>
    <m/>
    <m/>
    <m/>
    <m/>
    <s v="NO"/>
    <s v="NO"/>
    <m/>
    <s v="NO"/>
    <s v="NO"/>
    <s v="Yes"/>
    <s v="NO"/>
    <n v="0.66"/>
    <n v="1320000"/>
    <m/>
    <m/>
    <m/>
    <m/>
    <n v="0"/>
    <n v="0"/>
    <m/>
    <n v="0.34"/>
    <n v="680000"/>
    <m/>
    <m/>
    <m/>
    <m/>
    <n v="0"/>
    <n v="0"/>
    <m/>
    <m/>
    <m/>
    <m/>
    <n v="0"/>
    <n v="0"/>
    <m/>
    <m/>
    <m/>
    <m/>
    <n v="0"/>
    <n v="0"/>
    <m/>
    <m/>
    <m/>
    <m/>
    <n v="0"/>
    <n v="0"/>
    <m/>
    <m/>
    <m/>
    <m/>
    <n v="0"/>
    <n v="0"/>
    <m/>
    <m/>
    <m/>
    <m/>
    <n v="0"/>
    <n v="0"/>
    <m/>
    <m/>
    <m/>
    <m/>
    <n v="0"/>
    <n v="0"/>
    <m/>
    <m/>
    <m/>
    <m/>
    <n v="1"/>
    <n v="2000000"/>
  </r>
  <r>
    <m/>
    <n v="2"/>
    <n v="2"/>
    <s v="MN"/>
    <n v="999"/>
    <s v="MN 999"/>
    <s v="8802-RX-17"/>
    <x v="9"/>
    <m/>
    <s v="S"/>
    <s v="MNDOT"/>
    <m/>
    <s v="DISTRICTWIDE SETASIDE - BARC - 2017"/>
    <n v="0"/>
    <n v="0"/>
    <n v="0"/>
    <m/>
    <s v="DISTRICTWIDE"/>
    <s v="RX"/>
    <m/>
    <m/>
    <m/>
    <s v="SETA - SETASIDE"/>
    <s v="ROAD REPAIR"/>
    <s v="SF  "/>
    <s v="SF"/>
    <m/>
    <m/>
    <n v="2000000"/>
    <n v="0"/>
    <n v="0"/>
    <n v="0"/>
    <n v="0"/>
    <n v="0"/>
    <n v="0"/>
    <n v="0"/>
    <n v="0"/>
    <n v="0"/>
    <n v="0"/>
    <n v="0"/>
    <n v="0"/>
    <n v="0"/>
    <n v="0"/>
    <n v="0"/>
    <n v="2000000"/>
    <n v="0"/>
    <n v="2000000"/>
    <n v="0"/>
    <n v="0"/>
    <n v="2000000"/>
    <n v="15771400"/>
    <n v="9295778"/>
    <n v="2017"/>
    <m/>
    <m/>
    <m/>
    <m/>
    <m/>
    <m/>
    <s v="NO"/>
    <s v="NO"/>
    <m/>
    <s v="NO"/>
    <s v="NO"/>
    <s v="Yes"/>
    <s v="NO"/>
    <n v="0.66"/>
    <n v="1320000"/>
    <m/>
    <m/>
    <m/>
    <m/>
    <n v="0"/>
    <n v="0"/>
    <m/>
    <n v="0.34"/>
    <n v="680000"/>
    <m/>
    <m/>
    <m/>
    <m/>
    <n v="0"/>
    <n v="0"/>
    <m/>
    <m/>
    <m/>
    <m/>
    <n v="0"/>
    <n v="0"/>
    <m/>
    <m/>
    <m/>
    <m/>
    <n v="0"/>
    <n v="0"/>
    <m/>
    <m/>
    <m/>
    <m/>
    <n v="0"/>
    <n v="0"/>
    <m/>
    <m/>
    <m/>
    <m/>
    <n v="0"/>
    <n v="0"/>
    <m/>
    <m/>
    <m/>
    <m/>
    <n v="0"/>
    <n v="0"/>
    <m/>
    <m/>
    <m/>
    <m/>
    <n v="0"/>
    <n v="0"/>
    <m/>
    <m/>
    <m/>
    <m/>
    <n v="1"/>
    <n v="2000000"/>
  </r>
  <r>
    <m/>
    <n v="2"/>
    <n v="2"/>
    <s v="MN"/>
    <n v="999"/>
    <s v="MN 999"/>
    <s v="8802-SA-14"/>
    <x v="0"/>
    <s v="2014-S07"/>
    <s v="S"/>
    <s v="MNDOT"/>
    <m/>
    <s v="DISTRICTWIDE SETASIDE - SA/OVERRUN - 2014"/>
    <n v="0"/>
    <n v="0"/>
    <n v="0"/>
    <m/>
    <s v="DISTRICTWIDE"/>
    <s v="SA"/>
    <s v=" "/>
    <m/>
    <m/>
    <s v="SETA - SETASIDE"/>
    <s v="SUPP. AGREE. &amp; COST OVERRUNS"/>
    <s v="SF  "/>
    <s v="SF"/>
    <m/>
    <m/>
    <n v="1400000"/>
    <n v="0"/>
    <n v="0"/>
    <n v="0"/>
    <n v="0"/>
    <n v="0"/>
    <n v="0"/>
    <n v="0"/>
    <n v="0"/>
    <n v="0"/>
    <n v="0"/>
    <n v="0"/>
    <n v="0"/>
    <n v="0"/>
    <n v="0"/>
    <n v="0"/>
    <n v="1400000"/>
    <n v="0"/>
    <n v="1400000"/>
    <n v="0"/>
    <n v="0"/>
    <n v="1400000"/>
    <n v="18022963"/>
    <n v="12375294"/>
    <n v="2014"/>
    <m/>
    <m/>
    <m/>
    <m/>
    <m/>
    <m/>
    <s v="NO"/>
    <s v="NO"/>
    <m/>
    <s v="NO"/>
    <s v="NO"/>
    <s v="Yes"/>
    <s v="NO"/>
    <n v="0"/>
    <n v="0"/>
    <m/>
    <m/>
    <m/>
    <m/>
    <n v="0"/>
    <n v="0"/>
    <m/>
    <n v="0"/>
    <n v="0"/>
    <m/>
    <m/>
    <m/>
    <m/>
    <n v="0"/>
    <n v="0"/>
    <m/>
    <m/>
    <m/>
    <m/>
    <n v="0"/>
    <n v="0"/>
    <m/>
    <m/>
    <m/>
    <m/>
    <n v="0"/>
    <n v="0"/>
    <m/>
    <m/>
    <m/>
    <m/>
    <n v="0"/>
    <n v="0"/>
    <m/>
    <m/>
    <m/>
    <m/>
    <n v="0"/>
    <n v="0"/>
    <m/>
    <m/>
    <m/>
    <m/>
    <n v="0"/>
    <n v="0"/>
    <m/>
    <m/>
    <m/>
    <m/>
    <n v="1"/>
    <n v="1400000"/>
    <m/>
    <m/>
    <m/>
    <m/>
    <n v="1"/>
    <n v="1400000"/>
  </r>
  <r>
    <m/>
    <n v="2"/>
    <n v="2"/>
    <s v="MN"/>
    <n v="999"/>
    <s v="MN 999"/>
    <s v="8802-SA-15"/>
    <x v="1"/>
    <s v="2015-S07"/>
    <s v="S"/>
    <s v="MNDOT"/>
    <m/>
    <s v="DISTRICTWIDE SETASIDE - SA/OVERRUN - 2015"/>
    <n v="0"/>
    <n v="0"/>
    <n v="0"/>
    <m/>
    <s v="DISTRICTWIDE"/>
    <s v="SA"/>
    <s v=" "/>
    <m/>
    <m/>
    <s v="SETA - SETASIDE"/>
    <s v="SUPP. AGREE. &amp; COST OVERRUNS"/>
    <s v="SF  "/>
    <s v="SF"/>
    <m/>
    <m/>
    <n v="1400000"/>
    <n v="0"/>
    <n v="0"/>
    <n v="0"/>
    <n v="0"/>
    <n v="0"/>
    <n v="0"/>
    <n v="0"/>
    <n v="0"/>
    <n v="0"/>
    <n v="0"/>
    <n v="0"/>
    <n v="0"/>
    <n v="0"/>
    <n v="0"/>
    <n v="0"/>
    <n v="1400000"/>
    <n v="0"/>
    <n v="1400000"/>
    <n v="0"/>
    <n v="0"/>
    <n v="1400000"/>
    <n v="24551482"/>
    <n v="13507894"/>
    <n v="2015"/>
    <m/>
    <m/>
    <m/>
    <m/>
    <m/>
    <m/>
    <s v="NO"/>
    <s v="NO"/>
    <m/>
    <s v="NO"/>
    <s v="NO"/>
    <s v="Yes"/>
    <s v="NO"/>
    <n v="0"/>
    <n v="0"/>
    <m/>
    <m/>
    <m/>
    <m/>
    <n v="0"/>
    <n v="0"/>
    <m/>
    <n v="0"/>
    <n v="0"/>
    <m/>
    <m/>
    <m/>
    <m/>
    <n v="0"/>
    <n v="0"/>
    <m/>
    <m/>
    <m/>
    <m/>
    <n v="0"/>
    <n v="0"/>
    <m/>
    <m/>
    <m/>
    <m/>
    <n v="0"/>
    <n v="0"/>
    <m/>
    <m/>
    <m/>
    <m/>
    <n v="0"/>
    <n v="0"/>
    <m/>
    <m/>
    <m/>
    <m/>
    <n v="0"/>
    <n v="0"/>
    <m/>
    <m/>
    <m/>
    <m/>
    <n v="0"/>
    <n v="0"/>
    <m/>
    <m/>
    <m/>
    <m/>
    <n v="1"/>
    <n v="1400000"/>
    <m/>
    <m/>
    <m/>
    <m/>
    <n v="1"/>
    <n v="1400000"/>
  </r>
  <r>
    <m/>
    <n v="2"/>
    <n v="2"/>
    <s v="MN"/>
    <n v="999"/>
    <s v="MN 999"/>
    <s v="8802-SA-16"/>
    <x v="2"/>
    <s v="2016-S07"/>
    <s v="S"/>
    <s v="MNDOT"/>
    <m/>
    <s v="DISTRICTWIDE SETASIDE - SA/OVERRUN - 2016"/>
    <n v="0"/>
    <n v="0"/>
    <n v="0"/>
    <m/>
    <s v="DISTRICTWIDE"/>
    <s v="SA"/>
    <s v=" "/>
    <m/>
    <m/>
    <s v="SETA - SETASIDE"/>
    <s v="SUPP. AGREE. &amp; COST OVERRUNS"/>
    <s v="SF  "/>
    <s v="SF"/>
    <m/>
    <m/>
    <n v="1400000"/>
    <n v="0"/>
    <n v="0"/>
    <n v="0"/>
    <n v="0"/>
    <n v="0"/>
    <n v="0"/>
    <n v="0"/>
    <n v="0"/>
    <n v="0"/>
    <n v="0"/>
    <n v="0"/>
    <n v="0"/>
    <n v="0"/>
    <n v="0"/>
    <n v="0"/>
    <n v="1400000"/>
    <n v="0"/>
    <n v="1400000"/>
    <n v="0"/>
    <n v="0"/>
    <n v="1400000"/>
    <n v="33891451"/>
    <n v="13034294"/>
    <n v="2016"/>
    <m/>
    <m/>
    <m/>
    <m/>
    <m/>
    <m/>
    <s v="NO"/>
    <s v="NO"/>
    <m/>
    <s v="NO"/>
    <s v="NO"/>
    <s v="Yes"/>
    <s v="NO"/>
    <n v="0"/>
    <n v="0"/>
    <m/>
    <m/>
    <m/>
    <m/>
    <n v="0"/>
    <n v="0"/>
    <m/>
    <n v="0"/>
    <n v="0"/>
    <m/>
    <m/>
    <m/>
    <m/>
    <n v="0"/>
    <n v="0"/>
    <m/>
    <m/>
    <m/>
    <m/>
    <n v="0"/>
    <n v="0"/>
    <m/>
    <m/>
    <m/>
    <m/>
    <n v="0"/>
    <n v="0"/>
    <m/>
    <m/>
    <m/>
    <m/>
    <n v="0"/>
    <n v="0"/>
    <m/>
    <m/>
    <m/>
    <m/>
    <n v="0"/>
    <n v="0"/>
    <m/>
    <m/>
    <m/>
    <m/>
    <n v="0"/>
    <n v="0"/>
    <m/>
    <m/>
    <m/>
    <m/>
    <n v="1"/>
    <n v="1400000"/>
    <m/>
    <m/>
    <m/>
    <m/>
    <n v="1"/>
    <n v="1400000"/>
  </r>
  <r>
    <m/>
    <n v="2"/>
    <n v="2"/>
    <s v="MN"/>
    <n v="999"/>
    <s v="MN 999"/>
    <s v="8802-SA-17"/>
    <x v="9"/>
    <m/>
    <s v="S"/>
    <s v="MNDOT"/>
    <m/>
    <s v="DISTRICTWIDE SETASIDE - SA/OVERRUN - 2017"/>
    <n v="0"/>
    <n v="0"/>
    <n v="0"/>
    <m/>
    <s v="DISTRICTWIDE"/>
    <s v="SA"/>
    <m/>
    <m/>
    <m/>
    <s v="SETA - SETASIDE"/>
    <s v="SUPP. AGREE. &amp; COST OVERRUNS"/>
    <s v="SF  "/>
    <s v="SF"/>
    <m/>
    <m/>
    <n v="1200000"/>
    <n v="0"/>
    <n v="0"/>
    <n v="0"/>
    <n v="0"/>
    <n v="0"/>
    <n v="0"/>
    <n v="0"/>
    <n v="0"/>
    <n v="0"/>
    <n v="0"/>
    <n v="0"/>
    <n v="0"/>
    <n v="0"/>
    <n v="0"/>
    <n v="0"/>
    <n v="1200000"/>
    <n v="0"/>
    <n v="1200000"/>
    <n v="0"/>
    <n v="0"/>
    <n v="1200000"/>
    <n v="15771400"/>
    <n v="10495778"/>
    <n v="2017"/>
    <m/>
    <m/>
    <m/>
    <m/>
    <m/>
    <m/>
    <s v="NO"/>
    <s v="NO"/>
    <m/>
    <s v="NO"/>
    <s v="NO"/>
    <s v="Yes"/>
    <s v="NO"/>
    <n v="0"/>
    <n v="0"/>
    <m/>
    <m/>
    <m/>
    <m/>
    <n v="0"/>
    <n v="0"/>
    <m/>
    <n v="0"/>
    <n v="0"/>
    <m/>
    <m/>
    <m/>
    <m/>
    <n v="0"/>
    <n v="0"/>
    <m/>
    <m/>
    <m/>
    <m/>
    <n v="0"/>
    <n v="0"/>
    <m/>
    <m/>
    <m/>
    <m/>
    <n v="0"/>
    <n v="0"/>
    <m/>
    <m/>
    <m/>
    <m/>
    <n v="0"/>
    <n v="0"/>
    <m/>
    <m/>
    <m/>
    <m/>
    <n v="0"/>
    <n v="0"/>
    <m/>
    <m/>
    <m/>
    <m/>
    <n v="0"/>
    <n v="0"/>
    <m/>
    <m/>
    <m/>
    <m/>
    <n v="1"/>
    <n v="1200000"/>
    <m/>
    <m/>
    <m/>
    <m/>
    <n v="1"/>
    <n v="1200000"/>
  </r>
  <r>
    <m/>
    <n v="2"/>
    <n v="2"/>
    <s v="MN"/>
    <n v="999"/>
    <s v="MN 999"/>
    <s v="8802-SHS-14"/>
    <x v="0"/>
    <s v="2014-29"/>
    <s v="S"/>
    <s v="MNDOT"/>
    <m/>
    <s v="DISTRICTWIDE SETASIDE - MNDOT HSIP - 2014"/>
    <n v="0"/>
    <n v="0"/>
    <n v="0"/>
    <m/>
    <s v="DISTRICTWIDE"/>
    <s v="SH"/>
    <s v="7-O-P "/>
    <s v="7-O-P"/>
    <m/>
    <s v="APPU - APPURTENANCES"/>
    <s v="SAFETY TARGET "/>
    <s v="HSIP  "/>
    <s v="HSIP"/>
    <m/>
    <m/>
    <n v="352941"/>
    <n v="0"/>
    <n v="0"/>
    <n v="317647"/>
    <n v="0"/>
    <n v="317647"/>
    <n v="0"/>
    <n v="0"/>
    <n v="0"/>
    <n v="0"/>
    <n v="0"/>
    <n v="0"/>
    <n v="0"/>
    <n v="0"/>
    <n v="0"/>
    <n v="0"/>
    <n v="35294"/>
    <n v="0"/>
    <n v="35294"/>
    <n v="0"/>
    <n v="0"/>
    <n v="352941"/>
    <n v="18022963"/>
    <n v="3875294"/>
    <n v="2014"/>
    <m/>
    <m/>
    <m/>
    <m/>
    <m/>
    <m/>
    <s v="NO"/>
    <s v="NO"/>
    <m/>
    <s v="NO"/>
    <s v="NO"/>
    <s v="Yes"/>
    <s v="NO"/>
    <n v="0"/>
    <n v="0"/>
    <m/>
    <m/>
    <m/>
    <m/>
    <n v="0"/>
    <n v="0"/>
    <m/>
    <n v="0"/>
    <n v="0"/>
    <m/>
    <m/>
    <m/>
    <m/>
    <n v="1"/>
    <n v="352941"/>
    <m/>
    <m/>
    <m/>
    <m/>
    <n v="0"/>
    <n v="0"/>
    <m/>
    <m/>
    <m/>
    <m/>
    <n v="0"/>
    <n v="0"/>
    <m/>
    <m/>
    <m/>
    <m/>
    <n v="0"/>
    <n v="0"/>
    <m/>
    <m/>
    <m/>
    <m/>
    <n v="0"/>
    <n v="0"/>
    <m/>
    <m/>
    <m/>
    <m/>
    <n v="0"/>
    <n v="0"/>
    <m/>
    <m/>
    <m/>
    <m/>
    <n v="0"/>
    <n v="0"/>
    <m/>
    <m/>
    <m/>
    <m/>
    <n v="1"/>
    <n v="352941"/>
  </r>
  <r>
    <m/>
    <n v="2"/>
    <n v="2"/>
    <s v="MN"/>
    <n v="999"/>
    <s v="MN 999"/>
    <s v="8802-SHS-15"/>
    <x v="1"/>
    <s v="2015-32"/>
    <s v="S"/>
    <s v="MNDOT"/>
    <m/>
    <s v="DISTRICTWIDE SETASIDE - MNDOT HSIP - 2015"/>
    <n v="0"/>
    <n v="0"/>
    <n v="0"/>
    <m/>
    <s v="DISTRICTWIDE"/>
    <s v="SH"/>
    <s v="7-O-P "/>
    <s v="7-O-P"/>
    <m/>
    <s v="APPU - APPURTENANCES"/>
    <s v="SAFETY TARGET "/>
    <s v="HSIP  "/>
    <s v="HSIP"/>
    <m/>
    <m/>
    <n v="352941"/>
    <n v="0"/>
    <n v="0"/>
    <n v="317647"/>
    <n v="0"/>
    <n v="317647"/>
    <n v="0"/>
    <n v="0"/>
    <n v="0"/>
    <n v="0"/>
    <n v="0"/>
    <n v="0"/>
    <n v="0"/>
    <n v="0"/>
    <n v="0"/>
    <n v="0"/>
    <n v="35294"/>
    <n v="0"/>
    <n v="35294"/>
    <n v="0"/>
    <n v="0"/>
    <n v="352941"/>
    <n v="24551482"/>
    <n v="4707894"/>
    <n v="2015"/>
    <m/>
    <m/>
    <m/>
    <m/>
    <m/>
    <m/>
    <s v="NO"/>
    <s v="NO"/>
    <m/>
    <s v="NO"/>
    <s v="NO"/>
    <s v="Yes"/>
    <s v="NO"/>
    <n v="0"/>
    <n v="0"/>
    <m/>
    <m/>
    <m/>
    <m/>
    <n v="0"/>
    <n v="0"/>
    <m/>
    <n v="0"/>
    <n v="0"/>
    <m/>
    <m/>
    <m/>
    <m/>
    <n v="1"/>
    <n v="352941"/>
    <m/>
    <m/>
    <m/>
    <m/>
    <n v="0"/>
    <n v="0"/>
    <m/>
    <m/>
    <m/>
    <m/>
    <n v="0"/>
    <n v="0"/>
    <m/>
    <m/>
    <m/>
    <m/>
    <n v="0"/>
    <n v="0"/>
    <m/>
    <m/>
    <m/>
    <m/>
    <n v="0"/>
    <n v="0"/>
    <m/>
    <m/>
    <m/>
    <m/>
    <n v="0"/>
    <n v="0"/>
    <m/>
    <m/>
    <m/>
    <m/>
    <n v="0"/>
    <n v="0"/>
    <m/>
    <m/>
    <m/>
    <m/>
    <n v="1"/>
    <n v="352941"/>
  </r>
  <r>
    <m/>
    <n v="2"/>
    <n v="2"/>
    <s v="MN"/>
    <n v="999"/>
    <s v="MN 999"/>
    <s v="8802-SHS-16"/>
    <x v="2"/>
    <s v="2016-30"/>
    <s v="S"/>
    <s v="MNDOT"/>
    <m/>
    <s v="DISTRICTWIDE SETASIDE - MNDOT HSIP - 2016"/>
    <n v="0"/>
    <n v="0"/>
    <n v="0"/>
    <m/>
    <s v="DISTRICTWIDE"/>
    <s v="SH"/>
    <s v="7-O-P "/>
    <s v="7-O-P"/>
    <m/>
    <s v="APPU - APPURTENANCES"/>
    <s v="SAFETY TARGET "/>
    <s v="HSIP  "/>
    <s v="HSIP"/>
    <m/>
    <m/>
    <n v="352941"/>
    <n v="0"/>
    <n v="0"/>
    <n v="317647"/>
    <n v="0"/>
    <n v="317647"/>
    <n v="0"/>
    <n v="0"/>
    <n v="0"/>
    <n v="0"/>
    <n v="0"/>
    <n v="0"/>
    <n v="0"/>
    <n v="0"/>
    <n v="0"/>
    <n v="0"/>
    <n v="35294"/>
    <n v="0"/>
    <n v="35294"/>
    <n v="0"/>
    <n v="0"/>
    <n v="352941"/>
    <n v="33891451"/>
    <n v="4134294"/>
    <n v="2016"/>
    <m/>
    <m/>
    <m/>
    <m/>
    <m/>
    <m/>
    <s v="NO"/>
    <s v="NO"/>
    <m/>
    <s v="NO"/>
    <s v="NO"/>
    <s v="Yes"/>
    <s v="NO"/>
    <n v="0"/>
    <n v="0"/>
    <m/>
    <m/>
    <m/>
    <m/>
    <n v="0"/>
    <n v="0"/>
    <m/>
    <n v="0"/>
    <n v="0"/>
    <m/>
    <m/>
    <m/>
    <m/>
    <n v="1"/>
    <n v="352941"/>
    <m/>
    <m/>
    <m/>
    <m/>
    <n v="0"/>
    <n v="0"/>
    <m/>
    <m/>
    <m/>
    <m/>
    <n v="0"/>
    <n v="0"/>
    <m/>
    <m/>
    <m/>
    <m/>
    <n v="0"/>
    <n v="0"/>
    <m/>
    <m/>
    <m/>
    <m/>
    <n v="0"/>
    <n v="0"/>
    <m/>
    <m/>
    <m/>
    <m/>
    <n v="0"/>
    <n v="0"/>
    <m/>
    <m/>
    <m/>
    <m/>
    <n v="0"/>
    <n v="0"/>
    <m/>
    <m/>
    <m/>
    <m/>
    <n v="1"/>
    <n v="35294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3" cacheId="0" applyNumberFormats="0" applyBorderFormats="0" applyFontFormats="0" applyPatternFormats="0" applyAlignmentFormats="0" applyWidthHeightFormats="1" dataCaption="Values" updatedVersion="4" minRefreshableVersion="3" useAutoFormatting="1" itemPrintTitles="1" createdVersion="4" indent="0" outline="1" outlineData="1" multipleFieldFilters="0">
  <location ref="B3:M14" firstHeaderRow="0" firstDataRow="1" firstDataCol="1"/>
  <pivotFields count="125">
    <pivotField showAll="0"/>
    <pivotField showAll="0"/>
    <pivotField showAll="0"/>
    <pivotField showAll="0"/>
    <pivotField showAll="0"/>
    <pivotField showAll="0"/>
    <pivotField showAll="0"/>
    <pivotField axis="axisRow" showAll="0">
      <items count="12">
        <item m="1" x="10"/>
        <item x="0"/>
        <item x="1"/>
        <item x="2"/>
        <item x="9"/>
        <item x="3"/>
        <item x="4"/>
        <item x="5"/>
        <item x="6"/>
        <item x="7"/>
        <item x="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 showAll="0"/>
    <pivotField showAll="0"/>
    <pivotField showAll="0"/>
    <pivotField showAll="0"/>
    <pivotField showAll="0"/>
    <pivotField dataField="1" showAll="0"/>
  </pivotFields>
  <rowFields count="1">
    <field x="7"/>
  </rowFields>
  <rowItems count="11">
    <i>
      <x v="1"/>
    </i>
    <i>
      <x v="2"/>
    </i>
    <i>
      <x v="3"/>
    </i>
    <i>
      <x v="4"/>
    </i>
    <i>
      <x v="5"/>
    </i>
    <i>
      <x v="6"/>
    </i>
    <i>
      <x v="7"/>
    </i>
    <i>
      <x v="8"/>
    </i>
    <i>
      <x v="9"/>
    </i>
    <i>
      <x v="10"/>
    </i>
    <i t="grand">
      <x/>
    </i>
  </rowItems>
  <colFields count="1">
    <field x="-2"/>
  </colFields>
  <colItems count="11">
    <i>
      <x/>
    </i>
    <i i="1">
      <x v="1"/>
    </i>
    <i i="2">
      <x v="2"/>
    </i>
    <i i="3">
      <x v="3"/>
    </i>
    <i i="4">
      <x v="4"/>
    </i>
    <i i="5">
      <x v="5"/>
    </i>
    <i i="6">
      <x v="6"/>
    </i>
    <i i="7">
      <x v="7"/>
    </i>
    <i i="8">
      <x v="8"/>
    </i>
    <i i="9">
      <x v="9"/>
    </i>
    <i i="10">
      <x v="10"/>
    </i>
  </colItems>
  <dataFields count="11">
    <dataField name="Sum of PC $" fld="67" baseField="7" baseItem="0"/>
    <dataField name="Sum of BC $" fld="73" baseField="7" baseItem="0"/>
    <dataField name="Sum of RIC $" fld="76" baseField="85" baseItem="0"/>
    <dataField name="Sum of TS $" fld="82" baseField="7" baseItem="7"/>
    <dataField name="Sum of IRC $" fld="88" baseField="7" baseItem="0"/>
    <dataField name="Sum of TC $" fld="94" baseField="7" baseItem="0"/>
    <dataField name="Sum of BI $" fld="100" baseField="7" baseItem="0"/>
    <dataField name="Sum of AP $" fld="106" baseField="7" baseItem="0"/>
    <dataField name="Sum of RCIP $" fld="112" baseField="7" baseItem="0"/>
    <dataField name="Sum of PS $" fld="118" baseField="7" baseItem="0"/>
    <dataField name="Sum of Total $" fld="124" baseField="7" baseItem="0"/>
  </dataFields>
  <formats count="5">
    <format dxfId="18">
      <pivotArea collapsedLevelsAreSubtotals="1" fieldPosition="0">
        <references count="1">
          <reference field="7" count="0"/>
        </references>
      </pivotArea>
    </format>
    <format dxfId="17">
      <pivotArea grandRow="1" outline="0" collapsedLevelsAreSubtotals="1" fieldPosition="0"/>
    </format>
    <format dxfId="16">
      <pivotArea dataOnly="0" labelOnly="1" fieldPosition="0">
        <references count="1">
          <reference field="7" count="10">
            <x v="1"/>
            <x v="2"/>
            <x v="3"/>
            <x v="4"/>
            <x v="5"/>
            <x v="6"/>
            <x v="7"/>
            <x v="8"/>
            <x v="9"/>
            <x v="10"/>
          </reference>
        </references>
      </pivotArea>
    </format>
    <format dxfId="15">
      <pivotArea dataOnly="0" labelOnly="1" fieldPosition="0">
        <references count="1">
          <reference field="7" count="1">
            <x v="0"/>
          </reference>
        </references>
      </pivotArea>
    </format>
    <format dxfId="14">
      <pivotArea dataOnly="0" labelOnly="1" fieldPosition="0">
        <references count="1">
          <reference field="7" count="1">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8" Type="http://schemas.openxmlformats.org/officeDocument/2006/relationships/hyperlink" Target="mailto:ZEP@WASHINGTON%20CSAH%2015,%20MANNING%20AVE%20N,%20WASHINGTON%20COUNTY,%20INSTALL%20SIGNALS%20&amp;%20GATES" TargetMode="External"/><Relationship Id="rId13" Type="http://schemas.openxmlformats.org/officeDocument/2006/relationships/hyperlink" Target="mailto:ZEP@WASHINGTON%20CSAH%2015,%20MANNING%20AVE%20N,%20WASHINGTON%20COUNTY,%20INSTALL%20SIGNALS%20&amp;%20GATES" TargetMode="External"/><Relationship Id="rId3" Type="http://schemas.openxmlformats.org/officeDocument/2006/relationships/hyperlink" Target="mailto:ZEP@WASHINGTON%20CSAH%2015,%20MANNING%20AVE%20N,%20WASHINGTON%20COUNTY,%20INSTALL%20SIGNALS%20&amp;%20GATES" TargetMode="External"/><Relationship Id="rId7" Type="http://schemas.openxmlformats.org/officeDocument/2006/relationships/hyperlink" Target="mailto:ZEP@WASHINGTON%20CSAH%2015,%20MANNING%20AVE%20N,%20WASHINGTON%20COUNTY,%20INSTALL%20SIGNALS%20&amp;%20GATES" TargetMode="External"/><Relationship Id="rId12" Type="http://schemas.openxmlformats.org/officeDocument/2006/relationships/hyperlink" Target="mailto:ZEP@WASHINGTON%20CSAH%2015,%20MANNING%20AVE%20N,%20WASHINGTON%20COUNTY,%20INSTALL%20SIGNALS%20&amp;%20GATES" TargetMode="External"/><Relationship Id="rId2" Type="http://schemas.openxmlformats.org/officeDocument/2006/relationships/hyperlink" Target="mailto:ZEP@WASHINGTON%20CSAH%2015,%20MANNING%20AVE%20N,%20WASHINGTON%20COUNTY,%20INSTALL%20SIGNALS%20&amp;%20GATES" TargetMode="External"/><Relationship Id="rId16" Type="http://schemas.openxmlformats.org/officeDocument/2006/relationships/printerSettings" Target="../printerSettings/printerSettings2.bin"/><Relationship Id="rId1" Type="http://schemas.openxmlformats.org/officeDocument/2006/relationships/hyperlink" Target="mailto:ZEP@WASHINGTON%20CSAH%2015,%20MANNING%20AVE%20N,%20WASHINGTON%20COUNTY,%20INSTALL%20SIGNALS%20&amp;%20GATES" TargetMode="External"/><Relationship Id="rId6" Type="http://schemas.openxmlformats.org/officeDocument/2006/relationships/hyperlink" Target="mailto:ZEP@WASHINGTON%20CSAH%2015,%20MANNING%20AVE%20N,%20WASHINGTON%20COUNTY,%20INSTALL%20SIGNALS%20&amp;%20GATES" TargetMode="External"/><Relationship Id="rId11" Type="http://schemas.openxmlformats.org/officeDocument/2006/relationships/hyperlink" Target="mailto:ZEP@WASHINGTON%20CSAH%2015,%20MANNING%20AVE%20N,%20WASHINGTON%20COUNTY,%20INSTALL%20SIGNALS%20&amp;%20GATES" TargetMode="External"/><Relationship Id="rId5" Type="http://schemas.openxmlformats.org/officeDocument/2006/relationships/hyperlink" Target="mailto:ZEP@WASHINGTON%20CSAH%2015,%20MANNING%20AVE%20N,%20WASHINGTON%20COUNTY,%20INSTALL%20SIGNALS%20&amp;%20GATES" TargetMode="External"/><Relationship Id="rId15" Type="http://schemas.openxmlformats.org/officeDocument/2006/relationships/hyperlink" Target="mailto:ZEP@WASHINGTON%20CSAH%2015,%20MANNING%20AVE%20N,%20WASHINGTON%20COUNTY,%20INSTALL%20SIGNALS%20&amp;%20GATES" TargetMode="External"/><Relationship Id="rId10" Type="http://schemas.openxmlformats.org/officeDocument/2006/relationships/hyperlink" Target="mailto:ZEP@WASHINGTON%20CSAH%2015,%20MANNING%20AVE%20N,%20WASHINGTON%20COUNTY,%20INSTALL%20SIGNALS%20&amp;%20GATES" TargetMode="External"/><Relationship Id="rId4" Type="http://schemas.openxmlformats.org/officeDocument/2006/relationships/hyperlink" Target="mailto:ZEP@WASHINGTON%20CSAH%2015,%20MANNING%20AVE%20N,%20WASHINGTON%20COUNTY,%20INSTALL%20SIGNALS%20&amp;%20GATES" TargetMode="External"/><Relationship Id="rId9" Type="http://schemas.openxmlformats.org/officeDocument/2006/relationships/hyperlink" Target="mailto:ZEP@WASHINGTON%20CSAH%2015,%20MANNING%20AVE%20N,%20WASHINGTON%20COUNTY,%20INSTALL%20SIGNALS%20&amp;%20GATES" TargetMode="External"/><Relationship Id="rId14" Type="http://schemas.openxmlformats.org/officeDocument/2006/relationships/hyperlink" Target="mailto:ZEP@WASHINGTON%20CSAH%2015,%20MANNING%20AVE%20N,%20WASHINGTON%20COUNTY,%20INSTALL%20SIGNALS%20&amp;%20GATES"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2:N48"/>
  <sheetViews>
    <sheetView topLeftCell="A7" zoomScale="90" zoomScaleNormal="90" workbookViewId="0">
      <selection activeCell="F12" sqref="F12"/>
    </sheetView>
  </sheetViews>
  <sheetFormatPr defaultRowHeight="14.4" x14ac:dyDescent="0.3"/>
  <cols>
    <col min="1" max="1" width="4.88671875" customWidth="1"/>
    <col min="2" max="2" width="13.33203125" customWidth="1"/>
    <col min="3" max="4" width="16.109375" customWidth="1"/>
    <col min="5" max="6" width="14.5546875" customWidth="1"/>
    <col min="7" max="7" width="11.88671875" customWidth="1"/>
    <col min="8" max="8" width="14.5546875" customWidth="1"/>
    <col min="9" max="10" width="13.33203125" customWidth="1"/>
    <col min="11" max="12" width="14.5546875" customWidth="1"/>
    <col min="13" max="13" width="16.109375" customWidth="1"/>
    <col min="14" max="14" width="4.44140625" customWidth="1"/>
    <col min="15" max="15" width="11.33203125" bestFit="1" customWidth="1"/>
  </cols>
  <sheetData>
    <row r="2" spans="1:14" x14ac:dyDescent="0.3">
      <c r="A2" s="11"/>
      <c r="B2" s="11" t="s">
        <v>160</v>
      </c>
      <c r="C2" s="11"/>
      <c r="D2" s="11"/>
      <c r="E2" s="11"/>
      <c r="F2" s="11"/>
      <c r="G2" s="11"/>
      <c r="H2" s="11"/>
      <c r="I2" s="11"/>
      <c r="J2" s="11"/>
      <c r="K2" s="11"/>
      <c r="L2" s="11"/>
      <c r="M2" s="11"/>
      <c r="N2" s="11"/>
    </row>
    <row r="3" spans="1:14" x14ac:dyDescent="0.3">
      <c r="A3" s="11"/>
      <c r="B3" s="8" t="s">
        <v>126</v>
      </c>
      <c r="C3" s="159" t="s">
        <v>144</v>
      </c>
      <c r="D3" s="159" t="s">
        <v>145</v>
      </c>
      <c r="E3" s="159" t="s">
        <v>146</v>
      </c>
      <c r="F3" s="159" t="s">
        <v>147</v>
      </c>
      <c r="G3" s="159" t="s">
        <v>148</v>
      </c>
      <c r="H3" s="159" t="s">
        <v>149</v>
      </c>
      <c r="I3" s="159" t="s">
        <v>150</v>
      </c>
      <c r="J3" s="159" t="s">
        <v>151</v>
      </c>
      <c r="K3" s="159" t="s">
        <v>152</v>
      </c>
      <c r="L3" s="159" t="s">
        <v>153</v>
      </c>
      <c r="M3" s="159" t="s">
        <v>154</v>
      </c>
      <c r="N3" s="11"/>
    </row>
    <row r="4" spans="1:14" x14ac:dyDescent="0.3">
      <c r="A4" s="11"/>
      <c r="B4" s="23">
        <v>2014</v>
      </c>
      <c r="C4" s="12">
        <v>323559048.20651489</v>
      </c>
      <c r="D4" s="12">
        <v>205175856.08526421</v>
      </c>
      <c r="E4" s="12">
        <v>61096536.114193909</v>
      </c>
      <c r="F4" s="12">
        <v>26004242.209177926</v>
      </c>
      <c r="G4" s="12">
        <v>0</v>
      </c>
      <c r="H4" s="12">
        <v>35207296.739451632</v>
      </c>
      <c r="I4" s="12">
        <v>7655679.0000000009</v>
      </c>
      <c r="J4" s="12">
        <v>10254816.256332124</v>
      </c>
      <c r="K4" s="12">
        <v>68310264.288478926</v>
      </c>
      <c r="L4" s="12">
        <v>59441205.030027092</v>
      </c>
      <c r="M4" s="12">
        <v>796704943.92944074</v>
      </c>
      <c r="N4" s="11"/>
    </row>
    <row r="5" spans="1:14" x14ac:dyDescent="0.3">
      <c r="A5" s="11"/>
      <c r="B5" s="23">
        <v>2015</v>
      </c>
      <c r="C5" s="12">
        <v>268226098.52202868</v>
      </c>
      <c r="D5" s="12">
        <v>211117179.84482837</v>
      </c>
      <c r="E5" s="12">
        <v>70270156.612578705</v>
      </c>
      <c r="F5" s="12">
        <v>13625524.64137429</v>
      </c>
      <c r="G5" s="12">
        <v>0</v>
      </c>
      <c r="H5" s="12">
        <v>21506463.208936736</v>
      </c>
      <c r="I5" s="12">
        <v>12441374.511</v>
      </c>
      <c r="J5" s="12">
        <v>10113227.90421707</v>
      </c>
      <c r="K5" s="12">
        <v>70840557.144299805</v>
      </c>
      <c r="L5" s="12">
        <v>14456975.058891706</v>
      </c>
      <c r="M5" s="12">
        <v>692597557.44815528</v>
      </c>
      <c r="N5" s="11"/>
    </row>
    <row r="6" spans="1:14" x14ac:dyDescent="0.3">
      <c r="A6" s="11"/>
      <c r="B6" s="23">
        <v>2016</v>
      </c>
      <c r="C6" s="12">
        <v>221930886.86948416</v>
      </c>
      <c r="D6" s="12">
        <v>139773650.5452517</v>
      </c>
      <c r="E6" s="12">
        <v>66327718.494139314</v>
      </c>
      <c r="F6" s="12">
        <v>14976427.045019886</v>
      </c>
      <c r="G6" s="12">
        <v>0</v>
      </c>
      <c r="H6" s="12">
        <v>21804065.526156198</v>
      </c>
      <c r="I6" s="12">
        <v>7029043.8800000008</v>
      </c>
      <c r="J6" s="12">
        <v>13689601.213340661</v>
      </c>
      <c r="K6" s="12">
        <v>11435945.581220001</v>
      </c>
      <c r="L6" s="12">
        <v>12204293.8453881</v>
      </c>
      <c r="M6" s="12">
        <v>509171633</v>
      </c>
      <c r="N6" s="11"/>
    </row>
    <row r="7" spans="1:14" x14ac:dyDescent="0.3">
      <c r="A7" s="11"/>
      <c r="B7" s="23">
        <v>2017</v>
      </c>
      <c r="C7" s="12">
        <v>242236835.53716239</v>
      </c>
      <c r="D7" s="12">
        <v>228359042.65760198</v>
      </c>
      <c r="E7" s="12">
        <v>32354105.099695303</v>
      </c>
      <c r="F7" s="12">
        <v>5046695.3865430001</v>
      </c>
      <c r="G7" s="12">
        <v>0</v>
      </c>
      <c r="H7" s="12">
        <v>35305570.238248795</v>
      </c>
      <c r="I7" s="12">
        <v>6078017</v>
      </c>
      <c r="J7" s="12">
        <v>7509997.5383155206</v>
      </c>
      <c r="K7" s="12">
        <v>12671838.677828001</v>
      </c>
      <c r="L7" s="12">
        <v>11500000</v>
      </c>
      <c r="M7" s="12">
        <v>581062102.13539505</v>
      </c>
      <c r="N7" s="11"/>
    </row>
    <row r="8" spans="1:14" x14ac:dyDescent="0.3">
      <c r="A8" s="11"/>
      <c r="B8" s="23">
        <v>2018</v>
      </c>
      <c r="C8" s="12">
        <v>18335600</v>
      </c>
      <c r="D8" s="12">
        <v>44337200</v>
      </c>
      <c r="E8" s="12">
        <v>16801000</v>
      </c>
      <c r="F8" s="12">
        <v>13264200</v>
      </c>
      <c r="G8" s="12">
        <v>0</v>
      </c>
      <c r="H8" s="12">
        <v>6000000</v>
      </c>
      <c r="I8" s="12">
        <v>3463300</v>
      </c>
      <c r="J8" s="12">
        <v>3085700</v>
      </c>
      <c r="K8" s="12">
        <v>2813000</v>
      </c>
      <c r="L8" s="12">
        <v>56477020</v>
      </c>
      <c r="M8" s="12">
        <v>164577020</v>
      </c>
      <c r="N8" s="11"/>
    </row>
    <row r="9" spans="1:14" x14ac:dyDescent="0.3">
      <c r="A9" s="11"/>
      <c r="B9" s="23">
        <v>2019</v>
      </c>
      <c r="C9" s="12">
        <v>21573900</v>
      </c>
      <c r="D9" s="12">
        <v>27170126.318999998</v>
      </c>
      <c r="E9" s="12">
        <v>17250500</v>
      </c>
      <c r="F9" s="12">
        <v>13392800</v>
      </c>
      <c r="G9" s="12">
        <v>0</v>
      </c>
      <c r="H9" s="12">
        <v>6000000</v>
      </c>
      <c r="I9" s="12">
        <v>2958556.8849999998</v>
      </c>
      <c r="J9" s="12">
        <v>2558527.7960000001</v>
      </c>
      <c r="K9" s="12">
        <v>12466500</v>
      </c>
      <c r="L9" s="12">
        <v>53400000</v>
      </c>
      <c r="M9" s="12">
        <v>156770911</v>
      </c>
      <c r="N9" s="11"/>
    </row>
    <row r="10" spans="1:14" x14ac:dyDescent="0.3">
      <c r="A10" s="11"/>
      <c r="B10" s="23">
        <v>2020</v>
      </c>
      <c r="C10" s="12">
        <v>21730100</v>
      </c>
      <c r="D10" s="12">
        <v>19024400</v>
      </c>
      <c r="E10" s="12">
        <v>17358500</v>
      </c>
      <c r="F10" s="12">
        <v>13259200</v>
      </c>
      <c r="G10" s="12">
        <v>0</v>
      </c>
      <c r="H10" s="12">
        <v>6000000</v>
      </c>
      <c r="I10" s="12">
        <v>2533301.7491926802</v>
      </c>
      <c r="J10" s="12">
        <v>2120887.5134553285</v>
      </c>
      <c r="K10" s="12">
        <v>34562500</v>
      </c>
      <c r="L10" s="12">
        <v>46500000</v>
      </c>
      <c r="M10" s="12">
        <v>163060764.26264802</v>
      </c>
      <c r="N10" s="11"/>
    </row>
    <row r="11" spans="1:14" x14ac:dyDescent="0.3">
      <c r="A11" s="11"/>
      <c r="B11" s="23">
        <v>2021</v>
      </c>
      <c r="C11" s="12">
        <v>198189990</v>
      </c>
      <c r="D11" s="12">
        <v>49630500</v>
      </c>
      <c r="E11" s="12">
        <v>42332130</v>
      </c>
      <c r="F11" s="12">
        <v>19005120</v>
      </c>
      <c r="G11" s="12">
        <v>0</v>
      </c>
      <c r="H11" s="12">
        <v>6000000</v>
      </c>
      <c r="I11" s="12">
        <v>8777526.6146393977</v>
      </c>
      <c r="J11" s="12">
        <v>5854908.0893433802</v>
      </c>
      <c r="K11" s="12">
        <v>47062500</v>
      </c>
      <c r="L11" s="12">
        <v>49000000</v>
      </c>
      <c r="M11" s="12">
        <v>425852674.70398277</v>
      </c>
      <c r="N11" s="11"/>
    </row>
    <row r="12" spans="1:14" x14ac:dyDescent="0.3">
      <c r="A12" s="11"/>
      <c r="B12" s="23">
        <v>2022</v>
      </c>
      <c r="C12" s="12">
        <v>193346090</v>
      </c>
      <c r="D12" s="12">
        <v>49630500</v>
      </c>
      <c r="E12" s="12">
        <v>41653630</v>
      </c>
      <c r="F12" s="12">
        <v>18816320</v>
      </c>
      <c r="G12" s="12">
        <v>0</v>
      </c>
      <c r="H12" s="12">
        <v>6000000</v>
      </c>
      <c r="I12" s="12">
        <v>8641826.6146393977</v>
      </c>
      <c r="J12" s="12">
        <v>5801808.0893433802</v>
      </c>
      <c r="K12" s="12">
        <v>53062500</v>
      </c>
      <c r="L12" s="12">
        <v>49000000</v>
      </c>
      <c r="M12" s="12">
        <v>425952674.70398277</v>
      </c>
      <c r="N12" s="11"/>
    </row>
    <row r="13" spans="1:14" x14ac:dyDescent="0.3">
      <c r="A13" s="11"/>
      <c r="B13" s="23">
        <v>2023</v>
      </c>
      <c r="C13" s="12">
        <v>227430656.40000001</v>
      </c>
      <c r="D13" s="12">
        <v>70997500</v>
      </c>
      <c r="E13" s="12">
        <v>49626576.640000001</v>
      </c>
      <c r="F13" s="12">
        <v>20633392.199999999</v>
      </c>
      <c r="G13" s="12">
        <v>0</v>
      </c>
      <c r="H13" s="12">
        <v>6000000</v>
      </c>
      <c r="I13" s="12">
        <v>10900854.150639398</v>
      </c>
      <c r="J13" s="12">
        <v>7984154.7293433798</v>
      </c>
      <c r="K13" s="12">
        <v>53264431.884000003</v>
      </c>
      <c r="L13" s="12">
        <v>48712552.700000003</v>
      </c>
      <c r="M13" s="12">
        <v>495550118.70398277</v>
      </c>
      <c r="N13" s="11"/>
    </row>
    <row r="14" spans="1:14" x14ac:dyDescent="0.3">
      <c r="A14" s="11"/>
      <c r="B14" s="9" t="s">
        <v>127</v>
      </c>
      <c r="C14" s="12">
        <v>1736559205.5351901</v>
      </c>
      <c r="D14" s="12">
        <v>1045215955.4519463</v>
      </c>
      <c r="E14" s="12">
        <v>415070852.96060717</v>
      </c>
      <c r="F14" s="12">
        <v>158023921.48211509</v>
      </c>
      <c r="G14" s="12">
        <v>0</v>
      </c>
      <c r="H14" s="12">
        <v>149823395.71279335</v>
      </c>
      <c r="I14" s="12">
        <v>70479480.405110881</v>
      </c>
      <c r="J14" s="12">
        <v>68973629.129690856</v>
      </c>
      <c r="K14" s="12">
        <v>366490037.5758267</v>
      </c>
      <c r="L14" s="12">
        <v>400692046.63430691</v>
      </c>
      <c r="M14" s="12">
        <v>4411300399.8875875</v>
      </c>
      <c r="N14" s="11"/>
    </row>
    <row r="15" spans="1:14" x14ac:dyDescent="0.3">
      <c r="A15" s="11"/>
      <c r="N15" s="11"/>
    </row>
    <row r="16" spans="1:14" x14ac:dyDescent="0.3">
      <c r="A16" s="11"/>
      <c r="N16" s="11"/>
    </row>
    <row r="17" spans="1:14" x14ac:dyDescent="0.3">
      <c r="A17" s="11"/>
      <c r="B17" s="21"/>
      <c r="C17" s="22"/>
      <c r="D17" s="22"/>
      <c r="E17" s="22"/>
      <c r="F17" s="22"/>
      <c r="G17" s="22"/>
      <c r="H17" s="22"/>
      <c r="I17" s="22"/>
      <c r="J17" s="22"/>
      <c r="K17" s="22"/>
      <c r="L17" s="22"/>
      <c r="M17" s="22"/>
      <c r="N17" s="11"/>
    </row>
    <row r="19" spans="1:14" x14ac:dyDescent="0.3">
      <c r="A19" s="11"/>
      <c r="B19" s="11" t="s">
        <v>143</v>
      </c>
      <c r="C19" s="11"/>
      <c r="D19" s="11"/>
      <c r="E19" s="11"/>
    </row>
    <row r="20" spans="1:14" x14ac:dyDescent="0.3">
      <c r="A20" s="11"/>
      <c r="C20" s="20" t="s">
        <v>142</v>
      </c>
      <c r="D20" t="s">
        <v>128</v>
      </c>
      <c r="E20" s="11"/>
    </row>
    <row r="21" spans="1:14" x14ac:dyDescent="0.3">
      <c r="A21" s="11"/>
      <c r="B21" s="10">
        <v>2013</v>
      </c>
      <c r="C21" s="19">
        <v>50000000</v>
      </c>
      <c r="D21" s="13">
        <f t="shared" ref="D21:D31" si="0">C21-M4</f>
        <v>-746704943.92944074</v>
      </c>
      <c r="E21" s="11"/>
      <c r="F21" s="14" t="s">
        <v>129</v>
      </c>
      <c r="G21" s="14"/>
      <c r="H21" s="14"/>
      <c r="I21" s="14"/>
      <c r="J21" s="14"/>
    </row>
    <row r="22" spans="1:14" x14ac:dyDescent="0.3">
      <c r="A22" s="11"/>
      <c r="B22" s="7">
        <v>2014</v>
      </c>
      <c r="C22" s="19">
        <v>100000</v>
      </c>
      <c r="D22" s="13">
        <f t="shared" si="0"/>
        <v>-692497557.44815528</v>
      </c>
      <c r="E22" s="11"/>
      <c r="F22" s="15" t="s">
        <v>130</v>
      </c>
      <c r="G22" s="15"/>
      <c r="H22" s="15"/>
      <c r="I22" s="15"/>
      <c r="J22" s="15"/>
    </row>
    <row r="23" spans="1:14" x14ac:dyDescent="0.3">
      <c r="A23" s="11"/>
      <c r="B23" s="7">
        <v>2015</v>
      </c>
      <c r="C23" s="19">
        <v>100000</v>
      </c>
      <c r="D23" s="13">
        <f t="shared" si="0"/>
        <v>-509071633</v>
      </c>
      <c r="E23" s="11"/>
    </row>
    <row r="24" spans="1:14" x14ac:dyDescent="0.3">
      <c r="A24" s="11"/>
      <c r="B24" s="7">
        <v>2016</v>
      </c>
      <c r="C24" s="19">
        <v>2000000</v>
      </c>
      <c r="D24" s="13">
        <f t="shared" si="0"/>
        <v>-579062102.13539505</v>
      </c>
      <c r="E24" s="11"/>
    </row>
    <row r="25" spans="1:14" x14ac:dyDescent="0.3">
      <c r="A25" s="11"/>
      <c r="B25" s="7">
        <v>2017</v>
      </c>
      <c r="C25" s="19">
        <v>100000</v>
      </c>
      <c r="D25" s="13">
        <f t="shared" si="0"/>
        <v>-164477020</v>
      </c>
      <c r="E25" s="11"/>
    </row>
    <row r="26" spans="1:14" x14ac:dyDescent="0.3">
      <c r="A26" s="11"/>
      <c r="B26" s="7">
        <v>2018</v>
      </c>
      <c r="C26" s="19">
        <v>2000000</v>
      </c>
      <c r="D26" s="13">
        <f t="shared" si="0"/>
        <v>-154770911</v>
      </c>
      <c r="E26" s="11"/>
    </row>
    <row r="27" spans="1:14" x14ac:dyDescent="0.3">
      <c r="A27" s="11"/>
      <c r="B27" s="7">
        <v>2019</v>
      </c>
      <c r="C27" s="19">
        <v>100000</v>
      </c>
      <c r="D27" s="13">
        <f t="shared" si="0"/>
        <v>-162960764.26264802</v>
      </c>
      <c r="E27" s="11"/>
    </row>
    <row r="28" spans="1:14" x14ac:dyDescent="0.3">
      <c r="A28" s="11"/>
      <c r="B28" s="7">
        <v>2020</v>
      </c>
      <c r="C28" s="19">
        <v>100000</v>
      </c>
      <c r="D28" s="13">
        <f t="shared" si="0"/>
        <v>-425752674.70398277</v>
      </c>
      <c r="E28" s="11"/>
    </row>
    <row r="29" spans="1:14" x14ac:dyDescent="0.3">
      <c r="A29" s="11"/>
      <c r="B29" s="7">
        <v>2021</v>
      </c>
      <c r="C29" s="19">
        <v>42000000</v>
      </c>
      <c r="D29" s="13">
        <f t="shared" si="0"/>
        <v>-383952674.70398277</v>
      </c>
      <c r="E29" s="11"/>
    </row>
    <row r="30" spans="1:14" x14ac:dyDescent="0.3">
      <c r="A30" s="11"/>
      <c r="B30" s="7">
        <v>2022</v>
      </c>
      <c r="C30" s="19">
        <v>20000000</v>
      </c>
      <c r="D30" s="13">
        <f t="shared" si="0"/>
        <v>-475550118.70398277</v>
      </c>
      <c r="E30" s="11"/>
    </row>
    <row r="31" spans="1:14" x14ac:dyDescent="0.3">
      <c r="A31" s="11"/>
      <c r="B31" s="7">
        <v>2023</v>
      </c>
      <c r="C31" s="19">
        <v>30000000</v>
      </c>
      <c r="D31" s="13">
        <f t="shared" si="0"/>
        <v>-4381300399.8875875</v>
      </c>
      <c r="E31" s="11"/>
    </row>
    <row r="32" spans="1:14" x14ac:dyDescent="0.3">
      <c r="A32" s="11"/>
      <c r="B32" s="11"/>
      <c r="C32" s="11"/>
      <c r="D32" s="11"/>
      <c r="E32" s="11"/>
    </row>
    <row r="34" spans="1:14" x14ac:dyDescent="0.3">
      <c r="A34" s="11"/>
      <c r="B34" s="11" t="s">
        <v>155</v>
      </c>
      <c r="C34" s="11"/>
      <c r="D34" s="11"/>
      <c r="E34" s="11"/>
      <c r="F34" s="11"/>
      <c r="G34" s="11"/>
      <c r="H34" s="11"/>
      <c r="I34" s="11"/>
      <c r="J34" s="11"/>
      <c r="K34" s="11"/>
      <c r="L34" s="11"/>
      <c r="M34" s="11"/>
      <c r="N34" s="11"/>
    </row>
    <row r="35" spans="1:14" x14ac:dyDescent="0.3">
      <c r="A35" s="11"/>
      <c r="C35" s="7" t="s">
        <v>132</v>
      </c>
      <c r="D35" s="7" t="s">
        <v>133</v>
      </c>
      <c r="E35" s="7" t="s">
        <v>134</v>
      </c>
      <c r="F35" s="7" t="s">
        <v>135</v>
      </c>
      <c r="G35" s="7" t="s">
        <v>136</v>
      </c>
      <c r="H35" s="7" t="s">
        <v>137</v>
      </c>
      <c r="I35" s="7" t="s">
        <v>138</v>
      </c>
      <c r="J35" s="7" t="s">
        <v>139</v>
      </c>
      <c r="K35" s="7" t="s">
        <v>140</v>
      </c>
      <c r="L35" s="7" t="s">
        <v>141</v>
      </c>
      <c r="M35" s="7" t="s">
        <v>20</v>
      </c>
      <c r="N35" s="11"/>
    </row>
    <row r="36" spans="1:14" ht="28.8" x14ac:dyDescent="0.3">
      <c r="A36" s="11"/>
      <c r="B36" s="16" t="s">
        <v>131</v>
      </c>
      <c r="C36" s="17">
        <v>0.34300000000000003</v>
      </c>
      <c r="D36" s="17">
        <v>0.159</v>
      </c>
      <c r="E36" s="17">
        <v>9.2999999999999999E-2</v>
      </c>
      <c r="F36" s="17">
        <v>0.05</v>
      </c>
      <c r="G36" s="17">
        <v>0</v>
      </c>
      <c r="H36" s="17">
        <v>0.10100000000000001</v>
      </c>
      <c r="I36" s="17">
        <v>2.3E-2</v>
      </c>
      <c r="J36" s="17">
        <v>2.1999999999999999E-2</v>
      </c>
      <c r="K36" s="17">
        <v>0.1</v>
      </c>
      <c r="L36" s="17">
        <v>0.11</v>
      </c>
      <c r="M36" s="18">
        <f>SUM(C36:L36)</f>
        <v>1.0010000000000001</v>
      </c>
      <c r="N36" s="11"/>
    </row>
    <row r="37" spans="1:14" x14ac:dyDescent="0.3">
      <c r="A37" s="11"/>
      <c r="B37" s="10">
        <v>2013</v>
      </c>
      <c r="C37" s="6" t="e">
        <f>GETPIVOTDATA("Sum of PC $",$B$3,"#Year",2013)/$C$21</f>
        <v>#REF!</v>
      </c>
      <c r="D37" s="6" t="e">
        <f>GETPIVOTDATA("Sum of BC $",$B$3,"#Year",2013)/$C$21</f>
        <v>#REF!</v>
      </c>
      <c r="E37" s="6" t="e">
        <f>GETPIVOTDATA("Sum of RIC $",$B$3,"#Year",2013)/$C$21</f>
        <v>#REF!</v>
      </c>
      <c r="F37" s="6" t="e">
        <f>GETPIVOTDATA("Sum of TS $",$B$3,"#Year",2013)/$C$21</f>
        <v>#REF!</v>
      </c>
      <c r="G37" s="6" t="e">
        <f>GETPIVOTDATA("Sum of IRC $",$B$3,"#Year",2013)/$C$21</f>
        <v>#REF!</v>
      </c>
      <c r="H37" s="6" t="e">
        <f>GETPIVOTDATA("Sum of TC $",$B$3,"#Year",2013)/$C$21</f>
        <v>#REF!</v>
      </c>
      <c r="I37" s="6" t="e">
        <f>GETPIVOTDATA("Sum of BI $",$B$3,"#Year",2013)/$C$21</f>
        <v>#REF!</v>
      </c>
      <c r="J37" s="6" t="e">
        <f>GETPIVOTDATA("Sum of AP $",$B$3,"#Year",2013)/$C$21</f>
        <v>#REF!</v>
      </c>
      <c r="K37" s="6" t="e">
        <f>GETPIVOTDATA("Sum of RCIP $",$B$3,"#Year",2013)/$C$21</f>
        <v>#REF!</v>
      </c>
      <c r="L37" s="6" t="e">
        <f>GETPIVOTDATA("Sum of PS $",$B$3,"#Year",2013)/$C$21</f>
        <v>#REF!</v>
      </c>
      <c r="M37" s="6" t="e">
        <f>SUM(C37:L37)</f>
        <v>#REF!</v>
      </c>
      <c r="N37" s="11"/>
    </row>
    <row r="38" spans="1:14" x14ac:dyDescent="0.3">
      <c r="A38" s="11"/>
      <c r="B38" s="7">
        <v>2014</v>
      </c>
      <c r="C38" s="6">
        <f>GETPIVOTDATA("Sum of PC $",$B$3,"#Year",2014)/C22</f>
        <v>3235.590482065149</v>
      </c>
      <c r="D38" s="6">
        <f>GETPIVOTDATA("Sum of BC $",$B$3,"#Year",2014)/$C$22</f>
        <v>2051.7585608526419</v>
      </c>
      <c r="E38" s="6">
        <f>GETPIVOTDATA("Sum of RIC $",$B$3,"#Year",2014)/$C$22</f>
        <v>610.96536114193907</v>
      </c>
      <c r="F38" s="6">
        <f>GETPIVOTDATA("Sum of TS $",$B$3,"#Year",2014)/$C$22</f>
        <v>260.04242209177926</v>
      </c>
      <c r="G38" s="6">
        <f>GETPIVOTDATA("Sum of IRC $",$B$3,"#Year",2014)/$C$22</f>
        <v>0</v>
      </c>
      <c r="H38" s="6">
        <f>GETPIVOTDATA("Sum of TC $",$B$3,"#Year",2014)/$C$22</f>
        <v>352.0729673945163</v>
      </c>
      <c r="I38" s="6">
        <f>GETPIVOTDATA("Sum of BI $",$B$3,"#Year",2014)/$C$22</f>
        <v>76.556790000000007</v>
      </c>
      <c r="J38" s="6">
        <f>GETPIVOTDATA("Sum of AP $",$B$3,"#Year",2014)/$C$22</f>
        <v>102.54816256332124</v>
      </c>
      <c r="K38" s="6">
        <f>GETPIVOTDATA("Sum of RCIP $",$B$3,"#Year",2014)/$C$22</f>
        <v>683.10264288478925</v>
      </c>
      <c r="L38" s="6">
        <f>GETPIVOTDATA("Sum of BC $",$B$3,"#Year",2014)/$C$22</f>
        <v>2051.7585608526419</v>
      </c>
      <c r="M38" s="6">
        <f t="shared" ref="M38:M47" si="1">SUM(C38:L38)</f>
        <v>9424.3959498467775</v>
      </c>
      <c r="N38" s="11"/>
    </row>
    <row r="39" spans="1:14" x14ac:dyDescent="0.3">
      <c r="A39" s="11"/>
      <c r="B39" s="7">
        <v>2015</v>
      </c>
      <c r="C39" s="6">
        <f>GETPIVOTDATA("Sum of PC $",$B$3,"#Year",2015)/C23</f>
        <v>2682.2609852202868</v>
      </c>
      <c r="D39" s="6">
        <f>GETPIVOTDATA("Sum of BC $",$B$3,"#Year",2015)/$C$23</f>
        <v>2111.1717984482839</v>
      </c>
      <c r="E39" s="6">
        <f>GETPIVOTDATA("Sum of RIC $",$B$3,"#Year",2015)/$C$23</f>
        <v>702.70156612578705</v>
      </c>
      <c r="F39" s="6">
        <f>GETPIVOTDATA("Sum of TS $",$B$3,"#Year",2015)/$C$23</f>
        <v>136.2552464137429</v>
      </c>
      <c r="G39" s="6">
        <f>GETPIVOTDATA("Sum of IRC $",$B$3,"#Year",2015)/$C$23</f>
        <v>0</v>
      </c>
      <c r="H39" s="6">
        <f>GETPIVOTDATA("Sum of TC $",$B$3,"#Year",2015)/$C$23</f>
        <v>215.06463208936736</v>
      </c>
      <c r="I39" s="6">
        <f>GETPIVOTDATA("Sum of BI $",$B$3,"#Year",2015)/$C$23</f>
        <v>124.41374510999999</v>
      </c>
      <c r="J39" s="6">
        <f>GETPIVOTDATA("Sum of AP $",$B$3,"#Year",2015)/$C$23</f>
        <v>101.13227904217069</v>
      </c>
      <c r="K39" s="6">
        <f>GETPIVOTDATA("Sum of RCIP $",$B$3,"#Year",2015)/$C$23</f>
        <v>708.40557144299805</v>
      </c>
      <c r="L39" s="6">
        <f>GETPIVOTDATA("Sum of BC $",$B$3,"#Year",2015)/$C$23</f>
        <v>2111.1717984482839</v>
      </c>
      <c r="M39" s="6">
        <f t="shared" si="1"/>
        <v>8892.5776223409193</v>
      </c>
      <c r="N39" s="11"/>
    </row>
    <row r="40" spans="1:14" x14ac:dyDescent="0.3">
      <c r="A40" s="11"/>
      <c r="B40" s="7">
        <v>2016</v>
      </c>
      <c r="C40" s="6">
        <f>GETPIVOTDATA("Sum of PC $",$B$3,"#Year",2016)/C24</f>
        <v>110.96544343474208</v>
      </c>
      <c r="D40" s="6">
        <f>GETPIVOTDATA("Sum of BC $",$B$3,"#Year",2016)/$C$24</f>
        <v>69.886825272625842</v>
      </c>
      <c r="E40" s="6">
        <f>GETPIVOTDATA("Sum of RIC $",$B$3,"#Year",2016)/$C$24</f>
        <v>33.163859247069659</v>
      </c>
      <c r="F40" s="6">
        <f>GETPIVOTDATA("Sum of TS $",$B$3,"#Year",2016)/$C$24</f>
        <v>7.4882135225099429</v>
      </c>
      <c r="G40" s="6">
        <f>GETPIVOTDATA("Sum of IRC $",$B$3,"#Year",2016)/$C$24</f>
        <v>0</v>
      </c>
      <c r="H40" s="6">
        <f>GETPIVOTDATA("Sum of TC $",$B$3,"#Year",2016)/$C$24</f>
        <v>10.902032763078099</v>
      </c>
      <c r="I40" s="6">
        <f>GETPIVOTDATA("Sum of BI $",$B$3,"#Year",2016)/$C$24</f>
        <v>3.5145219400000003</v>
      </c>
      <c r="J40" s="6">
        <f>GETPIVOTDATA("Sum of AP $",$B$3,"#Year",2016)/$C$24</f>
        <v>6.8448006066703302</v>
      </c>
      <c r="K40" s="6">
        <f>GETPIVOTDATA("Sum of RCIP $",$B$3,"#Year",2016)/$C$24</f>
        <v>5.7179727906100002</v>
      </c>
      <c r="L40" s="6">
        <f>GETPIVOTDATA("Sum of BC $",$B$3,"#Year",2016)/$C$24</f>
        <v>69.886825272625842</v>
      </c>
      <c r="M40" s="6">
        <f t="shared" si="1"/>
        <v>318.37049484993179</v>
      </c>
      <c r="N40" s="11"/>
    </row>
    <row r="41" spans="1:14" x14ac:dyDescent="0.3">
      <c r="A41" s="11"/>
      <c r="B41" s="7">
        <v>2017</v>
      </c>
      <c r="C41" s="6">
        <f>GETPIVOTDATA("Sum of PC $",$B$3,"#Year",2017)/C25</f>
        <v>2422.3683553716241</v>
      </c>
      <c r="D41" s="6">
        <f>GETPIVOTDATA("Sum of BC $",$B$3,"#Year",2017)/$C$25</f>
        <v>2283.59042657602</v>
      </c>
      <c r="E41" s="6">
        <f>GETPIVOTDATA("Sum of RIC $",$B$3,"#Year",2017)/$C$25</f>
        <v>323.541050996953</v>
      </c>
      <c r="F41" s="6">
        <f>GETPIVOTDATA("Sum of TS $",$B$3,"#Year",2017)/$C$25</f>
        <v>50.46695386543</v>
      </c>
      <c r="G41" s="6">
        <f>GETPIVOTDATA("Sum of IRC $",$B$3,"#Year",2017)/$C$25</f>
        <v>0</v>
      </c>
      <c r="H41" s="6">
        <f>GETPIVOTDATA("Sum of TC $",$B$3,"#Year",2017)/$C$25</f>
        <v>353.05570238248794</v>
      </c>
      <c r="I41" s="6">
        <f>GETPIVOTDATA("Sum of BI $",$B$3,"#Year",2017)/$C$25</f>
        <v>60.780169999999998</v>
      </c>
      <c r="J41" s="6">
        <f>GETPIVOTDATA("Sum of AP $",$B$3,"#Year",2017)/$C$25</f>
        <v>75.099975383155211</v>
      </c>
      <c r="K41" s="6">
        <f>GETPIVOTDATA("Sum of RCIP $",$B$3,"#Year",2017)/$C$25</f>
        <v>126.71838677828001</v>
      </c>
      <c r="L41" s="6">
        <f>GETPIVOTDATA("Sum of BC $",$B$3,"#Year",2017)/$C$25</f>
        <v>2283.59042657602</v>
      </c>
      <c r="M41" s="6">
        <f t="shared" si="1"/>
        <v>7979.2114479299698</v>
      </c>
      <c r="N41" s="11"/>
    </row>
    <row r="42" spans="1:14" x14ac:dyDescent="0.3">
      <c r="A42" s="11"/>
      <c r="B42" s="7">
        <v>2018</v>
      </c>
      <c r="C42" s="6">
        <f>GETPIVOTDATA("Sum of PC $",$B$3,"#Year",2018)/C26</f>
        <v>9.1677999999999997</v>
      </c>
      <c r="D42" s="6">
        <f>GETPIVOTDATA("Sum of BC $",$B$3,"#Year",2018)/$C$26</f>
        <v>22.168600000000001</v>
      </c>
      <c r="E42" s="6">
        <f>GETPIVOTDATA("Sum of RIC $",$B$3,"#Year",2018)/$C$26</f>
        <v>8.4004999999999992</v>
      </c>
      <c r="F42" s="6">
        <f>GETPIVOTDATA("Sum of TS $",$B$3,"#Year",2018)/$C$26</f>
        <v>6.6321000000000003</v>
      </c>
      <c r="G42" s="6">
        <f>GETPIVOTDATA("Sum of IRC $",$B$3,"#Year",2018)/$C$26</f>
        <v>0</v>
      </c>
      <c r="H42" s="6">
        <f>GETPIVOTDATA("Sum of TC $",$B$3,"#Year",2018)/$C$26</f>
        <v>3</v>
      </c>
      <c r="I42" s="6">
        <f>GETPIVOTDATA("Sum of BI $",$B$3,"#Year",2018)/$C$26</f>
        <v>1.7316499999999999</v>
      </c>
      <c r="J42" s="6">
        <f>GETPIVOTDATA("Sum of AP $",$B$3,"#Year",2018)/$C$26</f>
        <v>1.5428500000000001</v>
      </c>
      <c r="K42" s="6">
        <f>GETPIVOTDATA("Sum of RCIP $",$B$3,"#Year",2018)/$C$26</f>
        <v>1.4065000000000001</v>
      </c>
      <c r="L42" s="6">
        <f>GETPIVOTDATA("Sum of BC $",$B$3,"#Year",2018)/$C$26</f>
        <v>22.168600000000001</v>
      </c>
      <c r="M42" s="6">
        <f t="shared" si="1"/>
        <v>76.218600000000009</v>
      </c>
      <c r="N42" s="11"/>
    </row>
    <row r="43" spans="1:14" x14ac:dyDescent="0.3">
      <c r="A43" s="11"/>
      <c r="B43" s="7">
        <v>2019</v>
      </c>
      <c r="C43" s="6">
        <f>GETPIVOTDATA("Sum of PC $",$B$3,"#Year",2019)/C27</f>
        <v>215.739</v>
      </c>
      <c r="D43" s="6">
        <f>GETPIVOTDATA("Sum of BC $",$B$3,"#Year",2019)/$C$27</f>
        <v>271.70126318999996</v>
      </c>
      <c r="E43" s="6">
        <f>GETPIVOTDATA("Sum of RIC $",$B$3,"#Year",2019)/$C$27</f>
        <v>172.505</v>
      </c>
      <c r="F43" s="6">
        <f>GETPIVOTDATA("Sum of TS $",$B$3,"#Year",2019)/$C$27</f>
        <v>133.928</v>
      </c>
      <c r="G43" s="6">
        <f>GETPIVOTDATA("Sum of IRC $",$B$3,"#Year",2019)/$C$27</f>
        <v>0</v>
      </c>
      <c r="H43" s="6">
        <f>GETPIVOTDATA("Sum of TC $",$B$3,"#Year",2019)/$C$27</f>
        <v>60</v>
      </c>
      <c r="I43" s="6">
        <f>GETPIVOTDATA("Sum of BI $",$B$3,"#Year",2019)/$C$27</f>
        <v>29.585568849999998</v>
      </c>
      <c r="J43" s="6">
        <f>GETPIVOTDATA("Sum of AP $",$B$3,"#Year",2019)/$C$27</f>
        <v>25.585277960000003</v>
      </c>
      <c r="K43" s="6">
        <f>GETPIVOTDATA("Sum of RCIP $",$B$3,"#Year",2019)/$C$27</f>
        <v>124.66500000000001</v>
      </c>
      <c r="L43" s="6">
        <f>GETPIVOTDATA("Sum of BC $",$B$3,"#Year",2019)/$C$27</f>
        <v>271.70126318999996</v>
      </c>
      <c r="M43" s="6">
        <f t="shared" si="1"/>
        <v>1305.41037319</v>
      </c>
      <c r="N43" s="11"/>
    </row>
    <row r="44" spans="1:14" x14ac:dyDescent="0.3">
      <c r="A44" s="11"/>
      <c r="B44" s="7">
        <v>2020</v>
      </c>
      <c r="C44" s="6">
        <f>GETPIVOTDATA("Sum of PC $",$B$3,"#Year",2020)/C28</f>
        <v>217.30099999999999</v>
      </c>
      <c r="D44" s="6">
        <f>GETPIVOTDATA("Sum of BC $",$B$3,"#Year",2020)/$C$28</f>
        <v>190.244</v>
      </c>
      <c r="E44" s="6">
        <f>GETPIVOTDATA("Sum of RIC $",$B$3,"#Year",2020)/$C$28</f>
        <v>173.58500000000001</v>
      </c>
      <c r="F44" s="6">
        <f>GETPIVOTDATA("Sum of TS $",$B$3,"#Year",2020)/$C$28</f>
        <v>132.59200000000001</v>
      </c>
      <c r="G44" s="6">
        <f>GETPIVOTDATA("Sum of IRC $",$B$3,"#Year",2020)/$C$28</f>
        <v>0</v>
      </c>
      <c r="H44" s="6">
        <f>GETPIVOTDATA("Sum of TC $",$B$3,"#Year",2020)/$C$28</f>
        <v>60</v>
      </c>
      <c r="I44" s="6">
        <f>GETPIVOTDATA("Sum of BI $",$B$3,"#Year",2020)/$C$28</f>
        <v>25.333017491926803</v>
      </c>
      <c r="J44" s="6">
        <f>GETPIVOTDATA("Sum of AP $",$B$3,"#Year",2020)/$C$28</f>
        <v>21.208875134553285</v>
      </c>
      <c r="K44" s="6">
        <f>GETPIVOTDATA("Sum of RCIP $",$B$3,"#Year",2020)/$C$28</f>
        <v>345.625</v>
      </c>
      <c r="L44" s="6">
        <f>GETPIVOTDATA("Sum of BC $",$B$3,"#Year",2020)/$C$28</f>
        <v>190.244</v>
      </c>
      <c r="M44" s="6">
        <f t="shared" si="1"/>
        <v>1356.13289262648</v>
      </c>
      <c r="N44" s="11"/>
    </row>
    <row r="45" spans="1:14" x14ac:dyDescent="0.3">
      <c r="A45" s="11"/>
      <c r="B45" s="7">
        <v>2021</v>
      </c>
      <c r="C45" s="6">
        <f>GETPIVOTDATA("Sum of PC $",$B$3,"#Year",2021)/C29</f>
        <v>4.7188092857142854</v>
      </c>
      <c r="D45" s="6">
        <f>GETPIVOTDATA("Sum of BC $",$B$3,"#Year",2021)/$C$29</f>
        <v>1.1816785714285714</v>
      </c>
      <c r="E45" s="6">
        <f>GETPIVOTDATA("Sum of RIC $",$B$3,"#Year",2021)/$C$29</f>
        <v>1.0079078571428572</v>
      </c>
      <c r="F45" s="6">
        <f>GETPIVOTDATA("Sum of TS $",$B$3,"#Year",2021)/$C$29</f>
        <v>0.45250285714285715</v>
      </c>
      <c r="G45" s="6">
        <f>GETPIVOTDATA("Sum of IRC $",$B$3,"#Year",2021)/$C$29</f>
        <v>0</v>
      </c>
      <c r="H45" s="6">
        <f>GETPIVOTDATA("Sum of TC $",$B$3,"#Year",2021)/$C$29</f>
        <v>0.14285714285714285</v>
      </c>
      <c r="I45" s="6">
        <f>GETPIVOTDATA("Sum of BI $",$B$3,"#Year",2021)/$C$29</f>
        <v>0.20898872891998566</v>
      </c>
      <c r="J45" s="6">
        <f>GETPIVOTDATA("Sum of AP $",$B$3,"#Year",2021)/$C$29</f>
        <v>0.13940257355579477</v>
      </c>
      <c r="K45" s="6">
        <f>GETPIVOTDATA("Sum of RCIP $",$B$3,"#Year",2021)/$C$29</f>
        <v>1.1205357142857142</v>
      </c>
      <c r="L45" s="6">
        <f>GETPIVOTDATA("Sum of BC $",$B$3,"#Year",2021)/$C$29</f>
        <v>1.1816785714285714</v>
      </c>
      <c r="M45" s="6">
        <f t="shared" si="1"/>
        <v>10.154361302475779</v>
      </c>
      <c r="N45" s="11"/>
    </row>
    <row r="46" spans="1:14" x14ac:dyDescent="0.3">
      <c r="A46" s="11"/>
      <c r="B46" s="7">
        <v>2022</v>
      </c>
      <c r="C46" s="6">
        <f>GETPIVOTDATA("Sum of PC $",$B$3,"#Year",2022)/C30</f>
        <v>9.6673045000000002</v>
      </c>
      <c r="D46" s="6">
        <f>GETPIVOTDATA("Sum of BC $",$B$3,"#Year",2022)/$C$30</f>
        <v>2.481525</v>
      </c>
      <c r="E46" s="6">
        <f>GETPIVOTDATA("Sum of RIC $",$B$3,"#Year",2022)/$C$30</f>
        <v>2.0826815000000001</v>
      </c>
      <c r="F46" s="6">
        <f>GETPIVOTDATA("Sum of TS $",$B$3,"#Year",2022)/$C$30</f>
        <v>0.94081599999999999</v>
      </c>
      <c r="G46" s="6">
        <f>GETPIVOTDATA("Sum of IRC $",$B$3,"#Year",2022)/$C$30</f>
        <v>0</v>
      </c>
      <c r="H46" s="6">
        <f>GETPIVOTDATA("Sum of TC $",$B$3,"#Year",2022)/$C$30</f>
        <v>0.3</v>
      </c>
      <c r="I46" s="6">
        <f>GETPIVOTDATA("Sum of BI $",$B$3,"#Year",2022)/$C$30</f>
        <v>0.43209133073196987</v>
      </c>
      <c r="J46" s="6">
        <f>GETPIVOTDATA("Sum of AP $",$B$3,"#Year",2022)/$C$30</f>
        <v>0.29009040446716899</v>
      </c>
      <c r="K46" s="6">
        <f>GETPIVOTDATA("Sum of RCIP $",$B$3,"#Year",2022)/$C$30</f>
        <v>2.6531250000000002</v>
      </c>
      <c r="L46" s="6">
        <f>GETPIVOTDATA("Sum of BC $",$B$3,"#Year",2022)/$C$30</f>
        <v>2.481525</v>
      </c>
      <c r="M46" s="6">
        <f t="shared" si="1"/>
        <v>21.32915873519914</v>
      </c>
      <c r="N46" s="11"/>
    </row>
    <row r="47" spans="1:14" x14ac:dyDescent="0.3">
      <c r="A47" s="11"/>
      <c r="B47" s="7">
        <v>2023</v>
      </c>
      <c r="C47" s="6">
        <f>GETPIVOTDATA("Sum of PC $",$B$3,"#Year",2023)/C31</f>
        <v>7.5810218799999998</v>
      </c>
      <c r="D47" s="6">
        <f>GETPIVOTDATA("Sum of BC $",$B$3,"#Year",2023)/$C$31</f>
        <v>2.3665833333333333</v>
      </c>
      <c r="E47" s="6">
        <f>GETPIVOTDATA("Sum of RIC $",$B$3,"#Year",2023)/$C$31</f>
        <v>1.6542192213333333</v>
      </c>
      <c r="F47" s="5">
        <f>GETPIVOTDATA("Sum of TS $",$B$3,"#Year", 2023)/$C$31</f>
        <v>0.68777973999999997</v>
      </c>
      <c r="G47" s="5">
        <f>GETPIVOTDATA("Sum of irc $",$B$3,"#Year", 2023)/$C$31</f>
        <v>0</v>
      </c>
      <c r="H47" s="5">
        <f>GETPIVOTDATA("Sum of Tc $",$B$3,"#Year", 2023)/$C$31</f>
        <v>0.2</v>
      </c>
      <c r="I47" s="5">
        <f>GETPIVOTDATA("Sum of bi $",$B$3,"#Year", 2023)/$C$31</f>
        <v>0.36336180502131327</v>
      </c>
      <c r="J47" s="5">
        <f>GETPIVOTDATA("Sum of AP $",$B$3,"#Year", 2023)/$C$31</f>
        <v>0.26613849097811265</v>
      </c>
      <c r="K47" s="5">
        <f>GETPIVOTDATA("Sum of RCIP $",$B$3,"#Year", 2023)/$C$31</f>
        <v>1.7754810628000002</v>
      </c>
      <c r="L47" s="5">
        <f>GETPIVOTDATA("Sum of PS $",$B$3,"#Year", 2023)/$C$31</f>
        <v>1.6237517566666668</v>
      </c>
      <c r="M47" s="6">
        <f t="shared" si="1"/>
        <v>16.518337290132759</v>
      </c>
      <c r="N47" s="11"/>
    </row>
    <row r="48" spans="1:14" x14ac:dyDescent="0.3">
      <c r="A48" s="11"/>
      <c r="B48" s="11"/>
      <c r="C48" s="11"/>
      <c r="D48" s="11"/>
      <c r="E48" s="11"/>
      <c r="F48" s="11"/>
      <c r="G48" s="11"/>
      <c r="H48" s="11"/>
      <c r="I48" s="11"/>
      <c r="J48" s="11"/>
      <c r="K48" s="11"/>
      <c r="L48" s="11"/>
      <c r="M48" s="11"/>
      <c r="N48" s="11"/>
    </row>
  </sheetData>
  <conditionalFormatting sqref="D21">
    <cfRule type="cellIs" dxfId="13" priority="32" operator="lessThan">
      <formula>0</formula>
    </cfRule>
  </conditionalFormatting>
  <conditionalFormatting sqref="D21:D31">
    <cfRule type="cellIs" dxfId="12" priority="30" operator="greaterThan">
      <formula>0</formula>
    </cfRule>
    <cfRule type="cellIs" dxfId="11" priority="31" operator="lessThan">
      <formula>0</formula>
    </cfRule>
  </conditionalFormatting>
  <conditionalFormatting sqref="C37:C47">
    <cfRule type="cellIs" dxfId="10" priority="15" operator="greaterThan">
      <formula>$C$36</formula>
    </cfRule>
  </conditionalFormatting>
  <conditionalFormatting sqref="D37:D47">
    <cfRule type="cellIs" dxfId="9" priority="14" operator="greaterThan">
      <formula>$D$36</formula>
    </cfRule>
  </conditionalFormatting>
  <conditionalFormatting sqref="E37:E47">
    <cfRule type="cellIs" dxfId="8" priority="13" operator="greaterThan">
      <formula>$E$36</formula>
    </cfRule>
  </conditionalFormatting>
  <conditionalFormatting sqref="F37:F47">
    <cfRule type="cellIs" dxfId="7" priority="12" operator="greaterThan">
      <formula>$F$36</formula>
    </cfRule>
  </conditionalFormatting>
  <conditionalFormatting sqref="G37:G47">
    <cfRule type="cellIs" dxfId="6" priority="11" operator="greaterThan">
      <formula>$G$36</formula>
    </cfRule>
  </conditionalFormatting>
  <conditionalFormatting sqref="H37:H47">
    <cfRule type="cellIs" dxfId="5" priority="10" operator="greaterThan">
      <formula>$H$36</formula>
    </cfRule>
  </conditionalFormatting>
  <conditionalFormatting sqref="I37:I47">
    <cfRule type="cellIs" dxfId="4" priority="9" operator="greaterThan">
      <formula>$I$36</formula>
    </cfRule>
  </conditionalFormatting>
  <conditionalFormatting sqref="J37:J47">
    <cfRule type="cellIs" dxfId="3" priority="8" operator="greaterThan">
      <formula>$J$36</formula>
    </cfRule>
  </conditionalFormatting>
  <conditionalFormatting sqref="K37:K47">
    <cfRule type="cellIs" dxfId="2" priority="7" operator="greaterThan">
      <formula>$K$36</formula>
    </cfRule>
  </conditionalFormatting>
  <conditionalFormatting sqref="L37:L47">
    <cfRule type="cellIs" dxfId="1" priority="6" operator="greaterThan">
      <formula>$L$36</formula>
    </cfRule>
  </conditionalFormatting>
  <conditionalFormatting sqref="M37:M47">
    <cfRule type="cellIs" dxfId="0" priority="1" operator="greaterThan">
      <formula>$M$36</formula>
    </cfRule>
  </conditionalFormatting>
  <pageMargins left="0.7" right="0.7" top="0.75" bottom="0.75" header="0.3" footer="0.3"/>
  <pageSetup scale="55"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CJ1214"/>
  <sheetViews>
    <sheetView topLeftCell="AY1" zoomScale="80" zoomScaleNormal="80" zoomScaleSheetLayoutView="75" workbookViewId="0">
      <pane ySplit="8" topLeftCell="A9" activePane="bottomLeft" state="frozen"/>
      <selection pane="bottomLeft" activeCell="BH25" sqref="BH25"/>
    </sheetView>
  </sheetViews>
  <sheetFormatPr defaultRowHeight="13.8" x14ac:dyDescent="0.3"/>
  <cols>
    <col min="1" max="1" width="9.5546875" style="24" customWidth="1"/>
    <col min="2" max="3" width="6.6640625" style="24" customWidth="1"/>
    <col min="4" max="4" width="10.33203125" style="24" customWidth="1"/>
    <col min="5" max="5" width="8.33203125" style="24" customWidth="1"/>
    <col min="6" max="6" width="8" style="25" customWidth="1"/>
    <col min="7" max="7" width="18.33203125" style="25" customWidth="1"/>
    <col min="8" max="8" width="7" style="24" customWidth="1"/>
    <col min="9" max="9" width="9.109375" style="26" customWidth="1"/>
    <col min="10" max="10" width="5.5546875" style="24" customWidth="1"/>
    <col min="11" max="11" width="9.44140625" style="24" customWidth="1"/>
    <col min="12" max="12" width="4.44140625" style="24" customWidth="1"/>
    <col min="13" max="13" width="39.88671875" style="27" customWidth="1"/>
    <col min="14" max="14" width="10.88671875" style="25" customWidth="1"/>
    <col min="15" max="15" width="10.44140625" style="25" customWidth="1"/>
    <col min="16" max="16" width="6.33203125" style="78" customWidth="1"/>
    <col min="17" max="17" width="14.88671875" style="79" customWidth="1"/>
    <col min="18" max="18" width="11.44140625" style="79" customWidth="1"/>
    <col min="19" max="19" width="11.44140625" style="24" customWidth="1"/>
    <col min="20" max="22" width="8" style="25" customWidth="1"/>
    <col min="23" max="23" width="33.6640625" style="25" customWidth="1"/>
    <col min="24" max="24" width="38.5546875" style="25" customWidth="1"/>
    <col min="25" max="25" width="15.109375" style="25" customWidth="1"/>
    <col min="26" max="26" width="10.88671875" style="27" customWidth="1"/>
    <col min="27" max="28" width="6.88671875" style="27" customWidth="1"/>
    <col min="29" max="29" width="15.33203125" style="27" customWidth="1"/>
    <col min="30" max="30" width="13.6640625" style="27" customWidth="1"/>
    <col min="31" max="31" width="13.33203125" style="28" customWidth="1"/>
    <col min="32" max="32" width="15.44140625" style="27" customWidth="1"/>
    <col min="33" max="33" width="14.6640625" style="27" customWidth="1"/>
    <col min="34" max="34" width="14.5546875" style="27" customWidth="1"/>
    <col min="35" max="35" width="12.88671875" style="27" customWidth="1"/>
    <col min="36" max="36" width="14.6640625" style="27" customWidth="1"/>
    <col min="37" max="37" width="10.88671875" style="27" customWidth="1"/>
    <col min="38" max="38" width="15.44140625" style="27" customWidth="1"/>
    <col min="39" max="39" width="13" style="27" customWidth="1"/>
    <col min="40" max="40" width="13.88671875" style="27" customWidth="1"/>
    <col min="41" max="41" width="10.109375" style="27" customWidth="1"/>
    <col min="42" max="42" width="14.33203125" style="27" customWidth="1"/>
    <col min="43" max="43" width="13.6640625" style="27" customWidth="1"/>
    <col min="44" max="44" width="12" style="27" customWidth="1"/>
    <col min="45" max="45" width="15.44140625" style="27" customWidth="1"/>
    <col min="46" max="46" width="12.109375" style="27" customWidth="1"/>
    <col min="47" max="47" width="13.5546875" style="27" customWidth="1"/>
    <col min="48" max="48" width="14.5546875" style="27" customWidth="1"/>
    <col min="49" max="49" width="14.88671875" style="27" customWidth="1"/>
    <col min="50" max="50" width="15.88671875" style="27" customWidth="1"/>
    <col min="51" max="51" width="17.33203125" style="27" customWidth="1"/>
    <col min="52" max="52" width="15.44140625" style="27" customWidth="1"/>
    <col min="53" max="53" width="12.33203125" style="27" customWidth="1"/>
    <col min="54" max="54" width="15.5546875" style="27" customWidth="1"/>
    <col min="55" max="55" width="19" style="27" customWidth="1"/>
    <col min="56" max="56" width="16.109375" style="29" customWidth="1"/>
    <col min="57" max="57" width="15" style="30" customWidth="1"/>
    <col min="58" max="58" width="13.6640625" style="30" customWidth="1"/>
    <col min="59" max="60" width="8" style="29" customWidth="1"/>
    <col min="61" max="61" width="11.44140625" style="29" customWidth="1"/>
    <col min="62" max="62" width="16.6640625" style="29" customWidth="1"/>
    <col min="63" max="63" width="8.44140625" style="31" customWidth="1"/>
    <col min="64" max="64" width="8" style="29" customWidth="1"/>
    <col min="65" max="65" width="10.33203125" style="29" customWidth="1"/>
    <col min="66" max="66" width="8.6640625" style="29" customWidth="1"/>
    <col min="67" max="67" width="8" style="27" customWidth="1"/>
    <col min="68" max="68" width="10.33203125" style="27" bestFit="1" customWidth="1"/>
    <col min="69" max="69" width="8.109375" style="27" bestFit="1" customWidth="1"/>
    <col min="70" max="70" width="12.109375" style="27" customWidth="1"/>
    <col min="71" max="71" width="8.109375" style="27" bestFit="1" customWidth="1"/>
    <col min="72" max="72" width="9.44140625" style="27" bestFit="1" customWidth="1"/>
    <col min="73" max="73" width="8.109375" style="27" bestFit="1" customWidth="1"/>
    <col min="74" max="74" width="9.44140625" style="27" bestFit="1" customWidth="1"/>
    <col min="75" max="75" width="8.109375" style="27" bestFit="1" customWidth="1"/>
    <col min="76" max="76" width="9.44140625" style="27" bestFit="1" customWidth="1"/>
    <col min="77" max="77" width="8.109375" style="27" bestFit="1" customWidth="1"/>
    <col min="78" max="78" width="9.44140625" style="27" bestFit="1" customWidth="1"/>
    <col min="79" max="79" width="8.109375" style="27" bestFit="1" customWidth="1"/>
    <col min="80" max="80" width="9.109375" style="27"/>
    <col min="81" max="81" width="8.109375" style="27" bestFit="1" customWidth="1"/>
    <col min="82" max="82" width="9.109375" style="27"/>
    <col min="83" max="85" width="8.109375" style="27" bestFit="1" customWidth="1"/>
    <col min="86" max="86" width="9.44140625" style="27" bestFit="1" customWidth="1"/>
    <col min="87" max="87" width="8.109375" style="27" bestFit="1" customWidth="1"/>
    <col min="88" max="88" width="10.33203125" style="27" bestFit="1" customWidth="1"/>
    <col min="89" max="256" width="9.109375" style="27"/>
    <col min="257" max="257" width="9.5546875" style="27" customWidth="1"/>
    <col min="258" max="259" width="6.6640625" style="27" customWidth="1"/>
    <col min="260" max="260" width="10.33203125" style="27" customWidth="1"/>
    <col min="261" max="261" width="8.33203125" style="27" customWidth="1"/>
    <col min="262" max="262" width="8" style="27" customWidth="1"/>
    <col min="263" max="263" width="18.33203125" style="27" customWidth="1"/>
    <col min="264" max="264" width="7" style="27" customWidth="1"/>
    <col min="265" max="265" width="9.109375" style="27" customWidth="1"/>
    <col min="266" max="266" width="5.5546875" style="27" customWidth="1"/>
    <col min="267" max="267" width="9.44140625" style="27" customWidth="1"/>
    <col min="268" max="268" width="4.44140625" style="27" customWidth="1"/>
    <col min="269" max="269" width="39.88671875" style="27" customWidth="1"/>
    <col min="270" max="270" width="10.88671875" style="27" customWidth="1"/>
    <col min="271" max="271" width="10.44140625" style="27" customWidth="1"/>
    <col min="272" max="272" width="6.33203125" style="27" customWidth="1"/>
    <col min="273" max="273" width="14.88671875" style="27" customWidth="1"/>
    <col min="274" max="275" width="11.44140625" style="27" customWidth="1"/>
    <col min="276" max="278" width="8" style="27" customWidth="1"/>
    <col min="279" max="279" width="33.6640625" style="27" customWidth="1"/>
    <col min="280" max="280" width="38.5546875" style="27" customWidth="1"/>
    <col min="281" max="281" width="15.109375" style="27" customWidth="1"/>
    <col min="282" max="282" width="10.88671875" style="27" customWidth="1"/>
    <col min="283" max="284" width="6.88671875" style="27" customWidth="1"/>
    <col min="285" max="285" width="15.33203125" style="27" customWidth="1"/>
    <col min="286" max="286" width="13.6640625" style="27" customWidth="1"/>
    <col min="287" max="287" width="13.33203125" style="27" customWidth="1"/>
    <col min="288" max="288" width="15.44140625" style="27" customWidth="1"/>
    <col min="289" max="289" width="14.6640625" style="27" customWidth="1"/>
    <col min="290" max="290" width="14.5546875" style="27" customWidth="1"/>
    <col min="291" max="291" width="12.88671875" style="27" customWidth="1"/>
    <col min="292" max="292" width="14.6640625" style="27" customWidth="1"/>
    <col min="293" max="293" width="10.88671875" style="27" customWidth="1"/>
    <col min="294" max="294" width="15.44140625" style="27" customWidth="1"/>
    <col min="295" max="295" width="13" style="27" customWidth="1"/>
    <col min="296" max="296" width="13.88671875" style="27" customWidth="1"/>
    <col min="297" max="297" width="10.109375" style="27" customWidth="1"/>
    <col min="298" max="298" width="14.33203125" style="27" customWidth="1"/>
    <col min="299" max="299" width="13.6640625" style="27" customWidth="1"/>
    <col min="300" max="300" width="12" style="27" customWidth="1"/>
    <col min="301" max="301" width="15.44140625" style="27" customWidth="1"/>
    <col min="302" max="302" width="12.109375" style="27" customWidth="1"/>
    <col min="303" max="303" width="13.5546875" style="27" customWidth="1"/>
    <col min="304" max="304" width="14.5546875" style="27" customWidth="1"/>
    <col min="305" max="305" width="14.88671875" style="27" customWidth="1"/>
    <col min="306" max="306" width="15.88671875" style="27" customWidth="1"/>
    <col min="307" max="307" width="17.33203125" style="27" customWidth="1"/>
    <col min="308" max="308" width="15.44140625" style="27" customWidth="1"/>
    <col min="309" max="309" width="12.33203125" style="27" customWidth="1"/>
    <col min="310" max="310" width="15.5546875" style="27" customWidth="1"/>
    <col min="311" max="311" width="19" style="27" customWidth="1"/>
    <col min="312" max="312" width="16.109375" style="27" customWidth="1"/>
    <col min="313" max="313" width="15" style="27" customWidth="1"/>
    <col min="314" max="314" width="13.6640625" style="27" customWidth="1"/>
    <col min="315" max="316" width="8" style="27" customWidth="1"/>
    <col min="317" max="317" width="11.44140625" style="27" customWidth="1"/>
    <col min="318" max="318" width="16.6640625" style="27" customWidth="1"/>
    <col min="319" max="319" width="8.44140625" style="27" customWidth="1"/>
    <col min="320" max="320" width="8" style="27" customWidth="1"/>
    <col min="321" max="321" width="10.33203125" style="27" customWidth="1"/>
    <col min="322" max="322" width="8.6640625" style="27" customWidth="1"/>
    <col min="323" max="323" width="8" style="27" customWidth="1"/>
    <col min="324" max="324" width="10.33203125" style="27" bestFit="1" customWidth="1"/>
    <col min="325" max="325" width="8.109375" style="27" bestFit="1" customWidth="1"/>
    <col min="326" max="326" width="12.109375" style="27" customWidth="1"/>
    <col min="327" max="327" width="8.109375" style="27" bestFit="1" customWidth="1"/>
    <col min="328" max="328" width="9.44140625" style="27" bestFit="1" customWidth="1"/>
    <col min="329" max="329" width="8.109375" style="27" bestFit="1" customWidth="1"/>
    <col min="330" max="330" width="9.44140625" style="27" bestFit="1" customWidth="1"/>
    <col min="331" max="331" width="8.109375" style="27" bestFit="1" customWidth="1"/>
    <col min="332" max="332" width="9.44140625" style="27" bestFit="1" customWidth="1"/>
    <col min="333" max="333" width="8.109375" style="27" bestFit="1" customWidth="1"/>
    <col min="334" max="334" width="9.44140625" style="27" bestFit="1" customWidth="1"/>
    <col min="335" max="335" width="8.109375" style="27" bestFit="1" customWidth="1"/>
    <col min="336" max="336" width="9.109375" style="27"/>
    <col min="337" max="337" width="8.109375" style="27" bestFit="1" customWidth="1"/>
    <col min="338" max="338" width="9.109375" style="27"/>
    <col min="339" max="341" width="8.109375" style="27" bestFit="1" customWidth="1"/>
    <col min="342" max="342" width="9.44140625" style="27" bestFit="1" customWidth="1"/>
    <col min="343" max="343" width="8.109375" style="27" bestFit="1" customWidth="1"/>
    <col min="344" max="344" width="10.33203125" style="27" bestFit="1" customWidth="1"/>
    <col min="345" max="512" width="9.109375" style="27"/>
    <col min="513" max="513" width="9.5546875" style="27" customWidth="1"/>
    <col min="514" max="515" width="6.6640625" style="27" customWidth="1"/>
    <col min="516" max="516" width="10.33203125" style="27" customWidth="1"/>
    <col min="517" max="517" width="8.33203125" style="27" customWidth="1"/>
    <col min="518" max="518" width="8" style="27" customWidth="1"/>
    <col min="519" max="519" width="18.33203125" style="27" customWidth="1"/>
    <col min="520" max="520" width="7" style="27" customWidth="1"/>
    <col min="521" max="521" width="9.109375" style="27" customWidth="1"/>
    <col min="522" max="522" width="5.5546875" style="27" customWidth="1"/>
    <col min="523" max="523" width="9.44140625" style="27" customWidth="1"/>
    <col min="524" max="524" width="4.44140625" style="27" customWidth="1"/>
    <col min="525" max="525" width="39.88671875" style="27" customWidth="1"/>
    <col min="526" max="526" width="10.88671875" style="27" customWidth="1"/>
    <col min="527" max="527" width="10.44140625" style="27" customWidth="1"/>
    <col min="528" max="528" width="6.33203125" style="27" customWidth="1"/>
    <col min="529" max="529" width="14.88671875" style="27" customWidth="1"/>
    <col min="530" max="531" width="11.44140625" style="27" customWidth="1"/>
    <col min="532" max="534" width="8" style="27" customWidth="1"/>
    <col min="535" max="535" width="33.6640625" style="27" customWidth="1"/>
    <col min="536" max="536" width="38.5546875" style="27" customWidth="1"/>
    <col min="537" max="537" width="15.109375" style="27" customWidth="1"/>
    <col min="538" max="538" width="10.88671875" style="27" customWidth="1"/>
    <col min="539" max="540" width="6.88671875" style="27" customWidth="1"/>
    <col min="541" max="541" width="15.33203125" style="27" customWidth="1"/>
    <col min="542" max="542" width="13.6640625" style="27" customWidth="1"/>
    <col min="543" max="543" width="13.33203125" style="27" customWidth="1"/>
    <col min="544" max="544" width="15.44140625" style="27" customWidth="1"/>
    <col min="545" max="545" width="14.6640625" style="27" customWidth="1"/>
    <col min="546" max="546" width="14.5546875" style="27" customWidth="1"/>
    <col min="547" max="547" width="12.88671875" style="27" customWidth="1"/>
    <col min="548" max="548" width="14.6640625" style="27" customWidth="1"/>
    <col min="549" max="549" width="10.88671875" style="27" customWidth="1"/>
    <col min="550" max="550" width="15.44140625" style="27" customWidth="1"/>
    <col min="551" max="551" width="13" style="27" customWidth="1"/>
    <col min="552" max="552" width="13.88671875" style="27" customWidth="1"/>
    <col min="553" max="553" width="10.109375" style="27" customWidth="1"/>
    <col min="554" max="554" width="14.33203125" style="27" customWidth="1"/>
    <col min="555" max="555" width="13.6640625" style="27" customWidth="1"/>
    <col min="556" max="556" width="12" style="27" customWidth="1"/>
    <col min="557" max="557" width="15.44140625" style="27" customWidth="1"/>
    <col min="558" max="558" width="12.109375" style="27" customWidth="1"/>
    <col min="559" max="559" width="13.5546875" style="27" customWidth="1"/>
    <col min="560" max="560" width="14.5546875" style="27" customWidth="1"/>
    <col min="561" max="561" width="14.88671875" style="27" customWidth="1"/>
    <col min="562" max="562" width="15.88671875" style="27" customWidth="1"/>
    <col min="563" max="563" width="17.33203125" style="27" customWidth="1"/>
    <col min="564" max="564" width="15.44140625" style="27" customWidth="1"/>
    <col min="565" max="565" width="12.33203125" style="27" customWidth="1"/>
    <col min="566" max="566" width="15.5546875" style="27" customWidth="1"/>
    <col min="567" max="567" width="19" style="27" customWidth="1"/>
    <col min="568" max="568" width="16.109375" style="27" customWidth="1"/>
    <col min="569" max="569" width="15" style="27" customWidth="1"/>
    <col min="570" max="570" width="13.6640625" style="27" customWidth="1"/>
    <col min="571" max="572" width="8" style="27" customWidth="1"/>
    <col min="573" max="573" width="11.44140625" style="27" customWidth="1"/>
    <col min="574" max="574" width="16.6640625" style="27" customWidth="1"/>
    <col min="575" max="575" width="8.44140625" style="27" customWidth="1"/>
    <col min="576" max="576" width="8" style="27" customWidth="1"/>
    <col min="577" max="577" width="10.33203125" style="27" customWidth="1"/>
    <col min="578" max="578" width="8.6640625" style="27" customWidth="1"/>
    <col min="579" max="579" width="8" style="27" customWidth="1"/>
    <col min="580" max="580" width="10.33203125" style="27" bestFit="1" customWidth="1"/>
    <col min="581" max="581" width="8.109375" style="27" bestFit="1" customWidth="1"/>
    <col min="582" max="582" width="12.109375" style="27" customWidth="1"/>
    <col min="583" max="583" width="8.109375" style="27" bestFit="1" customWidth="1"/>
    <col min="584" max="584" width="9.44140625" style="27" bestFit="1" customWidth="1"/>
    <col min="585" max="585" width="8.109375" style="27" bestFit="1" customWidth="1"/>
    <col min="586" max="586" width="9.44140625" style="27" bestFit="1" customWidth="1"/>
    <col min="587" max="587" width="8.109375" style="27" bestFit="1" customWidth="1"/>
    <col min="588" max="588" width="9.44140625" style="27" bestFit="1" customWidth="1"/>
    <col min="589" max="589" width="8.109375" style="27" bestFit="1" customWidth="1"/>
    <col min="590" max="590" width="9.44140625" style="27" bestFit="1" customWidth="1"/>
    <col min="591" max="591" width="8.109375" style="27" bestFit="1" customWidth="1"/>
    <col min="592" max="592" width="9.109375" style="27"/>
    <col min="593" max="593" width="8.109375" style="27" bestFit="1" customWidth="1"/>
    <col min="594" max="594" width="9.109375" style="27"/>
    <col min="595" max="597" width="8.109375" style="27" bestFit="1" customWidth="1"/>
    <col min="598" max="598" width="9.44140625" style="27" bestFit="1" customWidth="1"/>
    <col min="599" max="599" width="8.109375" style="27" bestFit="1" customWidth="1"/>
    <col min="600" max="600" width="10.33203125" style="27" bestFit="1" customWidth="1"/>
    <col min="601" max="768" width="9.109375" style="27"/>
    <col min="769" max="769" width="9.5546875" style="27" customWidth="1"/>
    <col min="770" max="771" width="6.6640625" style="27" customWidth="1"/>
    <col min="772" max="772" width="10.33203125" style="27" customWidth="1"/>
    <col min="773" max="773" width="8.33203125" style="27" customWidth="1"/>
    <col min="774" max="774" width="8" style="27" customWidth="1"/>
    <col min="775" max="775" width="18.33203125" style="27" customWidth="1"/>
    <col min="776" max="776" width="7" style="27" customWidth="1"/>
    <col min="777" max="777" width="9.109375" style="27" customWidth="1"/>
    <col min="778" max="778" width="5.5546875" style="27" customWidth="1"/>
    <col min="779" max="779" width="9.44140625" style="27" customWidth="1"/>
    <col min="780" max="780" width="4.44140625" style="27" customWidth="1"/>
    <col min="781" max="781" width="39.88671875" style="27" customWidth="1"/>
    <col min="782" max="782" width="10.88671875" style="27" customWidth="1"/>
    <col min="783" max="783" width="10.44140625" style="27" customWidth="1"/>
    <col min="784" max="784" width="6.33203125" style="27" customWidth="1"/>
    <col min="785" max="785" width="14.88671875" style="27" customWidth="1"/>
    <col min="786" max="787" width="11.44140625" style="27" customWidth="1"/>
    <col min="788" max="790" width="8" style="27" customWidth="1"/>
    <col min="791" max="791" width="33.6640625" style="27" customWidth="1"/>
    <col min="792" max="792" width="38.5546875" style="27" customWidth="1"/>
    <col min="793" max="793" width="15.109375" style="27" customWidth="1"/>
    <col min="794" max="794" width="10.88671875" style="27" customWidth="1"/>
    <col min="795" max="796" width="6.88671875" style="27" customWidth="1"/>
    <col min="797" max="797" width="15.33203125" style="27" customWidth="1"/>
    <col min="798" max="798" width="13.6640625" style="27" customWidth="1"/>
    <col min="799" max="799" width="13.33203125" style="27" customWidth="1"/>
    <col min="800" max="800" width="15.44140625" style="27" customWidth="1"/>
    <col min="801" max="801" width="14.6640625" style="27" customWidth="1"/>
    <col min="802" max="802" width="14.5546875" style="27" customWidth="1"/>
    <col min="803" max="803" width="12.88671875" style="27" customWidth="1"/>
    <col min="804" max="804" width="14.6640625" style="27" customWidth="1"/>
    <col min="805" max="805" width="10.88671875" style="27" customWidth="1"/>
    <col min="806" max="806" width="15.44140625" style="27" customWidth="1"/>
    <col min="807" max="807" width="13" style="27" customWidth="1"/>
    <col min="808" max="808" width="13.88671875" style="27" customWidth="1"/>
    <col min="809" max="809" width="10.109375" style="27" customWidth="1"/>
    <col min="810" max="810" width="14.33203125" style="27" customWidth="1"/>
    <col min="811" max="811" width="13.6640625" style="27" customWidth="1"/>
    <col min="812" max="812" width="12" style="27" customWidth="1"/>
    <col min="813" max="813" width="15.44140625" style="27" customWidth="1"/>
    <col min="814" max="814" width="12.109375" style="27" customWidth="1"/>
    <col min="815" max="815" width="13.5546875" style="27" customWidth="1"/>
    <col min="816" max="816" width="14.5546875" style="27" customWidth="1"/>
    <col min="817" max="817" width="14.88671875" style="27" customWidth="1"/>
    <col min="818" max="818" width="15.88671875" style="27" customWidth="1"/>
    <col min="819" max="819" width="17.33203125" style="27" customWidth="1"/>
    <col min="820" max="820" width="15.44140625" style="27" customWidth="1"/>
    <col min="821" max="821" width="12.33203125" style="27" customWidth="1"/>
    <col min="822" max="822" width="15.5546875" style="27" customWidth="1"/>
    <col min="823" max="823" width="19" style="27" customWidth="1"/>
    <col min="824" max="824" width="16.109375" style="27" customWidth="1"/>
    <col min="825" max="825" width="15" style="27" customWidth="1"/>
    <col min="826" max="826" width="13.6640625" style="27" customWidth="1"/>
    <col min="827" max="828" width="8" style="27" customWidth="1"/>
    <col min="829" max="829" width="11.44140625" style="27" customWidth="1"/>
    <col min="830" max="830" width="16.6640625" style="27" customWidth="1"/>
    <col min="831" max="831" width="8.44140625" style="27" customWidth="1"/>
    <col min="832" max="832" width="8" style="27" customWidth="1"/>
    <col min="833" max="833" width="10.33203125" style="27" customWidth="1"/>
    <col min="834" max="834" width="8.6640625" style="27" customWidth="1"/>
    <col min="835" max="835" width="8" style="27" customWidth="1"/>
    <col min="836" max="836" width="10.33203125" style="27" bestFit="1" customWidth="1"/>
    <col min="837" max="837" width="8.109375" style="27" bestFit="1" customWidth="1"/>
    <col min="838" max="838" width="12.109375" style="27" customWidth="1"/>
    <col min="839" max="839" width="8.109375" style="27" bestFit="1" customWidth="1"/>
    <col min="840" max="840" width="9.44140625" style="27" bestFit="1" customWidth="1"/>
    <col min="841" max="841" width="8.109375" style="27" bestFit="1" customWidth="1"/>
    <col min="842" max="842" width="9.44140625" style="27" bestFit="1" customWidth="1"/>
    <col min="843" max="843" width="8.109375" style="27" bestFit="1" customWidth="1"/>
    <col min="844" max="844" width="9.44140625" style="27" bestFit="1" customWidth="1"/>
    <col min="845" max="845" width="8.109375" style="27" bestFit="1" customWidth="1"/>
    <col min="846" max="846" width="9.44140625" style="27" bestFit="1" customWidth="1"/>
    <col min="847" max="847" width="8.109375" style="27" bestFit="1" customWidth="1"/>
    <col min="848" max="848" width="9.109375" style="27"/>
    <col min="849" max="849" width="8.109375" style="27" bestFit="1" customWidth="1"/>
    <col min="850" max="850" width="9.109375" style="27"/>
    <col min="851" max="853" width="8.109375" style="27" bestFit="1" customWidth="1"/>
    <col min="854" max="854" width="9.44140625" style="27" bestFit="1" customWidth="1"/>
    <col min="855" max="855" width="8.109375" style="27" bestFit="1" customWidth="1"/>
    <col min="856" max="856" width="10.33203125" style="27" bestFit="1" customWidth="1"/>
    <col min="857" max="1024" width="9.109375" style="27"/>
    <col min="1025" max="1025" width="9.5546875" style="27" customWidth="1"/>
    <col min="1026" max="1027" width="6.6640625" style="27" customWidth="1"/>
    <col min="1028" max="1028" width="10.33203125" style="27" customWidth="1"/>
    <col min="1029" max="1029" width="8.33203125" style="27" customWidth="1"/>
    <col min="1030" max="1030" width="8" style="27" customWidth="1"/>
    <col min="1031" max="1031" width="18.33203125" style="27" customWidth="1"/>
    <col min="1032" max="1032" width="7" style="27" customWidth="1"/>
    <col min="1033" max="1033" width="9.109375" style="27" customWidth="1"/>
    <col min="1034" max="1034" width="5.5546875" style="27" customWidth="1"/>
    <col min="1035" max="1035" width="9.44140625" style="27" customWidth="1"/>
    <col min="1036" max="1036" width="4.44140625" style="27" customWidth="1"/>
    <col min="1037" max="1037" width="39.88671875" style="27" customWidth="1"/>
    <col min="1038" max="1038" width="10.88671875" style="27" customWidth="1"/>
    <col min="1039" max="1039" width="10.44140625" style="27" customWidth="1"/>
    <col min="1040" max="1040" width="6.33203125" style="27" customWidth="1"/>
    <col min="1041" max="1041" width="14.88671875" style="27" customWidth="1"/>
    <col min="1042" max="1043" width="11.44140625" style="27" customWidth="1"/>
    <col min="1044" max="1046" width="8" style="27" customWidth="1"/>
    <col min="1047" max="1047" width="33.6640625" style="27" customWidth="1"/>
    <col min="1048" max="1048" width="38.5546875" style="27" customWidth="1"/>
    <col min="1049" max="1049" width="15.109375" style="27" customWidth="1"/>
    <col min="1050" max="1050" width="10.88671875" style="27" customWidth="1"/>
    <col min="1051" max="1052" width="6.88671875" style="27" customWidth="1"/>
    <col min="1053" max="1053" width="15.33203125" style="27" customWidth="1"/>
    <col min="1054" max="1054" width="13.6640625" style="27" customWidth="1"/>
    <col min="1055" max="1055" width="13.33203125" style="27" customWidth="1"/>
    <col min="1056" max="1056" width="15.44140625" style="27" customWidth="1"/>
    <col min="1057" max="1057" width="14.6640625" style="27" customWidth="1"/>
    <col min="1058" max="1058" width="14.5546875" style="27" customWidth="1"/>
    <col min="1059" max="1059" width="12.88671875" style="27" customWidth="1"/>
    <col min="1060" max="1060" width="14.6640625" style="27" customWidth="1"/>
    <col min="1061" max="1061" width="10.88671875" style="27" customWidth="1"/>
    <col min="1062" max="1062" width="15.44140625" style="27" customWidth="1"/>
    <col min="1063" max="1063" width="13" style="27" customWidth="1"/>
    <col min="1064" max="1064" width="13.88671875" style="27" customWidth="1"/>
    <col min="1065" max="1065" width="10.109375" style="27" customWidth="1"/>
    <col min="1066" max="1066" width="14.33203125" style="27" customWidth="1"/>
    <col min="1067" max="1067" width="13.6640625" style="27" customWidth="1"/>
    <col min="1068" max="1068" width="12" style="27" customWidth="1"/>
    <col min="1069" max="1069" width="15.44140625" style="27" customWidth="1"/>
    <col min="1070" max="1070" width="12.109375" style="27" customWidth="1"/>
    <col min="1071" max="1071" width="13.5546875" style="27" customWidth="1"/>
    <col min="1072" max="1072" width="14.5546875" style="27" customWidth="1"/>
    <col min="1073" max="1073" width="14.88671875" style="27" customWidth="1"/>
    <col min="1074" max="1074" width="15.88671875" style="27" customWidth="1"/>
    <col min="1075" max="1075" width="17.33203125" style="27" customWidth="1"/>
    <col min="1076" max="1076" width="15.44140625" style="27" customWidth="1"/>
    <col min="1077" max="1077" width="12.33203125" style="27" customWidth="1"/>
    <col min="1078" max="1078" width="15.5546875" style="27" customWidth="1"/>
    <col min="1079" max="1079" width="19" style="27" customWidth="1"/>
    <col min="1080" max="1080" width="16.109375" style="27" customWidth="1"/>
    <col min="1081" max="1081" width="15" style="27" customWidth="1"/>
    <col min="1082" max="1082" width="13.6640625" style="27" customWidth="1"/>
    <col min="1083" max="1084" width="8" style="27" customWidth="1"/>
    <col min="1085" max="1085" width="11.44140625" style="27" customWidth="1"/>
    <col min="1086" max="1086" width="16.6640625" style="27" customWidth="1"/>
    <col min="1087" max="1087" width="8.44140625" style="27" customWidth="1"/>
    <col min="1088" max="1088" width="8" style="27" customWidth="1"/>
    <col min="1089" max="1089" width="10.33203125" style="27" customWidth="1"/>
    <col min="1090" max="1090" width="8.6640625" style="27" customWidth="1"/>
    <col min="1091" max="1091" width="8" style="27" customWidth="1"/>
    <col min="1092" max="1092" width="10.33203125" style="27" bestFit="1" customWidth="1"/>
    <col min="1093" max="1093" width="8.109375" style="27" bestFit="1" customWidth="1"/>
    <col min="1094" max="1094" width="12.109375" style="27" customWidth="1"/>
    <col min="1095" max="1095" width="8.109375" style="27" bestFit="1" customWidth="1"/>
    <col min="1096" max="1096" width="9.44140625" style="27" bestFit="1" customWidth="1"/>
    <col min="1097" max="1097" width="8.109375" style="27" bestFit="1" customWidth="1"/>
    <col min="1098" max="1098" width="9.44140625" style="27" bestFit="1" customWidth="1"/>
    <col min="1099" max="1099" width="8.109375" style="27" bestFit="1" customWidth="1"/>
    <col min="1100" max="1100" width="9.44140625" style="27" bestFit="1" customWidth="1"/>
    <col min="1101" max="1101" width="8.109375" style="27" bestFit="1" customWidth="1"/>
    <col min="1102" max="1102" width="9.44140625" style="27" bestFit="1" customWidth="1"/>
    <col min="1103" max="1103" width="8.109375" style="27" bestFit="1" customWidth="1"/>
    <col min="1104" max="1104" width="9.109375" style="27"/>
    <col min="1105" max="1105" width="8.109375" style="27" bestFit="1" customWidth="1"/>
    <col min="1106" max="1106" width="9.109375" style="27"/>
    <col min="1107" max="1109" width="8.109375" style="27" bestFit="1" customWidth="1"/>
    <col min="1110" max="1110" width="9.44140625" style="27" bestFit="1" customWidth="1"/>
    <col min="1111" max="1111" width="8.109375" style="27" bestFit="1" customWidth="1"/>
    <col min="1112" max="1112" width="10.33203125" style="27" bestFit="1" customWidth="1"/>
    <col min="1113" max="1280" width="9.109375" style="27"/>
    <col min="1281" max="1281" width="9.5546875" style="27" customWidth="1"/>
    <col min="1282" max="1283" width="6.6640625" style="27" customWidth="1"/>
    <col min="1284" max="1284" width="10.33203125" style="27" customWidth="1"/>
    <col min="1285" max="1285" width="8.33203125" style="27" customWidth="1"/>
    <col min="1286" max="1286" width="8" style="27" customWidth="1"/>
    <col min="1287" max="1287" width="18.33203125" style="27" customWidth="1"/>
    <col min="1288" max="1288" width="7" style="27" customWidth="1"/>
    <col min="1289" max="1289" width="9.109375" style="27" customWidth="1"/>
    <col min="1290" max="1290" width="5.5546875" style="27" customWidth="1"/>
    <col min="1291" max="1291" width="9.44140625" style="27" customWidth="1"/>
    <col min="1292" max="1292" width="4.44140625" style="27" customWidth="1"/>
    <col min="1293" max="1293" width="39.88671875" style="27" customWidth="1"/>
    <col min="1294" max="1294" width="10.88671875" style="27" customWidth="1"/>
    <col min="1295" max="1295" width="10.44140625" style="27" customWidth="1"/>
    <col min="1296" max="1296" width="6.33203125" style="27" customWidth="1"/>
    <col min="1297" max="1297" width="14.88671875" style="27" customWidth="1"/>
    <col min="1298" max="1299" width="11.44140625" style="27" customWidth="1"/>
    <col min="1300" max="1302" width="8" style="27" customWidth="1"/>
    <col min="1303" max="1303" width="33.6640625" style="27" customWidth="1"/>
    <col min="1304" max="1304" width="38.5546875" style="27" customWidth="1"/>
    <col min="1305" max="1305" width="15.109375" style="27" customWidth="1"/>
    <col min="1306" max="1306" width="10.88671875" style="27" customWidth="1"/>
    <col min="1307" max="1308" width="6.88671875" style="27" customWidth="1"/>
    <col min="1309" max="1309" width="15.33203125" style="27" customWidth="1"/>
    <col min="1310" max="1310" width="13.6640625" style="27" customWidth="1"/>
    <col min="1311" max="1311" width="13.33203125" style="27" customWidth="1"/>
    <col min="1312" max="1312" width="15.44140625" style="27" customWidth="1"/>
    <col min="1313" max="1313" width="14.6640625" style="27" customWidth="1"/>
    <col min="1314" max="1314" width="14.5546875" style="27" customWidth="1"/>
    <col min="1315" max="1315" width="12.88671875" style="27" customWidth="1"/>
    <col min="1316" max="1316" width="14.6640625" style="27" customWidth="1"/>
    <col min="1317" max="1317" width="10.88671875" style="27" customWidth="1"/>
    <col min="1318" max="1318" width="15.44140625" style="27" customWidth="1"/>
    <col min="1319" max="1319" width="13" style="27" customWidth="1"/>
    <col min="1320" max="1320" width="13.88671875" style="27" customWidth="1"/>
    <col min="1321" max="1321" width="10.109375" style="27" customWidth="1"/>
    <col min="1322" max="1322" width="14.33203125" style="27" customWidth="1"/>
    <col min="1323" max="1323" width="13.6640625" style="27" customWidth="1"/>
    <col min="1324" max="1324" width="12" style="27" customWidth="1"/>
    <col min="1325" max="1325" width="15.44140625" style="27" customWidth="1"/>
    <col min="1326" max="1326" width="12.109375" style="27" customWidth="1"/>
    <col min="1327" max="1327" width="13.5546875" style="27" customWidth="1"/>
    <col min="1328" max="1328" width="14.5546875" style="27" customWidth="1"/>
    <col min="1329" max="1329" width="14.88671875" style="27" customWidth="1"/>
    <col min="1330" max="1330" width="15.88671875" style="27" customWidth="1"/>
    <col min="1331" max="1331" width="17.33203125" style="27" customWidth="1"/>
    <col min="1332" max="1332" width="15.44140625" style="27" customWidth="1"/>
    <col min="1333" max="1333" width="12.33203125" style="27" customWidth="1"/>
    <col min="1334" max="1334" width="15.5546875" style="27" customWidth="1"/>
    <col min="1335" max="1335" width="19" style="27" customWidth="1"/>
    <col min="1336" max="1336" width="16.109375" style="27" customWidth="1"/>
    <col min="1337" max="1337" width="15" style="27" customWidth="1"/>
    <col min="1338" max="1338" width="13.6640625" style="27" customWidth="1"/>
    <col min="1339" max="1340" width="8" style="27" customWidth="1"/>
    <col min="1341" max="1341" width="11.44140625" style="27" customWidth="1"/>
    <col min="1342" max="1342" width="16.6640625" style="27" customWidth="1"/>
    <col min="1343" max="1343" width="8.44140625" style="27" customWidth="1"/>
    <col min="1344" max="1344" width="8" style="27" customWidth="1"/>
    <col min="1345" max="1345" width="10.33203125" style="27" customWidth="1"/>
    <col min="1346" max="1346" width="8.6640625" style="27" customWidth="1"/>
    <col min="1347" max="1347" width="8" style="27" customWidth="1"/>
    <col min="1348" max="1348" width="10.33203125" style="27" bestFit="1" customWidth="1"/>
    <col min="1349" max="1349" width="8.109375" style="27" bestFit="1" customWidth="1"/>
    <col min="1350" max="1350" width="12.109375" style="27" customWidth="1"/>
    <col min="1351" max="1351" width="8.109375" style="27" bestFit="1" customWidth="1"/>
    <col min="1352" max="1352" width="9.44140625" style="27" bestFit="1" customWidth="1"/>
    <col min="1353" max="1353" width="8.109375" style="27" bestFit="1" customWidth="1"/>
    <col min="1354" max="1354" width="9.44140625" style="27" bestFit="1" customWidth="1"/>
    <col min="1355" max="1355" width="8.109375" style="27" bestFit="1" customWidth="1"/>
    <col min="1356" max="1356" width="9.44140625" style="27" bestFit="1" customWidth="1"/>
    <col min="1357" max="1357" width="8.109375" style="27" bestFit="1" customWidth="1"/>
    <col min="1358" max="1358" width="9.44140625" style="27" bestFit="1" customWidth="1"/>
    <col min="1359" max="1359" width="8.109375" style="27" bestFit="1" customWidth="1"/>
    <col min="1360" max="1360" width="9.109375" style="27"/>
    <col min="1361" max="1361" width="8.109375" style="27" bestFit="1" customWidth="1"/>
    <col min="1362" max="1362" width="9.109375" style="27"/>
    <col min="1363" max="1365" width="8.109375" style="27" bestFit="1" customWidth="1"/>
    <col min="1366" max="1366" width="9.44140625" style="27" bestFit="1" customWidth="1"/>
    <col min="1367" max="1367" width="8.109375" style="27" bestFit="1" customWidth="1"/>
    <col min="1368" max="1368" width="10.33203125" style="27" bestFit="1" customWidth="1"/>
    <col min="1369" max="1536" width="9.109375" style="27"/>
    <col min="1537" max="1537" width="9.5546875" style="27" customWidth="1"/>
    <col min="1538" max="1539" width="6.6640625" style="27" customWidth="1"/>
    <col min="1540" max="1540" width="10.33203125" style="27" customWidth="1"/>
    <col min="1541" max="1541" width="8.33203125" style="27" customWidth="1"/>
    <col min="1542" max="1542" width="8" style="27" customWidth="1"/>
    <col min="1543" max="1543" width="18.33203125" style="27" customWidth="1"/>
    <col min="1544" max="1544" width="7" style="27" customWidth="1"/>
    <col min="1545" max="1545" width="9.109375" style="27" customWidth="1"/>
    <col min="1546" max="1546" width="5.5546875" style="27" customWidth="1"/>
    <col min="1547" max="1547" width="9.44140625" style="27" customWidth="1"/>
    <col min="1548" max="1548" width="4.44140625" style="27" customWidth="1"/>
    <col min="1549" max="1549" width="39.88671875" style="27" customWidth="1"/>
    <col min="1550" max="1550" width="10.88671875" style="27" customWidth="1"/>
    <col min="1551" max="1551" width="10.44140625" style="27" customWidth="1"/>
    <col min="1552" max="1552" width="6.33203125" style="27" customWidth="1"/>
    <col min="1553" max="1553" width="14.88671875" style="27" customWidth="1"/>
    <col min="1554" max="1555" width="11.44140625" style="27" customWidth="1"/>
    <col min="1556" max="1558" width="8" style="27" customWidth="1"/>
    <col min="1559" max="1559" width="33.6640625" style="27" customWidth="1"/>
    <col min="1560" max="1560" width="38.5546875" style="27" customWidth="1"/>
    <col min="1561" max="1561" width="15.109375" style="27" customWidth="1"/>
    <col min="1562" max="1562" width="10.88671875" style="27" customWidth="1"/>
    <col min="1563" max="1564" width="6.88671875" style="27" customWidth="1"/>
    <col min="1565" max="1565" width="15.33203125" style="27" customWidth="1"/>
    <col min="1566" max="1566" width="13.6640625" style="27" customWidth="1"/>
    <col min="1567" max="1567" width="13.33203125" style="27" customWidth="1"/>
    <col min="1568" max="1568" width="15.44140625" style="27" customWidth="1"/>
    <col min="1569" max="1569" width="14.6640625" style="27" customWidth="1"/>
    <col min="1570" max="1570" width="14.5546875" style="27" customWidth="1"/>
    <col min="1571" max="1571" width="12.88671875" style="27" customWidth="1"/>
    <col min="1572" max="1572" width="14.6640625" style="27" customWidth="1"/>
    <col min="1573" max="1573" width="10.88671875" style="27" customWidth="1"/>
    <col min="1574" max="1574" width="15.44140625" style="27" customWidth="1"/>
    <col min="1575" max="1575" width="13" style="27" customWidth="1"/>
    <col min="1576" max="1576" width="13.88671875" style="27" customWidth="1"/>
    <col min="1577" max="1577" width="10.109375" style="27" customWidth="1"/>
    <col min="1578" max="1578" width="14.33203125" style="27" customWidth="1"/>
    <col min="1579" max="1579" width="13.6640625" style="27" customWidth="1"/>
    <col min="1580" max="1580" width="12" style="27" customWidth="1"/>
    <col min="1581" max="1581" width="15.44140625" style="27" customWidth="1"/>
    <col min="1582" max="1582" width="12.109375" style="27" customWidth="1"/>
    <col min="1583" max="1583" width="13.5546875" style="27" customWidth="1"/>
    <col min="1584" max="1584" width="14.5546875" style="27" customWidth="1"/>
    <col min="1585" max="1585" width="14.88671875" style="27" customWidth="1"/>
    <col min="1586" max="1586" width="15.88671875" style="27" customWidth="1"/>
    <col min="1587" max="1587" width="17.33203125" style="27" customWidth="1"/>
    <col min="1588" max="1588" width="15.44140625" style="27" customWidth="1"/>
    <col min="1589" max="1589" width="12.33203125" style="27" customWidth="1"/>
    <col min="1590" max="1590" width="15.5546875" style="27" customWidth="1"/>
    <col min="1591" max="1591" width="19" style="27" customWidth="1"/>
    <col min="1592" max="1592" width="16.109375" style="27" customWidth="1"/>
    <col min="1593" max="1593" width="15" style="27" customWidth="1"/>
    <col min="1594" max="1594" width="13.6640625" style="27" customWidth="1"/>
    <col min="1595" max="1596" width="8" style="27" customWidth="1"/>
    <col min="1597" max="1597" width="11.44140625" style="27" customWidth="1"/>
    <col min="1598" max="1598" width="16.6640625" style="27" customWidth="1"/>
    <col min="1599" max="1599" width="8.44140625" style="27" customWidth="1"/>
    <col min="1600" max="1600" width="8" style="27" customWidth="1"/>
    <col min="1601" max="1601" width="10.33203125" style="27" customWidth="1"/>
    <col min="1602" max="1602" width="8.6640625" style="27" customWidth="1"/>
    <col min="1603" max="1603" width="8" style="27" customWidth="1"/>
    <col min="1604" max="1604" width="10.33203125" style="27" bestFit="1" customWidth="1"/>
    <col min="1605" max="1605" width="8.109375" style="27" bestFit="1" customWidth="1"/>
    <col min="1606" max="1606" width="12.109375" style="27" customWidth="1"/>
    <col min="1607" max="1607" width="8.109375" style="27" bestFit="1" customWidth="1"/>
    <col min="1608" max="1608" width="9.44140625" style="27" bestFit="1" customWidth="1"/>
    <col min="1609" max="1609" width="8.109375" style="27" bestFit="1" customWidth="1"/>
    <col min="1610" max="1610" width="9.44140625" style="27" bestFit="1" customWidth="1"/>
    <col min="1611" max="1611" width="8.109375" style="27" bestFit="1" customWidth="1"/>
    <col min="1612" max="1612" width="9.44140625" style="27" bestFit="1" customWidth="1"/>
    <col min="1613" max="1613" width="8.109375" style="27" bestFit="1" customWidth="1"/>
    <col min="1614" max="1614" width="9.44140625" style="27" bestFit="1" customWidth="1"/>
    <col min="1615" max="1615" width="8.109375" style="27" bestFit="1" customWidth="1"/>
    <col min="1616" max="1616" width="9.109375" style="27"/>
    <col min="1617" max="1617" width="8.109375" style="27" bestFit="1" customWidth="1"/>
    <col min="1618" max="1618" width="9.109375" style="27"/>
    <col min="1619" max="1621" width="8.109375" style="27" bestFit="1" customWidth="1"/>
    <col min="1622" max="1622" width="9.44140625" style="27" bestFit="1" customWidth="1"/>
    <col min="1623" max="1623" width="8.109375" style="27" bestFit="1" customWidth="1"/>
    <col min="1624" max="1624" width="10.33203125" style="27" bestFit="1" customWidth="1"/>
    <col min="1625" max="1792" width="9.109375" style="27"/>
    <col min="1793" max="1793" width="9.5546875" style="27" customWidth="1"/>
    <col min="1794" max="1795" width="6.6640625" style="27" customWidth="1"/>
    <col min="1796" max="1796" width="10.33203125" style="27" customWidth="1"/>
    <col min="1797" max="1797" width="8.33203125" style="27" customWidth="1"/>
    <col min="1798" max="1798" width="8" style="27" customWidth="1"/>
    <col min="1799" max="1799" width="18.33203125" style="27" customWidth="1"/>
    <col min="1800" max="1800" width="7" style="27" customWidth="1"/>
    <col min="1801" max="1801" width="9.109375" style="27" customWidth="1"/>
    <col min="1802" max="1802" width="5.5546875" style="27" customWidth="1"/>
    <col min="1803" max="1803" width="9.44140625" style="27" customWidth="1"/>
    <col min="1804" max="1804" width="4.44140625" style="27" customWidth="1"/>
    <col min="1805" max="1805" width="39.88671875" style="27" customWidth="1"/>
    <col min="1806" max="1806" width="10.88671875" style="27" customWidth="1"/>
    <col min="1807" max="1807" width="10.44140625" style="27" customWidth="1"/>
    <col min="1808" max="1808" width="6.33203125" style="27" customWidth="1"/>
    <col min="1809" max="1809" width="14.88671875" style="27" customWidth="1"/>
    <col min="1810" max="1811" width="11.44140625" style="27" customWidth="1"/>
    <col min="1812" max="1814" width="8" style="27" customWidth="1"/>
    <col min="1815" max="1815" width="33.6640625" style="27" customWidth="1"/>
    <col min="1816" max="1816" width="38.5546875" style="27" customWidth="1"/>
    <col min="1817" max="1817" width="15.109375" style="27" customWidth="1"/>
    <col min="1818" max="1818" width="10.88671875" style="27" customWidth="1"/>
    <col min="1819" max="1820" width="6.88671875" style="27" customWidth="1"/>
    <col min="1821" max="1821" width="15.33203125" style="27" customWidth="1"/>
    <col min="1822" max="1822" width="13.6640625" style="27" customWidth="1"/>
    <col min="1823" max="1823" width="13.33203125" style="27" customWidth="1"/>
    <col min="1824" max="1824" width="15.44140625" style="27" customWidth="1"/>
    <col min="1825" max="1825" width="14.6640625" style="27" customWidth="1"/>
    <col min="1826" max="1826" width="14.5546875" style="27" customWidth="1"/>
    <col min="1827" max="1827" width="12.88671875" style="27" customWidth="1"/>
    <col min="1828" max="1828" width="14.6640625" style="27" customWidth="1"/>
    <col min="1829" max="1829" width="10.88671875" style="27" customWidth="1"/>
    <col min="1830" max="1830" width="15.44140625" style="27" customWidth="1"/>
    <col min="1831" max="1831" width="13" style="27" customWidth="1"/>
    <col min="1832" max="1832" width="13.88671875" style="27" customWidth="1"/>
    <col min="1833" max="1833" width="10.109375" style="27" customWidth="1"/>
    <col min="1834" max="1834" width="14.33203125" style="27" customWidth="1"/>
    <col min="1835" max="1835" width="13.6640625" style="27" customWidth="1"/>
    <col min="1836" max="1836" width="12" style="27" customWidth="1"/>
    <col min="1837" max="1837" width="15.44140625" style="27" customWidth="1"/>
    <col min="1838" max="1838" width="12.109375" style="27" customWidth="1"/>
    <col min="1839" max="1839" width="13.5546875" style="27" customWidth="1"/>
    <col min="1840" max="1840" width="14.5546875" style="27" customWidth="1"/>
    <col min="1841" max="1841" width="14.88671875" style="27" customWidth="1"/>
    <col min="1842" max="1842" width="15.88671875" style="27" customWidth="1"/>
    <col min="1843" max="1843" width="17.33203125" style="27" customWidth="1"/>
    <col min="1844" max="1844" width="15.44140625" style="27" customWidth="1"/>
    <col min="1845" max="1845" width="12.33203125" style="27" customWidth="1"/>
    <col min="1846" max="1846" width="15.5546875" style="27" customWidth="1"/>
    <col min="1847" max="1847" width="19" style="27" customWidth="1"/>
    <col min="1848" max="1848" width="16.109375" style="27" customWidth="1"/>
    <col min="1849" max="1849" width="15" style="27" customWidth="1"/>
    <col min="1850" max="1850" width="13.6640625" style="27" customWidth="1"/>
    <col min="1851" max="1852" width="8" style="27" customWidth="1"/>
    <col min="1853" max="1853" width="11.44140625" style="27" customWidth="1"/>
    <col min="1854" max="1854" width="16.6640625" style="27" customWidth="1"/>
    <col min="1855" max="1855" width="8.44140625" style="27" customWidth="1"/>
    <col min="1856" max="1856" width="8" style="27" customWidth="1"/>
    <col min="1857" max="1857" width="10.33203125" style="27" customWidth="1"/>
    <col min="1858" max="1858" width="8.6640625" style="27" customWidth="1"/>
    <col min="1859" max="1859" width="8" style="27" customWidth="1"/>
    <col min="1860" max="1860" width="10.33203125" style="27" bestFit="1" customWidth="1"/>
    <col min="1861" max="1861" width="8.109375" style="27" bestFit="1" customWidth="1"/>
    <col min="1862" max="1862" width="12.109375" style="27" customWidth="1"/>
    <col min="1863" max="1863" width="8.109375" style="27" bestFit="1" customWidth="1"/>
    <col min="1864" max="1864" width="9.44140625" style="27" bestFit="1" customWidth="1"/>
    <col min="1865" max="1865" width="8.109375" style="27" bestFit="1" customWidth="1"/>
    <col min="1866" max="1866" width="9.44140625" style="27" bestFit="1" customWidth="1"/>
    <col min="1867" max="1867" width="8.109375" style="27" bestFit="1" customWidth="1"/>
    <col min="1868" max="1868" width="9.44140625" style="27" bestFit="1" customWidth="1"/>
    <col min="1869" max="1869" width="8.109375" style="27" bestFit="1" customWidth="1"/>
    <col min="1870" max="1870" width="9.44140625" style="27" bestFit="1" customWidth="1"/>
    <col min="1871" max="1871" width="8.109375" style="27" bestFit="1" customWidth="1"/>
    <col min="1872" max="1872" width="9.109375" style="27"/>
    <col min="1873" max="1873" width="8.109375" style="27" bestFit="1" customWidth="1"/>
    <col min="1874" max="1874" width="9.109375" style="27"/>
    <col min="1875" max="1877" width="8.109375" style="27" bestFit="1" customWidth="1"/>
    <col min="1878" max="1878" width="9.44140625" style="27" bestFit="1" customWidth="1"/>
    <col min="1879" max="1879" width="8.109375" style="27" bestFit="1" customWidth="1"/>
    <col min="1880" max="1880" width="10.33203125" style="27" bestFit="1" customWidth="1"/>
    <col min="1881" max="2048" width="9.109375" style="27"/>
    <col min="2049" max="2049" width="9.5546875" style="27" customWidth="1"/>
    <col min="2050" max="2051" width="6.6640625" style="27" customWidth="1"/>
    <col min="2052" max="2052" width="10.33203125" style="27" customWidth="1"/>
    <col min="2053" max="2053" width="8.33203125" style="27" customWidth="1"/>
    <col min="2054" max="2054" width="8" style="27" customWidth="1"/>
    <col min="2055" max="2055" width="18.33203125" style="27" customWidth="1"/>
    <col min="2056" max="2056" width="7" style="27" customWidth="1"/>
    <col min="2057" max="2057" width="9.109375" style="27" customWidth="1"/>
    <col min="2058" max="2058" width="5.5546875" style="27" customWidth="1"/>
    <col min="2059" max="2059" width="9.44140625" style="27" customWidth="1"/>
    <col min="2060" max="2060" width="4.44140625" style="27" customWidth="1"/>
    <col min="2061" max="2061" width="39.88671875" style="27" customWidth="1"/>
    <col min="2062" max="2062" width="10.88671875" style="27" customWidth="1"/>
    <col min="2063" max="2063" width="10.44140625" style="27" customWidth="1"/>
    <col min="2064" max="2064" width="6.33203125" style="27" customWidth="1"/>
    <col min="2065" max="2065" width="14.88671875" style="27" customWidth="1"/>
    <col min="2066" max="2067" width="11.44140625" style="27" customWidth="1"/>
    <col min="2068" max="2070" width="8" style="27" customWidth="1"/>
    <col min="2071" max="2071" width="33.6640625" style="27" customWidth="1"/>
    <col min="2072" max="2072" width="38.5546875" style="27" customWidth="1"/>
    <col min="2073" max="2073" width="15.109375" style="27" customWidth="1"/>
    <col min="2074" max="2074" width="10.88671875" style="27" customWidth="1"/>
    <col min="2075" max="2076" width="6.88671875" style="27" customWidth="1"/>
    <col min="2077" max="2077" width="15.33203125" style="27" customWidth="1"/>
    <col min="2078" max="2078" width="13.6640625" style="27" customWidth="1"/>
    <col min="2079" max="2079" width="13.33203125" style="27" customWidth="1"/>
    <col min="2080" max="2080" width="15.44140625" style="27" customWidth="1"/>
    <col min="2081" max="2081" width="14.6640625" style="27" customWidth="1"/>
    <col min="2082" max="2082" width="14.5546875" style="27" customWidth="1"/>
    <col min="2083" max="2083" width="12.88671875" style="27" customWidth="1"/>
    <col min="2084" max="2084" width="14.6640625" style="27" customWidth="1"/>
    <col min="2085" max="2085" width="10.88671875" style="27" customWidth="1"/>
    <col min="2086" max="2086" width="15.44140625" style="27" customWidth="1"/>
    <col min="2087" max="2087" width="13" style="27" customWidth="1"/>
    <col min="2088" max="2088" width="13.88671875" style="27" customWidth="1"/>
    <col min="2089" max="2089" width="10.109375" style="27" customWidth="1"/>
    <col min="2090" max="2090" width="14.33203125" style="27" customWidth="1"/>
    <col min="2091" max="2091" width="13.6640625" style="27" customWidth="1"/>
    <col min="2092" max="2092" width="12" style="27" customWidth="1"/>
    <col min="2093" max="2093" width="15.44140625" style="27" customWidth="1"/>
    <col min="2094" max="2094" width="12.109375" style="27" customWidth="1"/>
    <col min="2095" max="2095" width="13.5546875" style="27" customWidth="1"/>
    <col min="2096" max="2096" width="14.5546875" style="27" customWidth="1"/>
    <col min="2097" max="2097" width="14.88671875" style="27" customWidth="1"/>
    <col min="2098" max="2098" width="15.88671875" style="27" customWidth="1"/>
    <col min="2099" max="2099" width="17.33203125" style="27" customWidth="1"/>
    <col min="2100" max="2100" width="15.44140625" style="27" customWidth="1"/>
    <col min="2101" max="2101" width="12.33203125" style="27" customWidth="1"/>
    <col min="2102" max="2102" width="15.5546875" style="27" customWidth="1"/>
    <col min="2103" max="2103" width="19" style="27" customWidth="1"/>
    <col min="2104" max="2104" width="16.109375" style="27" customWidth="1"/>
    <col min="2105" max="2105" width="15" style="27" customWidth="1"/>
    <col min="2106" max="2106" width="13.6640625" style="27" customWidth="1"/>
    <col min="2107" max="2108" width="8" style="27" customWidth="1"/>
    <col min="2109" max="2109" width="11.44140625" style="27" customWidth="1"/>
    <col min="2110" max="2110" width="16.6640625" style="27" customWidth="1"/>
    <col min="2111" max="2111" width="8.44140625" style="27" customWidth="1"/>
    <col min="2112" max="2112" width="8" style="27" customWidth="1"/>
    <col min="2113" max="2113" width="10.33203125" style="27" customWidth="1"/>
    <col min="2114" max="2114" width="8.6640625" style="27" customWidth="1"/>
    <col min="2115" max="2115" width="8" style="27" customWidth="1"/>
    <col min="2116" max="2116" width="10.33203125" style="27" bestFit="1" customWidth="1"/>
    <col min="2117" max="2117" width="8.109375" style="27" bestFit="1" customWidth="1"/>
    <col min="2118" max="2118" width="12.109375" style="27" customWidth="1"/>
    <col min="2119" max="2119" width="8.109375" style="27" bestFit="1" customWidth="1"/>
    <col min="2120" max="2120" width="9.44140625" style="27" bestFit="1" customWidth="1"/>
    <col min="2121" max="2121" width="8.109375" style="27" bestFit="1" customWidth="1"/>
    <col min="2122" max="2122" width="9.44140625" style="27" bestFit="1" customWidth="1"/>
    <col min="2123" max="2123" width="8.109375" style="27" bestFit="1" customWidth="1"/>
    <col min="2124" max="2124" width="9.44140625" style="27" bestFit="1" customWidth="1"/>
    <col min="2125" max="2125" width="8.109375" style="27" bestFit="1" customWidth="1"/>
    <col min="2126" max="2126" width="9.44140625" style="27" bestFit="1" customWidth="1"/>
    <col min="2127" max="2127" width="8.109375" style="27" bestFit="1" customWidth="1"/>
    <col min="2128" max="2128" width="9.109375" style="27"/>
    <col min="2129" max="2129" width="8.109375" style="27" bestFit="1" customWidth="1"/>
    <col min="2130" max="2130" width="9.109375" style="27"/>
    <col min="2131" max="2133" width="8.109375" style="27" bestFit="1" customWidth="1"/>
    <col min="2134" max="2134" width="9.44140625" style="27" bestFit="1" customWidth="1"/>
    <col min="2135" max="2135" width="8.109375" style="27" bestFit="1" customWidth="1"/>
    <col min="2136" max="2136" width="10.33203125" style="27" bestFit="1" customWidth="1"/>
    <col min="2137" max="2304" width="9.109375" style="27"/>
    <col min="2305" max="2305" width="9.5546875" style="27" customWidth="1"/>
    <col min="2306" max="2307" width="6.6640625" style="27" customWidth="1"/>
    <col min="2308" max="2308" width="10.33203125" style="27" customWidth="1"/>
    <col min="2309" max="2309" width="8.33203125" style="27" customWidth="1"/>
    <col min="2310" max="2310" width="8" style="27" customWidth="1"/>
    <col min="2311" max="2311" width="18.33203125" style="27" customWidth="1"/>
    <col min="2312" max="2312" width="7" style="27" customWidth="1"/>
    <col min="2313" max="2313" width="9.109375" style="27" customWidth="1"/>
    <col min="2314" max="2314" width="5.5546875" style="27" customWidth="1"/>
    <col min="2315" max="2315" width="9.44140625" style="27" customWidth="1"/>
    <col min="2316" max="2316" width="4.44140625" style="27" customWidth="1"/>
    <col min="2317" max="2317" width="39.88671875" style="27" customWidth="1"/>
    <col min="2318" max="2318" width="10.88671875" style="27" customWidth="1"/>
    <col min="2319" max="2319" width="10.44140625" style="27" customWidth="1"/>
    <col min="2320" max="2320" width="6.33203125" style="27" customWidth="1"/>
    <col min="2321" max="2321" width="14.88671875" style="27" customWidth="1"/>
    <col min="2322" max="2323" width="11.44140625" style="27" customWidth="1"/>
    <col min="2324" max="2326" width="8" style="27" customWidth="1"/>
    <col min="2327" max="2327" width="33.6640625" style="27" customWidth="1"/>
    <col min="2328" max="2328" width="38.5546875" style="27" customWidth="1"/>
    <col min="2329" max="2329" width="15.109375" style="27" customWidth="1"/>
    <col min="2330" max="2330" width="10.88671875" style="27" customWidth="1"/>
    <col min="2331" max="2332" width="6.88671875" style="27" customWidth="1"/>
    <col min="2333" max="2333" width="15.33203125" style="27" customWidth="1"/>
    <col min="2334" max="2334" width="13.6640625" style="27" customWidth="1"/>
    <col min="2335" max="2335" width="13.33203125" style="27" customWidth="1"/>
    <col min="2336" max="2336" width="15.44140625" style="27" customWidth="1"/>
    <col min="2337" max="2337" width="14.6640625" style="27" customWidth="1"/>
    <col min="2338" max="2338" width="14.5546875" style="27" customWidth="1"/>
    <col min="2339" max="2339" width="12.88671875" style="27" customWidth="1"/>
    <col min="2340" max="2340" width="14.6640625" style="27" customWidth="1"/>
    <col min="2341" max="2341" width="10.88671875" style="27" customWidth="1"/>
    <col min="2342" max="2342" width="15.44140625" style="27" customWidth="1"/>
    <col min="2343" max="2343" width="13" style="27" customWidth="1"/>
    <col min="2344" max="2344" width="13.88671875" style="27" customWidth="1"/>
    <col min="2345" max="2345" width="10.109375" style="27" customWidth="1"/>
    <col min="2346" max="2346" width="14.33203125" style="27" customWidth="1"/>
    <col min="2347" max="2347" width="13.6640625" style="27" customWidth="1"/>
    <col min="2348" max="2348" width="12" style="27" customWidth="1"/>
    <col min="2349" max="2349" width="15.44140625" style="27" customWidth="1"/>
    <col min="2350" max="2350" width="12.109375" style="27" customWidth="1"/>
    <col min="2351" max="2351" width="13.5546875" style="27" customWidth="1"/>
    <col min="2352" max="2352" width="14.5546875" style="27" customWidth="1"/>
    <col min="2353" max="2353" width="14.88671875" style="27" customWidth="1"/>
    <col min="2354" max="2354" width="15.88671875" style="27" customWidth="1"/>
    <col min="2355" max="2355" width="17.33203125" style="27" customWidth="1"/>
    <col min="2356" max="2356" width="15.44140625" style="27" customWidth="1"/>
    <col min="2357" max="2357" width="12.33203125" style="27" customWidth="1"/>
    <col min="2358" max="2358" width="15.5546875" style="27" customWidth="1"/>
    <col min="2359" max="2359" width="19" style="27" customWidth="1"/>
    <col min="2360" max="2360" width="16.109375" style="27" customWidth="1"/>
    <col min="2361" max="2361" width="15" style="27" customWidth="1"/>
    <col min="2362" max="2362" width="13.6640625" style="27" customWidth="1"/>
    <col min="2363" max="2364" width="8" style="27" customWidth="1"/>
    <col min="2365" max="2365" width="11.44140625" style="27" customWidth="1"/>
    <col min="2366" max="2366" width="16.6640625" style="27" customWidth="1"/>
    <col min="2367" max="2367" width="8.44140625" style="27" customWidth="1"/>
    <col min="2368" max="2368" width="8" style="27" customWidth="1"/>
    <col min="2369" max="2369" width="10.33203125" style="27" customWidth="1"/>
    <col min="2370" max="2370" width="8.6640625" style="27" customWidth="1"/>
    <col min="2371" max="2371" width="8" style="27" customWidth="1"/>
    <col min="2372" max="2372" width="10.33203125" style="27" bestFit="1" customWidth="1"/>
    <col min="2373" max="2373" width="8.109375" style="27" bestFit="1" customWidth="1"/>
    <col min="2374" max="2374" width="12.109375" style="27" customWidth="1"/>
    <col min="2375" max="2375" width="8.109375" style="27" bestFit="1" customWidth="1"/>
    <col min="2376" max="2376" width="9.44140625" style="27" bestFit="1" customWidth="1"/>
    <col min="2377" max="2377" width="8.109375" style="27" bestFit="1" customWidth="1"/>
    <col min="2378" max="2378" width="9.44140625" style="27" bestFit="1" customWidth="1"/>
    <col min="2379" max="2379" width="8.109375" style="27" bestFit="1" customWidth="1"/>
    <col min="2380" max="2380" width="9.44140625" style="27" bestFit="1" customWidth="1"/>
    <col min="2381" max="2381" width="8.109375" style="27" bestFit="1" customWidth="1"/>
    <col min="2382" max="2382" width="9.44140625" style="27" bestFit="1" customWidth="1"/>
    <col min="2383" max="2383" width="8.109375" style="27" bestFit="1" customWidth="1"/>
    <col min="2384" max="2384" width="9.109375" style="27"/>
    <col min="2385" max="2385" width="8.109375" style="27" bestFit="1" customWidth="1"/>
    <col min="2386" max="2386" width="9.109375" style="27"/>
    <col min="2387" max="2389" width="8.109375" style="27" bestFit="1" customWidth="1"/>
    <col min="2390" max="2390" width="9.44140625" style="27" bestFit="1" customWidth="1"/>
    <col min="2391" max="2391" width="8.109375" style="27" bestFit="1" customWidth="1"/>
    <col min="2392" max="2392" width="10.33203125" style="27" bestFit="1" customWidth="1"/>
    <col min="2393" max="2560" width="9.109375" style="27"/>
    <col min="2561" max="2561" width="9.5546875" style="27" customWidth="1"/>
    <col min="2562" max="2563" width="6.6640625" style="27" customWidth="1"/>
    <col min="2564" max="2564" width="10.33203125" style="27" customWidth="1"/>
    <col min="2565" max="2565" width="8.33203125" style="27" customWidth="1"/>
    <col min="2566" max="2566" width="8" style="27" customWidth="1"/>
    <col min="2567" max="2567" width="18.33203125" style="27" customWidth="1"/>
    <col min="2568" max="2568" width="7" style="27" customWidth="1"/>
    <col min="2569" max="2569" width="9.109375" style="27" customWidth="1"/>
    <col min="2570" max="2570" width="5.5546875" style="27" customWidth="1"/>
    <col min="2571" max="2571" width="9.44140625" style="27" customWidth="1"/>
    <col min="2572" max="2572" width="4.44140625" style="27" customWidth="1"/>
    <col min="2573" max="2573" width="39.88671875" style="27" customWidth="1"/>
    <col min="2574" max="2574" width="10.88671875" style="27" customWidth="1"/>
    <col min="2575" max="2575" width="10.44140625" style="27" customWidth="1"/>
    <col min="2576" max="2576" width="6.33203125" style="27" customWidth="1"/>
    <col min="2577" max="2577" width="14.88671875" style="27" customWidth="1"/>
    <col min="2578" max="2579" width="11.44140625" style="27" customWidth="1"/>
    <col min="2580" max="2582" width="8" style="27" customWidth="1"/>
    <col min="2583" max="2583" width="33.6640625" style="27" customWidth="1"/>
    <col min="2584" max="2584" width="38.5546875" style="27" customWidth="1"/>
    <col min="2585" max="2585" width="15.109375" style="27" customWidth="1"/>
    <col min="2586" max="2586" width="10.88671875" style="27" customWidth="1"/>
    <col min="2587" max="2588" width="6.88671875" style="27" customWidth="1"/>
    <col min="2589" max="2589" width="15.33203125" style="27" customWidth="1"/>
    <col min="2590" max="2590" width="13.6640625" style="27" customWidth="1"/>
    <col min="2591" max="2591" width="13.33203125" style="27" customWidth="1"/>
    <col min="2592" max="2592" width="15.44140625" style="27" customWidth="1"/>
    <col min="2593" max="2593" width="14.6640625" style="27" customWidth="1"/>
    <col min="2594" max="2594" width="14.5546875" style="27" customWidth="1"/>
    <col min="2595" max="2595" width="12.88671875" style="27" customWidth="1"/>
    <col min="2596" max="2596" width="14.6640625" style="27" customWidth="1"/>
    <col min="2597" max="2597" width="10.88671875" style="27" customWidth="1"/>
    <col min="2598" max="2598" width="15.44140625" style="27" customWidth="1"/>
    <col min="2599" max="2599" width="13" style="27" customWidth="1"/>
    <col min="2600" max="2600" width="13.88671875" style="27" customWidth="1"/>
    <col min="2601" max="2601" width="10.109375" style="27" customWidth="1"/>
    <col min="2602" max="2602" width="14.33203125" style="27" customWidth="1"/>
    <col min="2603" max="2603" width="13.6640625" style="27" customWidth="1"/>
    <col min="2604" max="2604" width="12" style="27" customWidth="1"/>
    <col min="2605" max="2605" width="15.44140625" style="27" customWidth="1"/>
    <col min="2606" max="2606" width="12.109375" style="27" customWidth="1"/>
    <col min="2607" max="2607" width="13.5546875" style="27" customWidth="1"/>
    <col min="2608" max="2608" width="14.5546875" style="27" customWidth="1"/>
    <col min="2609" max="2609" width="14.88671875" style="27" customWidth="1"/>
    <col min="2610" max="2610" width="15.88671875" style="27" customWidth="1"/>
    <col min="2611" max="2611" width="17.33203125" style="27" customWidth="1"/>
    <col min="2612" max="2612" width="15.44140625" style="27" customWidth="1"/>
    <col min="2613" max="2613" width="12.33203125" style="27" customWidth="1"/>
    <col min="2614" max="2614" width="15.5546875" style="27" customWidth="1"/>
    <col min="2615" max="2615" width="19" style="27" customWidth="1"/>
    <col min="2616" max="2616" width="16.109375" style="27" customWidth="1"/>
    <col min="2617" max="2617" width="15" style="27" customWidth="1"/>
    <col min="2618" max="2618" width="13.6640625" style="27" customWidth="1"/>
    <col min="2619" max="2620" width="8" style="27" customWidth="1"/>
    <col min="2621" max="2621" width="11.44140625" style="27" customWidth="1"/>
    <col min="2622" max="2622" width="16.6640625" style="27" customWidth="1"/>
    <col min="2623" max="2623" width="8.44140625" style="27" customWidth="1"/>
    <col min="2624" max="2624" width="8" style="27" customWidth="1"/>
    <col min="2625" max="2625" width="10.33203125" style="27" customWidth="1"/>
    <col min="2626" max="2626" width="8.6640625" style="27" customWidth="1"/>
    <col min="2627" max="2627" width="8" style="27" customWidth="1"/>
    <col min="2628" max="2628" width="10.33203125" style="27" bestFit="1" customWidth="1"/>
    <col min="2629" max="2629" width="8.109375" style="27" bestFit="1" customWidth="1"/>
    <col min="2630" max="2630" width="12.109375" style="27" customWidth="1"/>
    <col min="2631" max="2631" width="8.109375" style="27" bestFit="1" customWidth="1"/>
    <col min="2632" max="2632" width="9.44140625" style="27" bestFit="1" customWidth="1"/>
    <col min="2633" max="2633" width="8.109375" style="27" bestFit="1" customWidth="1"/>
    <col min="2634" max="2634" width="9.44140625" style="27" bestFit="1" customWidth="1"/>
    <col min="2635" max="2635" width="8.109375" style="27" bestFit="1" customWidth="1"/>
    <col min="2636" max="2636" width="9.44140625" style="27" bestFit="1" customWidth="1"/>
    <col min="2637" max="2637" width="8.109375" style="27" bestFit="1" customWidth="1"/>
    <col min="2638" max="2638" width="9.44140625" style="27" bestFit="1" customWidth="1"/>
    <col min="2639" max="2639" width="8.109375" style="27" bestFit="1" customWidth="1"/>
    <col min="2640" max="2640" width="9.109375" style="27"/>
    <col min="2641" max="2641" width="8.109375" style="27" bestFit="1" customWidth="1"/>
    <col min="2642" max="2642" width="9.109375" style="27"/>
    <col min="2643" max="2645" width="8.109375" style="27" bestFit="1" customWidth="1"/>
    <col min="2646" max="2646" width="9.44140625" style="27" bestFit="1" customWidth="1"/>
    <col min="2647" max="2647" width="8.109375" style="27" bestFit="1" customWidth="1"/>
    <col min="2648" max="2648" width="10.33203125" style="27" bestFit="1" customWidth="1"/>
    <col min="2649" max="2816" width="9.109375" style="27"/>
    <col min="2817" max="2817" width="9.5546875" style="27" customWidth="1"/>
    <col min="2818" max="2819" width="6.6640625" style="27" customWidth="1"/>
    <col min="2820" max="2820" width="10.33203125" style="27" customWidth="1"/>
    <col min="2821" max="2821" width="8.33203125" style="27" customWidth="1"/>
    <col min="2822" max="2822" width="8" style="27" customWidth="1"/>
    <col min="2823" max="2823" width="18.33203125" style="27" customWidth="1"/>
    <col min="2824" max="2824" width="7" style="27" customWidth="1"/>
    <col min="2825" max="2825" width="9.109375" style="27" customWidth="1"/>
    <col min="2826" max="2826" width="5.5546875" style="27" customWidth="1"/>
    <col min="2827" max="2827" width="9.44140625" style="27" customWidth="1"/>
    <col min="2828" max="2828" width="4.44140625" style="27" customWidth="1"/>
    <col min="2829" max="2829" width="39.88671875" style="27" customWidth="1"/>
    <col min="2830" max="2830" width="10.88671875" style="27" customWidth="1"/>
    <col min="2831" max="2831" width="10.44140625" style="27" customWidth="1"/>
    <col min="2832" max="2832" width="6.33203125" style="27" customWidth="1"/>
    <col min="2833" max="2833" width="14.88671875" style="27" customWidth="1"/>
    <col min="2834" max="2835" width="11.44140625" style="27" customWidth="1"/>
    <col min="2836" max="2838" width="8" style="27" customWidth="1"/>
    <col min="2839" max="2839" width="33.6640625" style="27" customWidth="1"/>
    <col min="2840" max="2840" width="38.5546875" style="27" customWidth="1"/>
    <col min="2841" max="2841" width="15.109375" style="27" customWidth="1"/>
    <col min="2842" max="2842" width="10.88671875" style="27" customWidth="1"/>
    <col min="2843" max="2844" width="6.88671875" style="27" customWidth="1"/>
    <col min="2845" max="2845" width="15.33203125" style="27" customWidth="1"/>
    <col min="2846" max="2846" width="13.6640625" style="27" customWidth="1"/>
    <col min="2847" max="2847" width="13.33203125" style="27" customWidth="1"/>
    <col min="2848" max="2848" width="15.44140625" style="27" customWidth="1"/>
    <col min="2849" max="2849" width="14.6640625" style="27" customWidth="1"/>
    <col min="2850" max="2850" width="14.5546875" style="27" customWidth="1"/>
    <col min="2851" max="2851" width="12.88671875" style="27" customWidth="1"/>
    <col min="2852" max="2852" width="14.6640625" style="27" customWidth="1"/>
    <col min="2853" max="2853" width="10.88671875" style="27" customWidth="1"/>
    <col min="2854" max="2854" width="15.44140625" style="27" customWidth="1"/>
    <col min="2855" max="2855" width="13" style="27" customWidth="1"/>
    <col min="2856" max="2856" width="13.88671875" style="27" customWidth="1"/>
    <col min="2857" max="2857" width="10.109375" style="27" customWidth="1"/>
    <col min="2858" max="2858" width="14.33203125" style="27" customWidth="1"/>
    <col min="2859" max="2859" width="13.6640625" style="27" customWidth="1"/>
    <col min="2860" max="2860" width="12" style="27" customWidth="1"/>
    <col min="2861" max="2861" width="15.44140625" style="27" customWidth="1"/>
    <col min="2862" max="2862" width="12.109375" style="27" customWidth="1"/>
    <col min="2863" max="2863" width="13.5546875" style="27" customWidth="1"/>
    <col min="2864" max="2864" width="14.5546875" style="27" customWidth="1"/>
    <col min="2865" max="2865" width="14.88671875" style="27" customWidth="1"/>
    <col min="2866" max="2866" width="15.88671875" style="27" customWidth="1"/>
    <col min="2867" max="2867" width="17.33203125" style="27" customWidth="1"/>
    <col min="2868" max="2868" width="15.44140625" style="27" customWidth="1"/>
    <col min="2869" max="2869" width="12.33203125" style="27" customWidth="1"/>
    <col min="2870" max="2870" width="15.5546875" style="27" customWidth="1"/>
    <col min="2871" max="2871" width="19" style="27" customWidth="1"/>
    <col min="2872" max="2872" width="16.109375" style="27" customWidth="1"/>
    <col min="2873" max="2873" width="15" style="27" customWidth="1"/>
    <col min="2874" max="2874" width="13.6640625" style="27" customWidth="1"/>
    <col min="2875" max="2876" width="8" style="27" customWidth="1"/>
    <col min="2877" max="2877" width="11.44140625" style="27" customWidth="1"/>
    <col min="2878" max="2878" width="16.6640625" style="27" customWidth="1"/>
    <col min="2879" max="2879" width="8.44140625" style="27" customWidth="1"/>
    <col min="2880" max="2880" width="8" style="27" customWidth="1"/>
    <col min="2881" max="2881" width="10.33203125" style="27" customWidth="1"/>
    <col min="2882" max="2882" width="8.6640625" style="27" customWidth="1"/>
    <col min="2883" max="2883" width="8" style="27" customWidth="1"/>
    <col min="2884" max="2884" width="10.33203125" style="27" bestFit="1" customWidth="1"/>
    <col min="2885" max="2885" width="8.109375" style="27" bestFit="1" customWidth="1"/>
    <col min="2886" max="2886" width="12.109375" style="27" customWidth="1"/>
    <col min="2887" max="2887" width="8.109375" style="27" bestFit="1" customWidth="1"/>
    <col min="2888" max="2888" width="9.44140625" style="27" bestFit="1" customWidth="1"/>
    <col min="2889" max="2889" width="8.109375" style="27" bestFit="1" customWidth="1"/>
    <col min="2890" max="2890" width="9.44140625" style="27" bestFit="1" customWidth="1"/>
    <col min="2891" max="2891" width="8.109375" style="27" bestFit="1" customWidth="1"/>
    <col min="2892" max="2892" width="9.44140625" style="27" bestFit="1" customWidth="1"/>
    <col min="2893" max="2893" width="8.109375" style="27" bestFit="1" customWidth="1"/>
    <col min="2894" max="2894" width="9.44140625" style="27" bestFit="1" customWidth="1"/>
    <col min="2895" max="2895" width="8.109375" style="27" bestFit="1" customWidth="1"/>
    <col min="2896" max="2896" width="9.109375" style="27"/>
    <col min="2897" max="2897" width="8.109375" style="27" bestFit="1" customWidth="1"/>
    <col min="2898" max="2898" width="9.109375" style="27"/>
    <col min="2899" max="2901" width="8.109375" style="27" bestFit="1" customWidth="1"/>
    <col min="2902" max="2902" width="9.44140625" style="27" bestFit="1" customWidth="1"/>
    <col min="2903" max="2903" width="8.109375" style="27" bestFit="1" customWidth="1"/>
    <col min="2904" max="2904" width="10.33203125" style="27" bestFit="1" customWidth="1"/>
    <col min="2905" max="3072" width="9.109375" style="27"/>
    <col min="3073" max="3073" width="9.5546875" style="27" customWidth="1"/>
    <col min="3074" max="3075" width="6.6640625" style="27" customWidth="1"/>
    <col min="3076" max="3076" width="10.33203125" style="27" customWidth="1"/>
    <col min="3077" max="3077" width="8.33203125" style="27" customWidth="1"/>
    <col min="3078" max="3078" width="8" style="27" customWidth="1"/>
    <col min="3079" max="3079" width="18.33203125" style="27" customWidth="1"/>
    <col min="3080" max="3080" width="7" style="27" customWidth="1"/>
    <col min="3081" max="3081" width="9.109375" style="27" customWidth="1"/>
    <col min="3082" max="3082" width="5.5546875" style="27" customWidth="1"/>
    <col min="3083" max="3083" width="9.44140625" style="27" customWidth="1"/>
    <col min="3084" max="3084" width="4.44140625" style="27" customWidth="1"/>
    <col min="3085" max="3085" width="39.88671875" style="27" customWidth="1"/>
    <col min="3086" max="3086" width="10.88671875" style="27" customWidth="1"/>
    <col min="3087" max="3087" width="10.44140625" style="27" customWidth="1"/>
    <col min="3088" max="3088" width="6.33203125" style="27" customWidth="1"/>
    <col min="3089" max="3089" width="14.88671875" style="27" customWidth="1"/>
    <col min="3090" max="3091" width="11.44140625" style="27" customWidth="1"/>
    <col min="3092" max="3094" width="8" style="27" customWidth="1"/>
    <col min="3095" max="3095" width="33.6640625" style="27" customWidth="1"/>
    <col min="3096" max="3096" width="38.5546875" style="27" customWidth="1"/>
    <col min="3097" max="3097" width="15.109375" style="27" customWidth="1"/>
    <col min="3098" max="3098" width="10.88671875" style="27" customWidth="1"/>
    <col min="3099" max="3100" width="6.88671875" style="27" customWidth="1"/>
    <col min="3101" max="3101" width="15.33203125" style="27" customWidth="1"/>
    <col min="3102" max="3102" width="13.6640625" style="27" customWidth="1"/>
    <col min="3103" max="3103" width="13.33203125" style="27" customWidth="1"/>
    <col min="3104" max="3104" width="15.44140625" style="27" customWidth="1"/>
    <col min="3105" max="3105" width="14.6640625" style="27" customWidth="1"/>
    <col min="3106" max="3106" width="14.5546875" style="27" customWidth="1"/>
    <col min="3107" max="3107" width="12.88671875" style="27" customWidth="1"/>
    <col min="3108" max="3108" width="14.6640625" style="27" customWidth="1"/>
    <col min="3109" max="3109" width="10.88671875" style="27" customWidth="1"/>
    <col min="3110" max="3110" width="15.44140625" style="27" customWidth="1"/>
    <col min="3111" max="3111" width="13" style="27" customWidth="1"/>
    <col min="3112" max="3112" width="13.88671875" style="27" customWidth="1"/>
    <col min="3113" max="3113" width="10.109375" style="27" customWidth="1"/>
    <col min="3114" max="3114" width="14.33203125" style="27" customWidth="1"/>
    <col min="3115" max="3115" width="13.6640625" style="27" customWidth="1"/>
    <col min="3116" max="3116" width="12" style="27" customWidth="1"/>
    <col min="3117" max="3117" width="15.44140625" style="27" customWidth="1"/>
    <col min="3118" max="3118" width="12.109375" style="27" customWidth="1"/>
    <col min="3119" max="3119" width="13.5546875" style="27" customWidth="1"/>
    <col min="3120" max="3120" width="14.5546875" style="27" customWidth="1"/>
    <col min="3121" max="3121" width="14.88671875" style="27" customWidth="1"/>
    <col min="3122" max="3122" width="15.88671875" style="27" customWidth="1"/>
    <col min="3123" max="3123" width="17.33203125" style="27" customWidth="1"/>
    <col min="3124" max="3124" width="15.44140625" style="27" customWidth="1"/>
    <col min="3125" max="3125" width="12.33203125" style="27" customWidth="1"/>
    <col min="3126" max="3126" width="15.5546875" style="27" customWidth="1"/>
    <col min="3127" max="3127" width="19" style="27" customWidth="1"/>
    <col min="3128" max="3128" width="16.109375" style="27" customWidth="1"/>
    <col min="3129" max="3129" width="15" style="27" customWidth="1"/>
    <col min="3130" max="3130" width="13.6640625" style="27" customWidth="1"/>
    <col min="3131" max="3132" width="8" style="27" customWidth="1"/>
    <col min="3133" max="3133" width="11.44140625" style="27" customWidth="1"/>
    <col min="3134" max="3134" width="16.6640625" style="27" customWidth="1"/>
    <col min="3135" max="3135" width="8.44140625" style="27" customWidth="1"/>
    <col min="3136" max="3136" width="8" style="27" customWidth="1"/>
    <col min="3137" max="3137" width="10.33203125" style="27" customWidth="1"/>
    <col min="3138" max="3138" width="8.6640625" style="27" customWidth="1"/>
    <col min="3139" max="3139" width="8" style="27" customWidth="1"/>
    <col min="3140" max="3140" width="10.33203125" style="27" bestFit="1" customWidth="1"/>
    <col min="3141" max="3141" width="8.109375" style="27" bestFit="1" customWidth="1"/>
    <col min="3142" max="3142" width="12.109375" style="27" customWidth="1"/>
    <col min="3143" max="3143" width="8.109375" style="27" bestFit="1" customWidth="1"/>
    <col min="3144" max="3144" width="9.44140625" style="27" bestFit="1" customWidth="1"/>
    <col min="3145" max="3145" width="8.109375" style="27" bestFit="1" customWidth="1"/>
    <col min="3146" max="3146" width="9.44140625" style="27" bestFit="1" customWidth="1"/>
    <col min="3147" max="3147" width="8.109375" style="27" bestFit="1" customWidth="1"/>
    <col min="3148" max="3148" width="9.44140625" style="27" bestFit="1" customWidth="1"/>
    <col min="3149" max="3149" width="8.109375" style="27" bestFit="1" customWidth="1"/>
    <col min="3150" max="3150" width="9.44140625" style="27" bestFit="1" customWidth="1"/>
    <col min="3151" max="3151" width="8.109375" style="27" bestFit="1" customWidth="1"/>
    <col min="3152" max="3152" width="9.109375" style="27"/>
    <col min="3153" max="3153" width="8.109375" style="27" bestFit="1" customWidth="1"/>
    <col min="3154" max="3154" width="9.109375" style="27"/>
    <col min="3155" max="3157" width="8.109375" style="27" bestFit="1" customWidth="1"/>
    <col min="3158" max="3158" width="9.44140625" style="27" bestFit="1" customWidth="1"/>
    <col min="3159" max="3159" width="8.109375" style="27" bestFit="1" customWidth="1"/>
    <col min="3160" max="3160" width="10.33203125" style="27" bestFit="1" customWidth="1"/>
    <col min="3161" max="3328" width="9.109375" style="27"/>
    <col min="3329" max="3329" width="9.5546875" style="27" customWidth="1"/>
    <col min="3330" max="3331" width="6.6640625" style="27" customWidth="1"/>
    <col min="3332" max="3332" width="10.33203125" style="27" customWidth="1"/>
    <col min="3333" max="3333" width="8.33203125" style="27" customWidth="1"/>
    <col min="3334" max="3334" width="8" style="27" customWidth="1"/>
    <col min="3335" max="3335" width="18.33203125" style="27" customWidth="1"/>
    <col min="3336" max="3336" width="7" style="27" customWidth="1"/>
    <col min="3337" max="3337" width="9.109375" style="27" customWidth="1"/>
    <col min="3338" max="3338" width="5.5546875" style="27" customWidth="1"/>
    <col min="3339" max="3339" width="9.44140625" style="27" customWidth="1"/>
    <col min="3340" max="3340" width="4.44140625" style="27" customWidth="1"/>
    <col min="3341" max="3341" width="39.88671875" style="27" customWidth="1"/>
    <col min="3342" max="3342" width="10.88671875" style="27" customWidth="1"/>
    <col min="3343" max="3343" width="10.44140625" style="27" customWidth="1"/>
    <col min="3344" max="3344" width="6.33203125" style="27" customWidth="1"/>
    <col min="3345" max="3345" width="14.88671875" style="27" customWidth="1"/>
    <col min="3346" max="3347" width="11.44140625" style="27" customWidth="1"/>
    <col min="3348" max="3350" width="8" style="27" customWidth="1"/>
    <col min="3351" max="3351" width="33.6640625" style="27" customWidth="1"/>
    <col min="3352" max="3352" width="38.5546875" style="27" customWidth="1"/>
    <col min="3353" max="3353" width="15.109375" style="27" customWidth="1"/>
    <col min="3354" max="3354" width="10.88671875" style="27" customWidth="1"/>
    <col min="3355" max="3356" width="6.88671875" style="27" customWidth="1"/>
    <col min="3357" max="3357" width="15.33203125" style="27" customWidth="1"/>
    <col min="3358" max="3358" width="13.6640625" style="27" customWidth="1"/>
    <col min="3359" max="3359" width="13.33203125" style="27" customWidth="1"/>
    <col min="3360" max="3360" width="15.44140625" style="27" customWidth="1"/>
    <col min="3361" max="3361" width="14.6640625" style="27" customWidth="1"/>
    <col min="3362" max="3362" width="14.5546875" style="27" customWidth="1"/>
    <col min="3363" max="3363" width="12.88671875" style="27" customWidth="1"/>
    <col min="3364" max="3364" width="14.6640625" style="27" customWidth="1"/>
    <col min="3365" max="3365" width="10.88671875" style="27" customWidth="1"/>
    <col min="3366" max="3366" width="15.44140625" style="27" customWidth="1"/>
    <col min="3367" max="3367" width="13" style="27" customWidth="1"/>
    <col min="3368" max="3368" width="13.88671875" style="27" customWidth="1"/>
    <col min="3369" max="3369" width="10.109375" style="27" customWidth="1"/>
    <col min="3370" max="3370" width="14.33203125" style="27" customWidth="1"/>
    <col min="3371" max="3371" width="13.6640625" style="27" customWidth="1"/>
    <col min="3372" max="3372" width="12" style="27" customWidth="1"/>
    <col min="3373" max="3373" width="15.44140625" style="27" customWidth="1"/>
    <col min="3374" max="3374" width="12.109375" style="27" customWidth="1"/>
    <col min="3375" max="3375" width="13.5546875" style="27" customWidth="1"/>
    <col min="3376" max="3376" width="14.5546875" style="27" customWidth="1"/>
    <col min="3377" max="3377" width="14.88671875" style="27" customWidth="1"/>
    <col min="3378" max="3378" width="15.88671875" style="27" customWidth="1"/>
    <col min="3379" max="3379" width="17.33203125" style="27" customWidth="1"/>
    <col min="3380" max="3380" width="15.44140625" style="27" customWidth="1"/>
    <col min="3381" max="3381" width="12.33203125" style="27" customWidth="1"/>
    <col min="3382" max="3382" width="15.5546875" style="27" customWidth="1"/>
    <col min="3383" max="3383" width="19" style="27" customWidth="1"/>
    <col min="3384" max="3384" width="16.109375" style="27" customWidth="1"/>
    <col min="3385" max="3385" width="15" style="27" customWidth="1"/>
    <col min="3386" max="3386" width="13.6640625" style="27" customWidth="1"/>
    <col min="3387" max="3388" width="8" style="27" customWidth="1"/>
    <col min="3389" max="3389" width="11.44140625" style="27" customWidth="1"/>
    <col min="3390" max="3390" width="16.6640625" style="27" customWidth="1"/>
    <col min="3391" max="3391" width="8.44140625" style="27" customWidth="1"/>
    <col min="3392" max="3392" width="8" style="27" customWidth="1"/>
    <col min="3393" max="3393" width="10.33203125" style="27" customWidth="1"/>
    <col min="3394" max="3394" width="8.6640625" style="27" customWidth="1"/>
    <col min="3395" max="3395" width="8" style="27" customWidth="1"/>
    <col min="3396" max="3396" width="10.33203125" style="27" bestFit="1" customWidth="1"/>
    <col min="3397" max="3397" width="8.109375" style="27" bestFit="1" customWidth="1"/>
    <col min="3398" max="3398" width="12.109375" style="27" customWidth="1"/>
    <col min="3399" max="3399" width="8.109375" style="27" bestFit="1" customWidth="1"/>
    <col min="3400" max="3400" width="9.44140625" style="27" bestFit="1" customWidth="1"/>
    <col min="3401" max="3401" width="8.109375" style="27" bestFit="1" customWidth="1"/>
    <col min="3402" max="3402" width="9.44140625" style="27" bestFit="1" customWidth="1"/>
    <col min="3403" max="3403" width="8.109375" style="27" bestFit="1" customWidth="1"/>
    <col min="3404" max="3404" width="9.44140625" style="27" bestFit="1" customWidth="1"/>
    <col min="3405" max="3405" width="8.109375" style="27" bestFit="1" customWidth="1"/>
    <col min="3406" max="3406" width="9.44140625" style="27" bestFit="1" customWidth="1"/>
    <col min="3407" max="3407" width="8.109375" style="27" bestFit="1" customWidth="1"/>
    <col min="3408" max="3408" width="9.109375" style="27"/>
    <col min="3409" max="3409" width="8.109375" style="27" bestFit="1" customWidth="1"/>
    <col min="3410" max="3410" width="9.109375" style="27"/>
    <col min="3411" max="3413" width="8.109375" style="27" bestFit="1" customWidth="1"/>
    <col min="3414" max="3414" width="9.44140625" style="27" bestFit="1" customWidth="1"/>
    <col min="3415" max="3415" width="8.109375" style="27" bestFit="1" customWidth="1"/>
    <col min="3416" max="3416" width="10.33203125" style="27" bestFit="1" customWidth="1"/>
    <col min="3417" max="3584" width="9.109375" style="27"/>
    <col min="3585" max="3585" width="9.5546875" style="27" customWidth="1"/>
    <col min="3586" max="3587" width="6.6640625" style="27" customWidth="1"/>
    <col min="3588" max="3588" width="10.33203125" style="27" customWidth="1"/>
    <col min="3589" max="3589" width="8.33203125" style="27" customWidth="1"/>
    <col min="3590" max="3590" width="8" style="27" customWidth="1"/>
    <col min="3591" max="3591" width="18.33203125" style="27" customWidth="1"/>
    <col min="3592" max="3592" width="7" style="27" customWidth="1"/>
    <col min="3593" max="3593" width="9.109375" style="27" customWidth="1"/>
    <col min="3594" max="3594" width="5.5546875" style="27" customWidth="1"/>
    <col min="3595" max="3595" width="9.44140625" style="27" customWidth="1"/>
    <col min="3596" max="3596" width="4.44140625" style="27" customWidth="1"/>
    <col min="3597" max="3597" width="39.88671875" style="27" customWidth="1"/>
    <col min="3598" max="3598" width="10.88671875" style="27" customWidth="1"/>
    <col min="3599" max="3599" width="10.44140625" style="27" customWidth="1"/>
    <col min="3600" max="3600" width="6.33203125" style="27" customWidth="1"/>
    <col min="3601" max="3601" width="14.88671875" style="27" customWidth="1"/>
    <col min="3602" max="3603" width="11.44140625" style="27" customWidth="1"/>
    <col min="3604" max="3606" width="8" style="27" customWidth="1"/>
    <col min="3607" max="3607" width="33.6640625" style="27" customWidth="1"/>
    <col min="3608" max="3608" width="38.5546875" style="27" customWidth="1"/>
    <col min="3609" max="3609" width="15.109375" style="27" customWidth="1"/>
    <col min="3610" max="3610" width="10.88671875" style="27" customWidth="1"/>
    <col min="3611" max="3612" width="6.88671875" style="27" customWidth="1"/>
    <col min="3613" max="3613" width="15.33203125" style="27" customWidth="1"/>
    <col min="3614" max="3614" width="13.6640625" style="27" customWidth="1"/>
    <col min="3615" max="3615" width="13.33203125" style="27" customWidth="1"/>
    <col min="3616" max="3616" width="15.44140625" style="27" customWidth="1"/>
    <col min="3617" max="3617" width="14.6640625" style="27" customWidth="1"/>
    <col min="3618" max="3618" width="14.5546875" style="27" customWidth="1"/>
    <col min="3619" max="3619" width="12.88671875" style="27" customWidth="1"/>
    <col min="3620" max="3620" width="14.6640625" style="27" customWidth="1"/>
    <col min="3621" max="3621" width="10.88671875" style="27" customWidth="1"/>
    <col min="3622" max="3622" width="15.44140625" style="27" customWidth="1"/>
    <col min="3623" max="3623" width="13" style="27" customWidth="1"/>
    <col min="3624" max="3624" width="13.88671875" style="27" customWidth="1"/>
    <col min="3625" max="3625" width="10.109375" style="27" customWidth="1"/>
    <col min="3626" max="3626" width="14.33203125" style="27" customWidth="1"/>
    <col min="3627" max="3627" width="13.6640625" style="27" customWidth="1"/>
    <col min="3628" max="3628" width="12" style="27" customWidth="1"/>
    <col min="3629" max="3629" width="15.44140625" style="27" customWidth="1"/>
    <col min="3630" max="3630" width="12.109375" style="27" customWidth="1"/>
    <col min="3631" max="3631" width="13.5546875" style="27" customWidth="1"/>
    <col min="3632" max="3632" width="14.5546875" style="27" customWidth="1"/>
    <col min="3633" max="3633" width="14.88671875" style="27" customWidth="1"/>
    <col min="3634" max="3634" width="15.88671875" style="27" customWidth="1"/>
    <col min="3635" max="3635" width="17.33203125" style="27" customWidth="1"/>
    <col min="3636" max="3636" width="15.44140625" style="27" customWidth="1"/>
    <col min="3637" max="3637" width="12.33203125" style="27" customWidth="1"/>
    <col min="3638" max="3638" width="15.5546875" style="27" customWidth="1"/>
    <col min="3639" max="3639" width="19" style="27" customWidth="1"/>
    <col min="3640" max="3640" width="16.109375" style="27" customWidth="1"/>
    <col min="3641" max="3641" width="15" style="27" customWidth="1"/>
    <col min="3642" max="3642" width="13.6640625" style="27" customWidth="1"/>
    <col min="3643" max="3644" width="8" style="27" customWidth="1"/>
    <col min="3645" max="3645" width="11.44140625" style="27" customWidth="1"/>
    <col min="3646" max="3646" width="16.6640625" style="27" customWidth="1"/>
    <col min="3647" max="3647" width="8.44140625" style="27" customWidth="1"/>
    <col min="3648" max="3648" width="8" style="27" customWidth="1"/>
    <col min="3649" max="3649" width="10.33203125" style="27" customWidth="1"/>
    <col min="3650" max="3650" width="8.6640625" style="27" customWidth="1"/>
    <col min="3651" max="3651" width="8" style="27" customWidth="1"/>
    <col min="3652" max="3652" width="10.33203125" style="27" bestFit="1" customWidth="1"/>
    <col min="3653" max="3653" width="8.109375" style="27" bestFit="1" customWidth="1"/>
    <col min="3654" max="3654" width="12.109375" style="27" customWidth="1"/>
    <col min="3655" max="3655" width="8.109375" style="27" bestFit="1" customWidth="1"/>
    <col min="3656" max="3656" width="9.44140625" style="27" bestFit="1" customWidth="1"/>
    <col min="3657" max="3657" width="8.109375" style="27" bestFit="1" customWidth="1"/>
    <col min="3658" max="3658" width="9.44140625" style="27" bestFit="1" customWidth="1"/>
    <col min="3659" max="3659" width="8.109375" style="27" bestFit="1" customWidth="1"/>
    <col min="3660" max="3660" width="9.44140625" style="27" bestFit="1" customWidth="1"/>
    <col min="3661" max="3661" width="8.109375" style="27" bestFit="1" customWidth="1"/>
    <col min="3662" max="3662" width="9.44140625" style="27" bestFit="1" customWidth="1"/>
    <col min="3663" max="3663" width="8.109375" style="27" bestFit="1" customWidth="1"/>
    <col min="3664" max="3664" width="9.109375" style="27"/>
    <col min="3665" max="3665" width="8.109375" style="27" bestFit="1" customWidth="1"/>
    <col min="3666" max="3666" width="9.109375" style="27"/>
    <col min="3667" max="3669" width="8.109375" style="27" bestFit="1" customWidth="1"/>
    <col min="3670" max="3670" width="9.44140625" style="27" bestFit="1" customWidth="1"/>
    <col min="3671" max="3671" width="8.109375" style="27" bestFit="1" customWidth="1"/>
    <col min="3672" max="3672" width="10.33203125" style="27" bestFit="1" customWidth="1"/>
    <col min="3673" max="3840" width="9.109375" style="27"/>
    <col min="3841" max="3841" width="9.5546875" style="27" customWidth="1"/>
    <col min="3842" max="3843" width="6.6640625" style="27" customWidth="1"/>
    <col min="3844" max="3844" width="10.33203125" style="27" customWidth="1"/>
    <col min="3845" max="3845" width="8.33203125" style="27" customWidth="1"/>
    <col min="3846" max="3846" width="8" style="27" customWidth="1"/>
    <col min="3847" max="3847" width="18.33203125" style="27" customWidth="1"/>
    <col min="3848" max="3848" width="7" style="27" customWidth="1"/>
    <col min="3849" max="3849" width="9.109375" style="27" customWidth="1"/>
    <col min="3850" max="3850" width="5.5546875" style="27" customWidth="1"/>
    <col min="3851" max="3851" width="9.44140625" style="27" customWidth="1"/>
    <col min="3852" max="3852" width="4.44140625" style="27" customWidth="1"/>
    <col min="3853" max="3853" width="39.88671875" style="27" customWidth="1"/>
    <col min="3854" max="3854" width="10.88671875" style="27" customWidth="1"/>
    <col min="3855" max="3855" width="10.44140625" style="27" customWidth="1"/>
    <col min="3856" max="3856" width="6.33203125" style="27" customWidth="1"/>
    <col min="3857" max="3857" width="14.88671875" style="27" customWidth="1"/>
    <col min="3858" max="3859" width="11.44140625" style="27" customWidth="1"/>
    <col min="3860" max="3862" width="8" style="27" customWidth="1"/>
    <col min="3863" max="3863" width="33.6640625" style="27" customWidth="1"/>
    <col min="3864" max="3864" width="38.5546875" style="27" customWidth="1"/>
    <col min="3865" max="3865" width="15.109375" style="27" customWidth="1"/>
    <col min="3866" max="3866" width="10.88671875" style="27" customWidth="1"/>
    <col min="3867" max="3868" width="6.88671875" style="27" customWidth="1"/>
    <col min="3869" max="3869" width="15.33203125" style="27" customWidth="1"/>
    <col min="3870" max="3870" width="13.6640625" style="27" customWidth="1"/>
    <col min="3871" max="3871" width="13.33203125" style="27" customWidth="1"/>
    <col min="3872" max="3872" width="15.44140625" style="27" customWidth="1"/>
    <col min="3873" max="3873" width="14.6640625" style="27" customWidth="1"/>
    <col min="3874" max="3874" width="14.5546875" style="27" customWidth="1"/>
    <col min="3875" max="3875" width="12.88671875" style="27" customWidth="1"/>
    <col min="3876" max="3876" width="14.6640625" style="27" customWidth="1"/>
    <col min="3877" max="3877" width="10.88671875" style="27" customWidth="1"/>
    <col min="3878" max="3878" width="15.44140625" style="27" customWidth="1"/>
    <col min="3879" max="3879" width="13" style="27" customWidth="1"/>
    <col min="3880" max="3880" width="13.88671875" style="27" customWidth="1"/>
    <col min="3881" max="3881" width="10.109375" style="27" customWidth="1"/>
    <col min="3882" max="3882" width="14.33203125" style="27" customWidth="1"/>
    <col min="3883" max="3883" width="13.6640625" style="27" customWidth="1"/>
    <col min="3884" max="3884" width="12" style="27" customWidth="1"/>
    <col min="3885" max="3885" width="15.44140625" style="27" customWidth="1"/>
    <col min="3886" max="3886" width="12.109375" style="27" customWidth="1"/>
    <col min="3887" max="3887" width="13.5546875" style="27" customWidth="1"/>
    <col min="3888" max="3888" width="14.5546875" style="27" customWidth="1"/>
    <col min="3889" max="3889" width="14.88671875" style="27" customWidth="1"/>
    <col min="3890" max="3890" width="15.88671875" style="27" customWidth="1"/>
    <col min="3891" max="3891" width="17.33203125" style="27" customWidth="1"/>
    <col min="3892" max="3892" width="15.44140625" style="27" customWidth="1"/>
    <col min="3893" max="3893" width="12.33203125" style="27" customWidth="1"/>
    <col min="3894" max="3894" width="15.5546875" style="27" customWidth="1"/>
    <col min="3895" max="3895" width="19" style="27" customWidth="1"/>
    <col min="3896" max="3896" width="16.109375" style="27" customWidth="1"/>
    <col min="3897" max="3897" width="15" style="27" customWidth="1"/>
    <col min="3898" max="3898" width="13.6640625" style="27" customWidth="1"/>
    <col min="3899" max="3900" width="8" style="27" customWidth="1"/>
    <col min="3901" max="3901" width="11.44140625" style="27" customWidth="1"/>
    <col min="3902" max="3902" width="16.6640625" style="27" customWidth="1"/>
    <col min="3903" max="3903" width="8.44140625" style="27" customWidth="1"/>
    <col min="3904" max="3904" width="8" style="27" customWidth="1"/>
    <col min="3905" max="3905" width="10.33203125" style="27" customWidth="1"/>
    <col min="3906" max="3906" width="8.6640625" style="27" customWidth="1"/>
    <col min="3907" max="3907" width="8" style="27" customWidth="1"/>
    <col min="3908" max="3908" width="10.33203125" style="27" bestFit="1" customWidth="1"/>
    <col min="3909" max="3909" width="8.109375" style="27" bestFit="1" customWidth="1"/>
    <col min="3910" max="3910" width="12.109375" style="27" customWidth="1"/>
    <col min="3911" max="3911" width="8.109375" style="27" bestFit="1" customWidth="1"/>
    <col min="3912" max="3912" width="9.44140625" style="27" bestFit="1" customWidth="1"/>
    <col min="3913" max="3913" width="8.109375" style="27" bestFit="1" customWidth="1"/>
    <col min="3914" max="3914" width="9.44140625" style="27" bestFit="1" customWidth="1"/>
    <col min="3915" max="3915" width="8.109375" style="27" bestFit="1" customWidth="1"/>
    <col min="3916" max="3916" width="9.44140625" style="27" bestFit="1" customWidth="1"/>
    <col min="3917" max="3917" width="8.109375" style="27" bestFit="1" customWidth="1"/>
    <col min="3918" max="3918" width="9.44140625" style="27" bestFit="1" customWidth="1"/>
    <col min="3919" max="3919" width="8.109375" style="27" bestFit="1" customWidth="1"/>
    <col min="3920" max="3920" width="9.109375" style="27"/>
    <col min="3921" max="3921" width="8.109375" style="27" bestFit="1" customWidth="1"/>
    <col min="3922" max="3922" width="9.109375" style="27"/>
    <col min="3923" max="3925" width="8.109375" style="27" bestFit="1" customWidth="1"/>
    <col min="3926" max="3926" width="9.44140625" style="27" bestFit="1" customWidth="1"/>
    <col min="3927" max="3927" width="8.109375" style="27" bestFit="1" customWidth="1"/>
    <col min="3928" max="3928" width="10.33203125" style="27" bestFit="1" customWidth="1"/>
    <col min="3929" max="4096" width="9.109375" style="27"/>
    <col min="4097" max="4097" width="9.5546875" style="27" customWidth="1"/>
    <col min="4098" max="4099" width="6.6640625" style="27" customWidth="1"/>
    <col min="4100" max="4100" width="10.33203125" style="27" customWidth="1"/>
    <col min="4101" max="4101" width="8.33203125" style="27" customWidth="1"/>
    <col min="4102" max="4102" width="8" style="27" customWidth="1"/>
    <col min="4103" max="4103" width="18.33203125" style="27" customWidth="1"/>
    <col min="4104" max="4104" width="7" style="27" customWidth="1"/>
    <col min="4105" max="4105" width="9.109375" style="27" customWidth="1"/>
    <col min="4106" max="4106" width="5.5546875" style="27" customWidth="1"/>
    <col min="4107" max="4107" width="9.44140625" style="27" customWidth="1"/>
    <col min="4108" max="4108" width="4.44140625" style="27" customWidth="1"/>
    <col min="4109" max="4109" width="39.88671875" style="27" customWidth="1"/>
    <col min="4110" max="4110" width="10.88671875" style="27" customWidth="1"/>
    <col min="4111" max="4111" width="10.44140625" style="27" customWidth="1"/>
    <col min="4112" max="4112" width="6.33203125" style="27" customWidth="1"/>
    <col min="4113" max="4113" width="14.88671875" style="27" customWidth="1"/>
    <col min="4114" max="4115" width="11.44140625" style="27" customWidth="1"/>
    <col min="4116" max="4118" width="8" style="27" customWidth="1"/>
    <col min="4119" max="4119" width="33.6640625" style="27" customWidth="1"/>
    <col min="4120" max="4120" width="38.5546875" style="27" customWidth="1"/>
    <col min="4121" max="4121" width="15.109375" style="27" customWidth="1"/>
    <col min="4122" max="4122" width="10.88671875" style="27" customWidth="1"/>
    <col min="4123" max="4124" width="6.88671875" style="27" customWidth="1"/>
    <col min="4125" max="4125" width="15.33203125" style="27" customWidth="1"/>
    <col min="4126" max="4126" width="13.6640625" style="27" customWidth="1"/>
    <col min="4127" max="4127" width="13.33203125" style="27" customWidth="1"/>
    <col min="4128" max="4128" width="15.44140625" style="27" customWidth="1"/>
    <col min="4129" max="4129" width="14.6640625" style="27" customWidth="1"/>
    <col min="4130" max="4130" width="14.5546875" style="27" customWidth="1"/>
    <col min="4131" max="4131" width="12.88671875" style="27" customWidth="1"/>
    <col min="4132" max="4132" width="14.6640625" style="27" customWidth="1"/>
    <col min="4133" max="4133" width="10.88671875" style="27" customWidth="1"/>
    <col min="4134" max="4134" width="15.44140625" style="27" customWidth="1"/>
    <col min="4135" max="4135" width="13" style="27" customWidth="1"/>
    <col min="4136" max="4136" width="13.88671875" style="27" customWidth="1"/>
    <col min="4137" max="4137" width="10.109375" style="27" customWidth="1"/>
    <col min="4138" max="4138" width="14.33203125" style="27" customWidth="1"/>
    <col min="4139" max="4139" width="13.6640625" style="27" customWidth="1"/>
    <col min="4140" max="4140" width="12" style="27" customWidth="1"/>
    <col min="4141" max="4141" width="15.44140625" style="27" customWidth="1"/>
    <col min="4142" max="4142" width="12.109375" style="27" customWidth="1"/>
    <col min="4143" max="4143" width="13.5546875" style="27" customWidth="1"/>
    <col min="4144" max="4144" width="14.5546875" style="27" customWidth="1"/>
    <col min="4145" max="4145" width="14.88671875" style="27" customWidth="1"/>
    <col min="4146" max="4146" width="15.88671875" style="27" customWidth="1"/>
    <col min="4147" max="4147" width="17.33203125" style="27" customWidth="1"/>
    <col min="4148" max="4148" width="15.44140625" style="27" customWidth="1"/>
    <col min="4149" max="4149" width="12.33203125" style="27" customWidth="1"/>
    <col min="4150" max="4150" width="15.5546875" style="27" customWidth="1"/>
    <col min="4151" max="4151" width="19" style="27" customWidth="1"/>
    <col min="4152" max="4152" width="16.109375" style="27" customWidth="1"/>
    <col min="4153" max="4153" width="15" style="27" customWidth="1"/>
    <col min="4154" max="4154" width="13.6640625" style="27" customWidth="1"/>
    <col min="4155" max="4156" width="8" style="27" customWidth="1"/>
    <col min="4157" max="4157" width="11.44140625" style="27" customWidth="1"/>
    <col min="4158" max="4158" width="16.6640625" style="27" customWidth="1"/>
    <col min="4159" max="4159" width="8.44140625" style="27" customWidth="1"/>
    <col min="4160" max="4160" width="8" style="27" customWidth="1"/>
    <col min="4161" max="4161" width="10.33203125" style="27" customWidth="1"/>
    <col min="4162" max="4162" width="8.6640625" style="27" customWidth="1"/>
    <col min="4163" max="4163" width="8" style="27" customWidth="1"/>
    <col min="4164" max="4164" width="10.33203125" style="27" bestFit="1" customWidth="1"/>
    <col min="4165" max="4165" width="8.109375" style="27" bestFit="1" customWidth="1"/>
    <col min="4166" max="4166" width="12.109375" style="27" customWidth="1"/>
    <col min="4167" max="4167" width="8.109375" style="27" bestFit="1" customWidth="1"/>
    <col min="4168" max="4168" width="9.44140625" style="27" bestFit="1" customWidth="1"/>
    <col min="4169" max="4169" width="8.109375" style="27" bestFit="1" customWidth="1"/>
    <col min="4170" max="4170" width="9.44140625" style="27" bestFit="1" customWidth="1"/>
    <col min="4171" max="4171" width="8.109375" style="27" bestFit="1" customWidth="1"/>
    <col min="4172" max="4172" width="9.44140625" style="27" bestFit="1" customWidth="1"/>
    <col min="4173" max="4173" width="8.109375" style="27" bestFit="1" customWidth="1"/>
    <col min="4174" max="4174" width="9.44140625" style="27" bestFit="1" customWidth="1"/>
    <col min="4175" max="4175" width="8.109375" style="27" bestFit="1" customWidth="1"/>
    <col min="4176" max="4176" width="9.109375" style="27"/>
    <col min="4177" max="4177" width="8.109375" style="27" bestFit="1" customWidth="1"/>
    <col min="4178" max="4178" width="9.109375" style="27"/>
    <col min="4179" max="4181" width="8.109375" style="27" bestFit="1" customWidth="1"/>
    <col min="4182" max="4182" width="9.44140625" style="27" bestFit="1" customWidth="1"/>
    <col min="4183" max="4183" width="8.109375" style="27" bestFit="1" customWidth="1"/>
    <col min="4184" max="4184" width="10.33203125" style="27" bestFit="1" customWidth="1"/>
    <col min="4185" max="4352" width="9.109375" style="27"/>
    <col min="4353" max="4353" width="9.5546875" style="27" customWidth="1"/>
    <col min="4354" max="4355" width="6.6640625" style="27" customWidth="1"/>
    <col min="4356" max="4356" width="10.33203125" style="27" customWidth="1"/>
    <col min="4357" max="4357" width="8.33203125" style="27" customWidth="1"/>
    <col min="4358" max="4358" width="8" style="27" customWidth="1"/>
    <col min="4359" max="4359" width="18.33203125" style="27" customWidth="1"/>
    <col min="4360" max="4360" width="7" style="27" customWidth="1"/>
    <col min="4361" max="4361" width="9.109375" style="27" customWidth="1"/>
    <col min="4362" max="4362" width="5.5546875" style="27" customWidth="1"/>
    <col min="4363" max="4363" width="9.44140625" style="27" customWidth="1"/>
    <col min="4364" max="4364" width="4.44140625" style="27" customWidth="1"/>
    <col min="4365" max="4365" width="39.88671875" style="27" customWidth="1"/>
    <col min="4366" max="4366" width="10.88671875" style="27" customWidth="1"/>
    <col min="4367" max="4367" width="10.44140625" style="27" customWidth="1"/>
    <col min="4368" max="4368" width="6.33203125" style="27" customWidth="1"/>
    <col min="4369" max="4369" width="14.88671875" style="27" customWidth="1"/>
    <col min="4370" max="4371" width="11.44140625" style="27" customWidth="1"/>
    <col min="4372" max="4374" width="8" style="27" customWidth="1"/>
    <col min="4375" max="4375" width="33.6640625" style="27" customWidth="1"/>
    <col min="4376" max="4376" width="38.5546875" style="27" customWidth="1"/>
    <col min="4377" max="4377" width="15.109375" style="27" customWidth="1"/>
    <col min="4378" max="4378" width="10.88671875" style="27" customWidth="1"/>
    <col min="4379" max="4380" width="6.88671875" style="27" customWidth="1"/>
    <col min="4381" max="4381" width="15.33203125" style="27" customWidth="1"/>
    <col min="4382" max="4382" width="13.6640625" style="27" customWidth="1"/>
    <col min="4383" max="4383" width="13.33203125" style="27" customWidth="1"/>
    <col min="4384" max="4384" width="15.44140625" style="27" customWidth="1"/>
    <col min="4385" max="4385" width="14.6640625" style="27" customWidth="1"/>
    <col min="4386" max="4386" width="14.5546875" style="27" customWidth="1"/>
    <col min="4387" max="4387" width="12.88671875" style="27" customWidth="1"/>
    <col min="4388" max="4388" width="14.6640625" style="27" customWidth="1"/>
    <col min="4389" max="4389" width="10.88671875" style="27" customWidth="1"/>
    <col min="4390" max="4390" width="15.44140625" style="27" customWidth="1"/>
    <col min="4391" max="4391" width="13" style="27" customWidth="1"/>
    <col min="4392" max="4392" width="13.88671875" style="27" customWidth="1"/>
    <col min="4393" max="4393" width="10.109375" style="27" customWidth="1"/>
    <col min="4394" max="4394" width="14.33203125" style="27" customWidth="1"/>
    <col min="4395" max="4395" width="13.6640625" style="27" customWidth="1"/>
    <col min="4396" max="4396" width="12" style="27" customWidth="1"/>
    <col min="4397" max="4397" width="15.44140625" style="27" customWidth="1"/>
    <col min="4398" max="4398" width="12.109375" style="27" customWidth="1"/>
    <col min="4399" max="4399" width="13.5546875" style="27" customWidth="1"/>
    <col min="4400" max="4400" width="14.5546875" style="27" customWidth="1"/>
    <col min="4401" max="4401" width="14.88671875" style="27" customWidth="1"/>
    <col min="4402" max="4402" width="15.88671875" style="27" customWidth="1"/>
    <col min="4403" max="4403" width="17.33203125" style="27" customWidth="1"/>
    <col min="4404" max="4404" width="15.44140625" style="27" customWidth="1"/>
    <col min="4405" max="4405" width="12.33203125" style="27" customWidth="1"/>
    <col min="4406" max="4406" width="15.5546875" style="27" customWidth="1"/>
    <col min="4407" max="4407" width="19" style="27" customWidth="1"/>
    <col min="4408" max="4408" width="16.109375" style="27" customWidth="1"/>
    <col min="4409" max="4409" width="15" style="27" customWidth="1"/>
    <col min="4410" max="4410" width="13.6640625" style="27" customWidth="1"/>
    <col min="4411" max="4412" width="8" style="27" customWidth="1"/>
    <col min="4413" max="4413" width="11.44140625" style="27" customWidth="1"/>
    <col min="4414" max="4414" width="16.6640625" style="27" customWidth="1"/>
    <col min="4415" max="4415" width="8.44140625" style="27" customWidth="1"/>
    <col min="4416" max="4416" width="8" style="27" customWidth="1"/>
    <col min="4417" max="4417" width="10.33203125" style="27" customWidth="1"/>
    <col min="4418" max="4418" width="8.6640625" style="27" customWidth="1"/>
    <col min="4419" max="4419" width="8" style="27" customWidth="1"/>
    <col min="4420" max="4420" width="10.33203125" style="27" bestFit="1" customWidth="1"/>
    <col min="4421" max="4421" width="8.109375" style="27" bestFit="1" customWidth="1"/>
    <col min="4422" max="4422" width="12.109375" style="27" customWidth="1"/>
    <col min="4423" max="4423" width="8.109375" style="27" bestFit="1" customWidth="1"/>
    <col min="4424" max="4424" width="9.44140625" style="27" bestFit="1" customWidth="1"/>
    <col min="4425" max="4425" width="8.109375" style="27" bestFit="1" customWidth="1"/>
    <col min="4426" max="4426" width="9.44140625" style="27" bestFit="1" customWidth="1"/>
    <col min="4427" max="4427" width="8.109375" style="27" bestFit="1" customWidth="1"/>
    <col min="4428" max="4428" width="9.44140625" style="27" bestFit="1" customWidth="1"/>
    <col min="4429" max="4429" width="8.109375" style="27" bestFit="1" customWidth="1"/>
    <col min="4430" max="4430" width="9.44140625" style="27" bestFit="1" customWidth="1"/>
    <col min="4431" max="4431" width="8.109375" style="27" bestFit="1" customWidth="1"/>
    <col min="4432" max="4432" width="9.109375" style="27"/>
    <col min="4433" max="4433" width="8.109375" style="27" bestFit="1" customWidth="1"/>
    <col min="4434" max="4434" width="9.109375" style="27"/>
    <col min="4435" max="4437" width="8.109375" style="27" bestFit="1" customWidth="1"/>
    <col min="4438" max="4438" width="9.44140625" style="27" bestFit="1" customWidth="1"/>
    <col min="4439" max="4439" width="8.109375" style="27" bestFit="1" customWidth="1"/>
    <col min="4440" max="4440" width="10.33203125" style="27" bestFit="1" customWidth="1"/>
    <col min="4441" max="4608" width="9.109375" style="27"/>
    <col min="4609" max="4609" width="9.5546875" style="27" customWidth="1"/>
    <col min="4610" max="4611" width="6.6640625" style="27" customWidth="1"/>
    <col min="4612" max="4612" width="10.33203125" style="27" customWidth="1"/>
    <col min="4613" max="4613" width="8.33203125" style="27" customWidth="1"/>
    <col min="4614" max="4614" width="8" style="27" customWidth="1"/>
    <col min="4615" max="4615" width="18.33203125" style="27" customWidth="1"/>
    <col min="4616" max="4616" width="7" style="27" customWidth="1"/>
    <col min="4617" max="4617" width="9.109375" style="27" customWidth="1"/>
    <col min="4618" max="4618" width="5.5546875" style="27" customWidth="1"/>
    <col min="4619" max="4619" width="9.44140625" style="27" customWidth="1"/>
    <col min="4620" max="4620" width="4.44140625" style="27" customWidth="1"/>
    <col min="4621" max="4621" width="39.88671875" style="27" customWidth="1"/>
    <col min="4622" max="4622" width="10.88671875" style="27" customWidth="1"/>
    <col min="4623" max="4623" width="10.44140625" style="27" customWidth="1"/>
    <col min="4624" max="4624" width="6.33203125" style="27" customWidth="1"/>
    <col min="4625" max="4625" width="14.88671875" style="27" customWidth="1"/>
    <col min="4626" max="4627" width="11.44140625" style="27" customWidth="1"/>
    <col min="4628" max="4630" width="8" style="27" customWidth="1"/>
    <col min="4631" max="4631" width="33.6640625" style="27" customWidth="1"/>
    <col min="4632" max="4632" width="38.5546875" style="27" customWidth="1"/>
    <col min="4633" max="4633" width="15.109375" style="27" customWidth="1"/>
    <col min="4634" max="4634" width="10.88671875" style="27" customWidth="1"/>
    <col min="4635" max="4636" width="6.88671875" style="27" customWidth="1"/>
    <col min="4637" max="4637" width="15.33203125" style="27" customWidth="1"/>
    <col min="4638" max="4638" width="13.6640625" style="27" customWidth="1"/>
    <col min="4639" max="4639" width="13.33203125" style="27" customWidth="1"/>
    <col min="4640" max="4640" width="15.44140625" style="27" customWidth="1"/>
    <col min="4641" max="4641" width="14.6640625" style="27" customWidth="1"/>
    <col min="4642" max="4642" width="14.5546875" style="27" customWidth="1"/>
    <col min="4643" max="4643" width="12.88671875" style="27" customWidth="1"/>
    <col min="4644" max="4644" width="14.6640625" style="27" customWidth="1"/>
    <col min="4645" max="4645" width="10.88671875" style="27" customWidth="1"/>
    <col min="4646" max="4646" width="15.44140625" style="27" customWidth="1"/>
    <col min="4647" max="4647" width="13" style="27" customWidth="1"/>
    <col min="4648" max="4648" width="13.88671875" style="27" customWidth="1"/>
    <col min="4649" max="4649" width="10.109375" style="27" customWidth="1"/>
    <col min="4650" max="4650" width="14.33203125" style="27" customWidth="1"/>
    <col min="4651" max="4651" width="13.6640625" style="27" customWidth="1"/>
    <col min="4652" max="4652" width="12" style="27" customWidth="1"/>
    <col min="4653" max="4653" width="15.44140625" style="27" customWidth="1"/>
    <col min="4654" max="4654" width="12.109375" style="27" customWidth="1"/>
    <col min="4655" max="4655" width="13.5546875" style="27" customWidth="1"/>
    <col min="4656" max="4656" width="14.5546875" style="27" customWidth="1"/>
    <col min="4657" max="4657" width="14.88671875" style="27" customWidth="1"/>
    <col min="4658" max="4658" width="15.88671875" style="27" customWidth="1"/>
    <col min="4659" max="4659" width="17.33203125" style="27" customWidth="1"/>
    <col min="4660" max="4660" width="15.44140625" style="27" customWidth="1"/>
    <col min="4661" max="4661" width="12.33203125" style="27" customWidth="1"/>
    <col min="4662" max="4662" width="15.5546875" style="27" customWidth="1"/>
    <col min="4663" max="4663" width="19" style="27" customWidth="1"/>
    <col min="4664" max="4664" width="16.109375" style="27" customWidth="1"/>
    <col min="4665" max="4665" width="15" style="27" customWidth="1"/>
    <col min="4666" max="4666" width="13.6640625" style="27" customWidth="1"/>
    <col min="4667" max="4668" width="8" style="27" customWidth="1"/>
    <col min="4669" max="4669" width="11.44140625" style="27" customWidth="1"/>
    <col min="4670" max="4670" width="16.6640625" style="27" customWidth="1"/>
    <col min="4671" max="4671" width="8.44140625" style="27" customWidth="1"/>
    <col min="4672" max="4672" width="8" style="27" customWidth="1"/>
    <col min="4673" max="4673" width="10.33203125" style="27" customWidth="1"/>
    <col min="4674" max="4674" width="8.6640625" style="27" customWidth="1"/>
    <col min="4675" max="4675" width="8" style="27" customWidth="1"/>
    <col min="4676" max="4676" width="10.33203125" style="27" bestFit="1" customWidth="1"/>
    <col min="4677" max="4677" width="8.109375" style="27" bestFit="1" customWidth="1"/>
    <col min="4678" max="4678" width="12.109375" style="27" customWidth="1"/>
    <col min="4679" max="4679" width="8.109375" style="27" bestFit="1" customWidth="1"/>
    <col min="4680" max="4680" width="9.44140625" style="27" bestFit="1" customWidth="1"/>
    <col min="4681" max="4681" width="8.109375" style="27" bestFit="1" customWidth="1"/>
    <col min="4682" max="4682" width="9.44140625" style="27" bestFit="1" customWidth="1"/>
    <col min="4683" max="4683" width="8.109375" style="27" bestFit="1" customWidth="1"/>
    <col min="4684" max="4684" width="9.44140625" style="27" bestFit="1" customWidth="1"/>
    <col min="4685" max="4685" width="8.109375" style="27" bestFit="1" customWidth="1"/>
    <col min="4686" max="4686" width="9.44140625" style="27" bestFit="1" customWidth="1"/>
    <col min="4687" max="4687" width="8.109375" style="27" bestFit="1" customWidth="1"/>
    <col min="4688" max="4688" width="9.109375" style="27"/>
    <col min="4689" max="4689" width="8.109375" style="27" bestFit="1" customWidth="1"/>
    <col min="4690" max="4690" width="9.109375" style="27"/>
    <col min="4691" max="4693" width="8.109375" style="27" bestFit="1" customWidth="1"/>
    <col min="4694" max="4694" width="9.44140625" style="27" bestFit="1" customWidth="1"/>
    <col min="4695" max="4695" width="8.109375" style="27" bestFit="1" customWidth="1"/>
    <col min="4696" max="4696" width="10.33203125" style="27" bestFit="1" customWidth="1"/>
    <col min="4697" max="4864" width="9.109375" style="27"/>
    <col min="4865" max="4865" width="9.5546875" style="27" customWidth="1"/>
    <col min="4866" max="4867" width="6.6640625" style="27" customWidth="1"/>
    <col min="4868" max="4868" width="10.33203125" style="27" customWidth="1"/>
    <col min="4869" max="4869" width="8.33203125" style="27" customWidth="1"/>
    <col min="4870" max="4870" width="8" style="27" customWidth="1"/>
    <col min="4871" max="4871" width="18.33203125" style="27" customWidth="1"/>
    <col min="4872" max="4872" width="7" style="27" customWidth="1"/>
    <col min="4873" max="4873" width="9.109375" style="27" customWidth="1"/>
    <col min="4874" max="4874" width="5.5546875" style="27" customWidth="1"/>
    <col min="4875" max="4875" width="9.44140625" style="27" customWidth="1"/>
    <col min="4876" max="4876" width="4.44140625" style="27" customWidth="1"/>
    <col min="4877" max="4877" width="39.88671875" style="27" customWidth="1"/>
    <col min="4878" max="4878" width="10.88671875" style="27" customWidth="1"/>
    <col min="4879" max="4879" width="10.44140625" style="27" customWidth="1"/>
    <col min="4880" max="4880" width="6.33203125" style="27" customWidth="1"/>
    <col min="4881" max="4881" width="14.88671875" style="27" customWidth="1"/>
    <col min="4882" max="4883" width="11.44140625" style="27" customWidth="1"/>
    <col min="4884" max="4886" width="8" style="27" customWidth="1"/>
    <col min="4887" max="4887" width="33.6640625" style="27" customWidth="1"/>
    <col min="4888" max="4888" width="38.5546875" style="27" customWidth="1"/>
    <col min="4889" max="4889" width="15.109375" style="27" customWidth="1"/>
    <col min="4890" max="4890" width="10.88671875" style="27" customWidth="1"/>
    <col min="4891" max="4892" width="6.88671875" style="27" customWidth="1"/>
    <col min="4893" max="4893" width="15.33203125" style="27" customWidth="1"/>
    <col min="4894" max="4894" width="13.6640625" style="27" customWidth="1"/>
    <col min="4895" max="4895" width="13.33203125" style="27" customWidth="1"/>
    <col min="4896" max="4896" width="15.44140625" style="27" customWidth="1"/>
    <col min="4897" max="4897" width="14.6640625" style="27" customWidth="1"/>
    <col min="4898" max="4898" width="14.5546875" style="27" customWidth="1"/>
    <col min="4899" max="4899" width="12.88671875" style="27" customWidth="1"/>
    <col min="4900" max="4900" width="14.6640625" style="27" customWidth="1"/>
    <col min="4901" max="4901" width="10.88671875" style="27" customWidth="1"/>
    <col min="4902" max="4902" width="15.44140625" style="27" customWidth="1"/>
    <col min="4903" max="4903" width="13" style="27" customWidth="1"/>
    <col min="4904" max="4904" width="13.88671875" style="27" customWidth="1"/>
    <col min="4905" max="4905" width="10.109375" style="27" customWidth="1"/>
    <col min="4906" max="4906" width="14.33203125" style="27" customWidth="1"/>
    <col min="4907" max="4907" width="13.6640625" style="27" customWidth="1"/>
    <col min="4908" max="4908" width="12" style="27" customWidth="1"/>
    <col min="4909" max="4909" width="15.44140625" style="27" customWidth="1"/>
    <col min="4910" max="4910" width="12.109375" style="27" customWidth="1"/>
    <col min="4911" max="4911" width="13.5546875" style="27" customWidth="1"/>
    <col min="4912" max="4912" width="14.5546875" style="27" customWidth="1"/>
    <col min="4913" max="4913" width="14.88671875" style="27" customWidth="1"/>
    <col min="4914" max="4914" width="15.88671875" style="27" customWidth="1"/>
    <col min="4915" max="4915" width="17.33203125" style="27" customWidth="1"/>
    <col min="4916" max="4916" width="15.44140625" style="27" customWidth="1"/>
    <col min="4917" max="4917" width="12.33203125" style="27" customWidth="1"/>
    <col min="4918" max="4918" width="15.5546875" style="27" customWidth="1"/>
    <col min="4919" max="4919" width="19" style="27" customWidth="1"/>
    <col min="4920" max="4920" width="16.109375" style="27" customWidth="1"/>
    <col min="4921" max="4921" width="15" style="27" customWidth="1"/>
    <col min="4922" max="4922" width="13.6640625" style="27" customWidth="1"/>
    <col min="4923" max="4924" width="8" style="27" customWidth="1"/>
    <col min="4925" max="4925" width="11.44140625" style="27" customWidth="1"/>
    <col min="4926" max="4926" width="16.6640625" style="27" customWidth="1"/>
    <col min="4927" max="4927" width="8.44140625" style="27" customWidth="1"/>
    <col min="4928" max="4928" width="8" style="27" customWidth="1"/>
    <col min="4929" max="4929" width="10.33203125" style="27" customWidth="1"/>
    <col min="4930" max="4930" width="8.6640625" style="27" customWidth="1"/>
    <col min="4931" max="4931" width="8" style="27" customWidth="1"/>
    <col min="4932" max="4932" width="10.33203125" style="27" bestFit="1" customWidth="1"/>
    <col min="4933" max="4933" width="8.109375" style="27" bestFit="1" customWidth="1"/>
    <col min="4934" max="4934" width="12.109375" style="27" customWidth="1"/>
    <col min="4935" max="4935" width="8.109375" style="27" bestFit="1" customWidth="1"/>
    <col min="4936" max="4936" width="9.44140625" style="27" bestFit="1" customWidth="1"/>
    <col min="4937" max="4937" width="8.109375" style="27" bestFit="1" customWidth="1"/>
    <col min="4938" max="4938" width="9.44140625" style="27" bestFit="1" customWidth="1"/>
    <col min="4939" max="4939" width="8.109375" style="27" bestFit="1" customWidth="1"/>
    <col min="4940" max="4940" width="9.44140625" style="27" bestFit="1" customWidth="1"/>
    <col min="4941" max="4941" width="8.109375" style="27" bestFit="1" customWidth="1"/>
    <col min="4942" max="4942" width="9.44140625" style="27" bestFit="1" customWidth="1"/>
    <col min="4943" max="4943" width="8.109375" style="27" bestFit="1" customWidth="1"/>
    <col min="4944" max="4944" width="9.109375" style="27"/>
    <col min="4945" max="4945" width="8.109375" style="27" bestFit="1" customWidth="1"/>
    <col min="4946" max="4946" width="9.109375" style="27"/>
    <col min="4947" max="4949" width="8.109375" style="27" bestFit="1" customWidth="1"/>
    <col min="4950" max="4950" width="9.44140625" style="27" bestFit="1" customWidth="1"/>
    <col min="4951" max="4951" width="8.109375" style="27" bestFit="1" customWidth="1"/>
    <col min="4952" max="4952" width="10.33203125" style="27" bestFit="1" customWidth="1"/>
    <col min="4953" max="5120" width="9.109375" style="27"/>
    <col min="5121" max="5121" width="9.5546875" style="27" customWidth="1"/>
    <col min="5122" max="5123" width="6.6640625" style="27" customWidth="1"/>
    <col min="5124" max="5124" width="10.33203125" style="27" customWidth="1"/>
    <col min="5125" max="5125" width="8.33203125" style="27" customWidth="1"/>
    <col min="5126" max="5126" width="8" style="27" customWidth="1"/>
    <col min="5127" max="5127" width="18.33203125" style="27" customWidth="1"/>
    <col min="5128" max="5128" width="7" style="27" customWidth="1"/>
    <col min="5129" max="5129" width="9.109375" style="27" customWidth="1"/>
    <col min="5130" max="5130" width="5.5546875" style="27" customWidth="1"/>
    <col min="5131" max="5131" width="9.44140625" style="27" customWidth="1"/>
    <col min="5132" max="5132" width="4.44140625" style="27" customWidth="1"/>
    <col min="5133" max="5133" width="39.88671875" style="27" customWidth="1"/>
    <col min="5134" max="5134" width="10.88671875" style="27" customWidth="1"/>
    <col min="5135" max="5135" width="10.44140625" style="27" customWidth="1"/>
    <col min="5136" max="5136" width="6.33203125" style="27" customWidth="1"/>
    <col min="5137" max="5137" width="14.88671875" style="27" customWidth="1"/>
    <col min="5138" max="5139" width="11.44140625" style="27" customWidth="1"/>
    <col min="5140" max="5142" width="8" style="27" customWidth="1"/>
    <col min="5143" max="5143" width="33.6640625" style="27" customWidth="1"/>
    <col min="5144" max="5144" width="38.5546875" style="27" customWidth="1"/>
    <col min="5145" max="5145" width="15.109375" style="27" customWidth="1"/>
    <col min="5146" max="5146" width="10.88671875" style="27" customWidth="1"/>
    <col min="5147" max="5148" width="6.88671875" style="27" customWidth="1"/>
    <col min="5149" max="5149" width="15.33203125" style="27" customWidth="1"/>
    <col min="5150" max="5150" width="13.6640625" style="27" customWidth="1"/>
    <col min="5151" max="5151" width="13.33203125" style="27" customWidth="1"/>
    <col min="5152" max="5152" width="15.44140625" style="27" customWidth="1"/>
    <col min="5153" max="5153" width="14.6640625" style="27" customWidth="1"/>
    <col min="5154" max="5154" width="14.5546875" style="27" customWidth="1"/>
    <col min="5155" max="5155" width="12.88671875" style="27" customWidth="1"/>
    <col min="5156" max="5156" width="14.6640625" style="27" customWidth="1"/>
    <col min="5157" max="5157" width="10.88671875" style="27" customWidth="1"/>
    <col min="5158" max="5158" width="15.44140625" style="27" customWidth="1"/>
    <col min="5159" max="5159" width="13" style="27" customWidth="1"/>
    <col min="5160" max="5160" width="13.88671875" style="27" customWidth="1"/>
    <col min="5161" max="5161" width="10.109375" style="27" customWidth="1"/>
    <col min="5162" max="5162" width="14.33203125" style="27" customWidth="1"/>
    <col min="5163" max="5163" width="13.6640625" style="27" customWidth="1"/>
    <col min="5164" max="5164" width="12" style="27" customWidth="1"/>
    <col min="5165" max="5165" width="15.44140625" style="27" customWidth="1"/>
    <col min="5166" max="5166" width="12.109375" style="27" customWidth="1"/>
    <col min="5167" max="5167" width="13.5546875" style="27" customWidth="1"/>
    <col min="5168" max="5168" width="14.5546875" style="27" customWidth="1"/>
    <col min="5169" max="5169" width="14.88671875" style="27" customWidth="1"/>
    <col min="5170" max="5170" width="15.88671875" style="27" customWidth="1"/>
    <col min="5171" max="5171" width="17.33203125" style="27" customWidth="1"/>
    <col min="5172" max="5172" width="15.44140625" style="27" customWidth="1"/>
    <col min="5173" max="5173" width="12.33203125" style="27" customWidth="1"/>
    <col min="5174" max="5174" width="15.5546875" style="27" customWidth="1"/>
    <col min="5175" max="5175" width="19" style="27" customWidth="1"/>
    <col min="5176" max="5176" width="16.109375" style="27" customWidth="1"/>
    <col min="5177" max="5177" width="15" style="27" customWidth="1"/>
    <col min="5178" max="5178" width="13.6640625" style="27" customWidth="1"/>
    <col min="5179" max="5180" width="8" style="27" customWidth="1"/>
    <col min="5181" max="5181" width="11.44140625" style="27" customWidth="1"/>
    <col min="5182" max="5182" width="16.6640625" style="27" customWidth="1"/>
    <col min="5183" max="5183" width="8.44140625" style="27" customWidth="1"/>
    <col min="5184" max="5184" width="8" style="27" customWidth="1"/>
    <col min="5185" max="5185" width="10.33203125" style="27" customWidth="1"/>
    <col min="5186" max="5186" width="8.6640625" style="27" customWidth="1"/>
    <col min="5187" max="5187" width="8" style="27" customWidth="1"/>
    <col min="5188" max="5188" width="10.33203125" style="27" bestFit="1" customWidth="1"/>
    <col min="5189" max="5189" width="8.109375" style="27" bestFit="1" customWidth="1"/>
    <col min="5190" max="5190" width="12.109375" style="27" customWidth="1"/>
    <col min="5191" max="5191" width="8.109375" style="27" bestFit="1" customWidth="1"/>
    <col min="5192" max="5192" width="9.44140625" style="27" bestFit="1" customWidth="1"/>
    <col min="5193" max="5193" width="8.109375" style="27" bestFit="1" customWidth="1"/>
    <col min="5194" max="5194" width="9.44140625" style="27" bestFit="1" customWidth="1"/>
    <col min="5195" max="5195" width="8.109375" style="27" bestFit="1" customWidth="1"/>
    <col min="5196" max="5196" width="9.44140625" style="27" bestFit="1" customWidth="1"/>
    <col min="5197" max="5197" width="8.109375" style="27" bestFit="1" customWidth="1"/>
    <col min="5198" max="5198" width="9.44140625" style="27" bestFit="1" customWidth="1"/>
    <col min="5199" max="5199" width="8.109375" style="27" bestFit="1" customWidth="1"/>
    <col min="5200" max="5200" width="9.109375" style="27"/>
    <col min="5201" max="5201" width="8.109375" style="27" bestFit="1" customWidth="1"/>
    <col min="5202" max="5202" width="9.109375" style="27"/>
    <col min="5203" max="5205" width="8.109375" style="27" bestFit="1" customWidth="1"/>
    <col min="5206" max="5206" width="9.44140625" style="27" bestFit="1" customWidth="1"/>
    <col min="5207" max="5207" width="8.109375" style="27" bestFit="1" customWidth="1"/>
    <col min="5208" max="5208" width="10.33203125" style="27" bestFit="1" customWidth="1"/>
    <col min="5209" max="5376" width="9.109375" style="27"/>
    <col min="5377" max="5377" width="9.5546875" style="27" customWidth="1"/>
    <col min="5378" max="5379" width="6.6640625" style="27" customWidth="1"/>
    <col min="5380" max="5380" width="10.33203125" style="27" customWidth="1"/>
    <col min="5381" max="5381" width="8.33203125" style="27" customWidth="1"/>
    <col min="5382" max="5382" width="8" style="27" customWidth="1"/>
    <col min="5383" max="5383" width="18.33203125" style="27" customWidth="1"/>
    <col min="5384" max="5384" width="7" style="27" customWidth="1"/>
    <col min="5385" max="5385" width="9.109375" style="27" customWidth="1"/>
    <col min="5386" max="5386" width="5.5546875" style="27" customWidth="1"/>
    <col min="5387" max="5387" width="9.44140625" style="27" customWidth="1"/>
    <col min="5388" max="5388" width="4.44140625" style="27" customWidth="1"/>
    <col min="5389" max="5389" width="39.88671875" style="27" customWidth="1"/>
    <col min="5390" max="5390" width="10.88671875" style="27" customWidth="1"/>
    <col min="5391" max="5391" width="10.44140625" style="27" customWidth="1"/>
    <col min="5392" max="5392" width="6.33203125" style="27" customWidth="1"/>
    <col min="5393" max="5393" width="14.88671875" style="27" customWidth="1"/>
    <col min="5394" max="5395" width="11.44140625" style="27" customWidth="1"/>
    <col min="5396" max="5398" width="8" style="27" customWidth="1"/>
    <col min="5399" max="5399" width="33.6640625" style="27" customWidth="1"/>
    <col min="5400" max="5400" width="38.5546875" style="27" customWidth="1"/>
    <col min="5401" max="5401" width="15.109375" style="27" customWidth="1"/>
    <col min="5402" max="5402" width="10.88671875" style="27" customWidth="1"/>
    <col min="5403" max="5404" width="6.88671875" style="27" customWidth="1"/>
    <col min="5405" max="5405" width="15.33203125" style="27" customWidth="1"/>
    <col min="5406" max="5406" width="13.6640625" style="27" customWidth="1"/>
    <col min="5407" max="5407" width="13.33203125" style="27" customWidth="1"/>
    <col min="5408" max="5408" width="15.44140625" style="27" customWidth="1"/>
    <col min="5409" max="5409" width="14.6640625" style="27" customWidth="1"/>
    <col min="5410" max="5410" width="14.5546875" style="27" customWidth="1"/>
    <col min="5411" max="5411" width="12.88671875" style="27" customWidth="1"/>
    <col min="5412" max="5412" width="14.6640625" style="27" customWidth="1"/>
    <col min="5413" max="5413" width="10.88671875" style="27" customWidth="1"/>
    <col min="5414" max="5414" width="15.44140625" style="27" customWidth="1"/>
    <col min="5415" max="5415" width="13" style="27" customWidth="1"/>
    <col min="5416" max="5416" width="13.88671875" style="27" customWidth="1"/>
    <col min="5417" max="5417" width="10.109375" style="27" customWidth="1"/>
    <col min="5418" max="5418" width="14.33203125" style="27" customWidth="1"/>
    <col min="5419" max="5419" width="13.6640625" style="27" customWidth="1"/>
    <col min="5420" max="5420" width="12" style="27" customWidth="1"/>
    <col min="5421" max="5421" width="15.44140625" style="27" customWidth="1"/>
    <col min="5422" max="5422" width="12.109375" style="27" customWidth="1"/>
    <col min="5423" max="5423" width="13.5546875" style="27" customWidth="1"/>
    <col min="5424" max="5424" width="14.5546875" style="27" customWidth="1"/>
    <col min="5425" max="5425" width="14.88671875" style="27" customWidth="1"/>
    <col min="5426" max="5426" width="15.88671875" style="27" customWidth="1"/>
    <col min="5427" max="5427" width="17.33203125" style="27" customWidth="1"/>
    <col min="5428" max="5428" width="15.44140625" style="27" customWidth="1"/>
    <col min="5429" max="5429" width="12.33203125" style="27" customWidth="1"/>
    <col min="5430" max="5430" width="15.5546875" style="27" customWidth="1"/>
    <col min="5431" max="5431" width="19" style="27" customWidth="1"/>
    <col min="5432" max="5432" width="16.109375" style="27" customWidth="1"/>
    <col min="5433" max="5433" width="15" style="27" customWidth="1"/>
    <col min="5434" max="5434" width="13.6640625" style="27" customWidth="1"/>
    <col min="5435" max="5436" width="8" style="27" customWidth="1"/>
    <col min="5437" max="5437" width="11.44140625" style="27" customWidth="1"/>
    <col min="5438" max="5438" width="16.6640625" style="27" customWidth="1"/>
    <col min="5439" max="5439" width="8.44140625" style="27" customWidth="1"/>
    <col min="5440" max="5440" width="8" style="27" customWidth="1"/>
    <col min="5441" max="5441" width="10.33203125" style="27" customWidth="1"/>
    <col min="5442" max="5442" width="8.6640625" style="27" customWidth="1"/>
    <col min="5443" max="5443" width="8" style="27" customWidth="1"/>
    <col min="5444" max="5444" width="10.33203125" style="27" bestFit="1" customWidth="1"/>
    <col min="5445" max="5445" width="8.109375" style="27" bestFit="1" customWidth="1"/>
    <col min="5446" max="5446" width="12.109375" style="27" customWidth="1"/>
    <col min="5447" max="5447" width="8.109375" style="27" bestFit="1" customWidth="1"/>
    <col min="5448" max="5448" width="9.44140625" style="27" bestFit="1" customWidth="1"/>
    <col min="5449" max="5449" width="8.109375" style="27" bestFit="1" customWidth="1"/>
    <col min="5450" max="5450" width="9.44140625" style="27" bestFit="1" customWidth="1"/>
    <col min="5451" max="5451" width="8.109375" style="27" bestFit="1" customWidth="1"/>
    <col min="5452" max="5452" width="9.44140625" style="27" bestFit="1" customWidth="1"/>
    <col min="5453" max="5453" width="8.109375" style="27" bestFit="1" customWidth="1"/>
    <col min="5454" max="5454" width="9.44140625" style="27" bestFit="1" customWidth="1"/>
    <col min="5455" max="5455" width="8.109375" style="27" bestFit="1" customWidth="1"/>
    <col min="5456" max="5456" width="9.109375" style="27"/>
    <col min="5457" max="5457" width="8.109375" style="27" bestFit="1" customWidth="1"/>
    <col min="5458" max="5458" width="9.109375" style="27"/>
    <col min="5459" max="5461" width="8.109375" style="27" bestFit="1" customWidth="1"/>
    <col min="5462" max="5462" width="9.44140625" style="27" bestFit="1" customWidth="1"/>
    <col min="5463" max="5463" width="8.109375" style="27" bestFit="1" customWidth="1"/>
    <col min="5464" max="5464" width="10.33203125" style="27" bestFit="1" customWidth="1"/>
    <col min="5465" max="5632" width="9.109375" style="27"/>
    <col min="5633" max="5633" width="9.5546875" style="27" customWidth="1"/>
    <col min="5634" max="5635" width="6.6640625" style="27" customWidth="1"/>
    <col min="5636" max="5636" width="10.33203125" style="27" customWidth="1"/>
    <col min="5637" max="5637" width="8.33203125" style="27" customWidth="1"/>
    <col min="5638" max="5638" width="8" style="27" customWidth="1"/>
    <col min="5639" max="5639" width="18.33203125" style="27" customWidth="1"/>
    <col min="5640" max="5640" width="7" style="27" customWidth="1"/>
    <col min="5641" max="5641" width="9.109375" style="27" customWidth="1"/>
    <col min="5642" max="5642" width="5.5546875" style="27" customWidth="1"/>
    <col min="5643" max="5643" width="9.44140625" style="27" customWidth="1"/>
    <col min="5644" max="5644" width="4.44140625" style="27" customWidth="1"/>
    <col min="5645" max="5645" width="39.88671875" style="27" customWidth="1"/>
    <col min="5646" max="5646" width="10.88671875" style="27" customWidth="1"/>
    <col min="5647" max="5647" width="10.44140625" style="27" customWidth="1"/>
    <col min="5648" max="5648" width="6.33203125" style="27" customWidth="1"/>
    <col min="5649" max="5649" width="14.88671875" style="27" customWidth="1"/>
    <col min="5650" max="5651" width="11.44140625" style="27" customWidth="1"/>
    <col min="5652" max="5654" width="8" style="27" customWidth="1"/>
    <col min="5655" max="5655" width="33.6640625" style="27" customWidth="1"/>
    <col min="5656" max="5656" width="38.5546875" style="27" customWidth="1"/>
    <col min="5657" max="5657" width="15.109375" style="27" customWidth="1"/>
    <col min="5658" max="5658" width="10.88671875" style="27" customWidth="1"/>
    <col min="5659" max="5660" width="6.88671875" style="27" customWidth="1"/>
    <col min="5661" max="5661" width="15.33203125" style="27" customWidth="1"/>
    <col min="5662" max="5662" width="13.6640625" style="27" customWidth="1"/>
    <col min="5663" max="5663" width="13.33203125" style="27" customWidth="1"/>
    <col min="5664" max="5664" width="15.44140625" style="27" customWidth="1"/>
    <col min="5665" max="5665" width="14.6640625" style="27" customWidth="1"/>
    <col min="5666" max="5666" width="14.5546875" style="27" customWidth="1"/>
    <col min="5667" max="5667" width="12.88671875" style="27" customWidth="1"/>
    <col min="5668" max="5668" width="14.6640625" style="27" customWidth="1"/>
    <col min="5669" max="5669" width="10.88671875" style="27" customWidth="1"/>
    <col min="5670" max="5670" width="15.44140625" style="27" customWidth="1"/>
    <col min="5671" max="5671" width="13" style="27" customWidth="1"/>
    <col min="5672" max="5672" width="13.88671875" style="27" customWidth="1"/>
    <col min="5673" max="5673" width="10.109375" style="27" customWidth="1"/>
    <col min="5674" max="5674" width="14.33203125" style="27" customWidth="1"/>
    <col min="5675" max="5675" width="13.6640625" style="27" customWidth="1"/>
    <col min="5676" max="5676" width="12" style="27" customWidth="1"/>
    <col min="5677" max="5677" width="15.44140625" style="27" customWidth="1"/>
    <col min="5678" max="5678" width="12.109375" style="27" customWidth="1"/>
    <col min="5679" max="5679" width="13.5546875" style="27" customWidth="1"/>
    <col min="5680" max="5680" width="14.5546875" style="27" customWidth="1"/>
    <col min="5681" max="5681" width="14.88671875" style="27" customWidth="1"/>
    <col min="5682" max="5682" width="15.88671875" style="27" customWidth="1"/>
    <col min="5683" max="5683" width="17.33203125" style="27" customWidth="1"/>
    <col min="5684" max="5684" width="15.44140625" style="27" customWidth="1"/>
    <col min="5685" max="5685" width="12.33203125" style="27" customWidth="1"/>
    <col min="5686" max="5686" width="15.5546875" style="27" customWidth="1"/>
    <col min="5687" max="5687" width="19" style="27" customWidth="1"/>
    <col min="5688" max="5688" width="16.109375" style="27" customWidth="1"/>
    <col min="5689" max="5689" width="15" style="27" customWidth="1"/>
    <col min="5690" max="5690" width="13.6640625" style="27" customWidth="1"/>
    <col min="5691" max="5692" width="8" style="27" customWidth="1"/>
    <col min="5693" max="5693" width="11.44140625" style="27" customWidth="1"/>
    <col min="5694" max="5694" width="16.6640625" style="27" customWidth="1"/>
    <col min="5695" max="5695" width="8.44140625" style="27" customWidth="1"/>
    <col min="5696" max="5696" width="8" style="27" customWidth="1"/>
    <col min="5697" max="5697" width="10.33203125" style="27" customWidth="1"/>
    <col min="5698" max="5698" width="8.6640625" style="27" customWidth="1"/>
    <col min="5699" max="5699" width="8" style="27" customWidth="1"/>
    <col min="5700" max="5700" width="10.33203125" style="27" bestFit="1" customWidth="1"/>
    <col min="5701" max="5701" width="8.109375" style="27" bestFit="1" customWidth="1"/>
    <col min="5702" max="5702" width="12.109375" style="27" customWidth="1"/>
    <col min="5703" max="5703" width="8.109375" style="27" bestFit="1" customWidth="1"/>
    <col min="5704" max="5704" width="9.44140625" style="27" bestFit="1" customWidth="1"/>
    <col min="5705" max="5705" width="8.109375" style="27" bestFit="1" customWidth="1"/>
    <col min="5706" max="5706" width="9.44140625" style="27" bestFit="1" customWidth="1"/>
    <col min="5707" max="5707" width="8.109375" style="27" bestFit="1" customWidth="1"/>
    <col min="5708" max="5708" width="9.44140625" style="27" bestFit="1" customWidth="1"/>
    <col min="5709" max="5709" width="8.109375" style="27" bestFit="1" customWidth="1"/>
    <col min="5710" max="5710" width="9.44140625" style="27" bestFit="1" customWidth="1"/>
    <col min="5711" max="5711" width="8.109375" style="27" bestFit="1" customWidth="1"/>
    <col min="5712" max="5712" width="9.109375" style="27"/>
    <col min="5713" max="5713" width="8.109375" style="27" bestFit="1" customWidth="1"/>
    <col min="5714" max="5714" width="9.109375" style="27"/>
    <col min="5715" max="5717" width="8.109375" style="27" bestFit="1" customWidth="1"/>
    <col min="5718" max="5718" width="9.44140625" style="27" bestFit="1" customWidth="1"/>
    <col min="5719" max="5719" width="8.109375" style="27" bestFit="1" customWidth="1"/>
    <col min="5720" max="5720" width="10.33203125" style="27" bestFit="1" customWidth="1"/>
    <col min="5721" max="5888" width="9.109375" style="27"/>
    <col min="5889" max="5889" width="9.5546875" style="27" customWidth="1"/>
    <col min="5890" max="5891" width="6.6640625" style="27" customWidth="1"/>
    <col min="5892" max="5892" width="10.33203125" style="27" customWidth="1"/>
    <col min="5893" max="5893" width="8.33203125" style="27" customWidth="1"/>
    <col min="5894" max="5894" width="8" style="27" customWidth="1"/>
    <col min="5895" max="5895" width="18.33203125" style="27" customWidth="1"/>
    <col min="5896" max="5896" width="7" style="27" customWidth="1"/>
    <col min="5897" max="5897" width="9.109375" style="27" customWidth="1"/>
    <col min="5898" max="5898" width="5.5546875" style="27" customWidth="1"/>
    <col min="5899" max="5899" width="9.44140625" style="27" customWidth="1"/>
    <col min="5900" max="5900" width="4.44140625" style="27" customWidth="1"/>
    <col min="5901" max="5901" width="39.88671875" style="27" customWidth="1"/>
    <col min="5902" max="5902" width="10.88671875" style="27" customWidth="1"/>
    <col min="5903" max="5903" width="10.44140625" style="27" customWidth="1"/>
    <col min="5904" max="5904" width="6.33203125" style="27" customWidth="1"/>
    <col min="5905" max="5905" width="14.88671875" style="27" customWidth="1"/>
    <col min="5906" max="5907" width="11.44140625" style="27" customWidth="1"/>
    <col min="5908" max="5910" width="8" style="27" customWidth="1"/>
    <col min="5911" max="5911" width="33.6640625" style="27" customWidth="1"/>
    <col min="5912" max="5912" width="38.5546875" style="27" customWidth="1"/>
    <col min="5913" max="5913" width="15.109375" style="27" customWidth="1"/>
    <col min="5914" max="5914" width="10.88671875" style="27" customWidth="1"/>
    <col min="5915" max="5916" width="6.88671875" style="27" customWidth="1"/>
    <col min="5917" max="5917" width="15.33203125" style="27" customWidth="1"/>
    <col min="5918" max="5918" width="13.6640625" style="27" customWidth="1"/>
    <col min="5919" max="5919" width="13.33203125" style="27" customWidth="1"/>
    <col min="5920" max="5920" width="15.44140625" style="27" customWidth="1"/>
    <col min="5921" max="5921" width="14.6640625" style="27" customWidth="1"/>
    <col min="5922" max="5922" width="14.5546875" style="27" customWidth="1"/>
    <col min="5923" max="5923" width="12.88671875" style="27" customWidth="1"/>
    <col min="5924" max="5924" width="14.6640625" style="27" customWidth="1"/>
    <col min="5925" max="5925" width="10.88671875" style="27" customWidth="1"/>
    <col min="5926" max="5926" width="15.44140625" style="27" customWidth="1"/>
    <col min="5927" max="5927" width="13" style="27" customWidth="1"/>
    <col min="5928" max="5928" width="13.88671875" style="27" customWidth="1"/>
    <col min="5929" max="5929" width="10.109375" style="27" customWidth="1"/>
    <col min="5930" max="5930" width="14.33203125" style="27" customWidth="1"/>
    <col min="5931" max="5931" width="13.6640625" style="27" customWidth="1"/>
    <col min="5932" max="5932" width="12" style="27" customWidth="1"/>
    <col min="5933" max="5933" width="15.44140625" style="27" customWidth="1"/>
    <col min="5934" max="5934" width="12.109375" style="27" customWidth="1"/>
    <col min="5935" max="5935" width="13.5546875" style="27" customWidth="1"/>
    <col min="5936" max="5936" width="14.5546875" style="27" customWidth="1"/>
    <col min="5937" max="5937" width="14.88671875" style="27" customWidth="1"/>
    <col min="5938" max="5938" width="15.88671875" style="27" customWidth="1"/>
    <col min="5939" max="5939" width="17.33203125" style="27" customWidth="1"/>
    <col min="5940" max="5940" width="15.44140625" style="27" customWidth="1"/>
    <col min="5941" max="5941" width="12.33203125" style="27" customWidth="1"/>
    <col min="5942" max="5942" width="15.5546875" style="27" customWidth="1"/>
    <col min="5943" max="5943" width="19" style="27" customWidth="1"/>
    <col min="5944" max="5944" width="16.109375" style="27" customWidth="1"/>
    <col min="5945" max="5945" width="15" style="27" customWidth="1"/>
    <col min="5946" max="5946" width="13.6640625" style="27" customWidth="1"/>
    <col min="5947" max="5948" width="8" style="27" customWidth="1"/>
    <col min="5949" max="5949" width="11.44140625" style="27" customWidth="1"/>
    <col min="5950" max="5950" width="16.6640625" style="27" customWidth="1"/>
    <col min="5951" max="5951" width="8.44140625" style="27" customWidth="1"/>
    <col min="5952" max="5952" width="8" style="27" customWidth="1"/>
    <col min="5953" max="5953" width="10.33203125" style="27" customWidth="1"/>
    <col min="5954" max="5954" width="8.6640625" style="27" customWidth="1"/>
    <col min="5955" max="5955" width="8" style="27" customWidth="1"/>
    <col min="5956" max="5956" width="10.33203125" style="27" bestFit="1" customWidth="1"/>
    <col min="5957" max="5957" width="8.109375" style="27" bestFit="1" customWidth="1"/>
    <col min="5958" max="5958" width="12.109375" style="27" customWidth="1"/>
    <col min="5959" max="5959" width="8.109375" style="27" bestFit="1" customWidth="1"/>
    <col min="5960" max="5960" width="9.44140625" style="27" bestFit="1" customWidth="1"/>
    <col min="5961" max="5961" width="8.109375" style="27" bestFit="1" customWidth="1"/>
    <col min="5962" max="5962" width="9.44140625" style="27" bestFit="1" customWidth="1"/>
    <col min="5963" max="5963" width="8.109375" style="27" bestFit="1" customWidth="1"/>
    <col min="5964" max="5964" width="9.44140625" style="27" bestFit="1" customWidth="1"/>
    <col min="5965" max="5965" width="8.109375" style="27" bestFit="1" customWidth="1"/>
    <col min="5966" max="5966" width="9.44140625" style="27" bestFit="1" customWidth="1"/>
    <col min="5967" max="5967" width="8.109375" style="27" bestFit="1" customWidth="1"/>
    <col min="5968" max="5968" width="9.109375" style="27"/>
    <col min="5969" max="5969" width="8.109375" style="27" bestFit="1" customWidth="1"/>
    <col min="5970" max="5970" width="9.109375" style="27"/>
    <col min="5971" max="5973" width="8.109375" style="27" bestFit="1" customWidth="1"/>
    <col min="5974" max="5974" width="9.44140625" style="27" bestFit="1" customWidth="1"/>
    <col min="5975" max="5975" width="8.109375" style="27" bestFit="1" customWidth="1"/>
    <col min="5976" max="5976" width="10.33203125" style="27" bestFit="1" customWidth="1"/>
    <col min="5977" max="6144" width="9.109375" style="27"/>
    <col min="6145" max="6145" width="9.5546875" style="27" customWidth="1"/>
    <col min="6146" max="6147" width="6.6640625" style="27" customWidth="1"/>
    <col min="6148" max="6148" width="10.33203125" style="27" customWidth="1"/>
    <col min="6149" max="6149" width="8.33203125" style="27" customWidth="1"/>
    <col min="6150" max="6150" width="8" style="27" customWidth="1"/>
    <col min="6151" max="6151" width="18.33203125" style="27" customWidth="1"/>
    <col min="6152" max="6152" width="7" style="27" customWidth="1"/>
    <col min="6153" max="6153" width="9.109375" style="27" customWidth="1"/>
    <col min="6154" max="6154" width="5.5546875" style="27" customWidth="1"/>
    <col min="6155" max="6155" width="9.44140625" style="27" customWidth="1"/>
    <col min="6156" max="6156" width="4.44140625" style="27" customWidth="1"/>
    <col min="6157" max="6157" width="39.88671875" style="27" customWidth="1"/>
    <col min="6158" max="6158" width="10.88671875" style="27" customWidth="1"/>
    <col min="6159" max="6159" width="10.44140625" style="27" customWidth="1"/>
    <col min="6160" max="6160" width="6.33203125" style="27" customWidth="1"/>
    <col min="6161" max="6161" width="14.88671875" style="27" customWidth="1"/>
    <col min="6162" max="6163" width="11.44140625" style="27" customWidth="1"/>
    <col min="6164" max="6166" width="8" style="27" customWidth="1"/>
    <col min="6167" max="6167" width="33.6640625" style="27" customWidth="1"/>
    <col min="6168" max="6168" width="38.5546875" style="27" customWidth="1"/>
    <col min="6169" max="6169" width="15.109375" style="27" customWidth="1"/>
    <col min="6170" max="6170" width="10.88671875" style="27" customWidth="1"/>
    <col min="6171" max="6172" width="6.88671875" style="27" customWidth="1"/>
    <col min="6173" max="6173" width="15.33203125" style="27" customWidth="1"/>
    <col min="6174" max="6174" width="13.6640625" style="27" customWidth="1"/>
    <col min="6175" max="6175" width="13.33203125" style="27" customWidth="1"/>
    <col min="6176" max="6176" width="15.44140625" style="27" customWidth="1"/>
    <col min="6177" max="6177" width="14.6640625" style="27" customWidth="1"/>
    <col min="6178" max="6178" width="14.5546875" style="27" customWidth="1"/>
    <col min="6179" max="6179" width="12.88671875" style="27" customWidth="1"/>
    <col min="6180" max="6180" width="14.6640625" style="27" customWidth="1"/>
    <col min="6181" max="6181" width="10.88671875" style="27" customWidth="1"/>
    <col min="6182" max="6182" width="15.44140625" style="27" customWidth="1"/>
    <col min="6183" max="6183" width="13" style="27" customWidth="1"/>
    <col min="6184" max="6184" width="13.88671875" style="27" customWidth="1"/>
    <col min="6185" max="6185" width="10.109375" style="27" customWidth="1"/>
    <col min="6186" max="6186" width="14.33203125" style="27" customWidth="1"/>
    <col min="6187" max="6187" width="13.6640625" style="27" customWidth="1"/>
    <col min="6188" max="6188" width="12" style="27" customWidth="1"/>
    <col min="6189" max="6189" width="15.44140625" style="27" customWidth="1"/>
    <col min="6190" max="6190" width="12.109375" style="27" customWidth="1"/>
    <col min="6191" max="6191" width="13.5546875" style="27" customWidth="1"/>
    <col min="6192" max="6192" width="14.5546875" style="27" customWidth="1"/>
    <col min="6193" max="6193" width="14.88671875" style="27" customWidth="1"/>
    <col min="6194" max="6194" width="15.88671875" style="27" customWidth="1"/>
    <col min="6195" max="6195" width="17.33203125" style="27" customWidth="1"/>
    <col min="6196" max="6196" width="15.44140625" style="27" customWidth="1"/>
    <col min="6197" max="6197" width="12.33203125" style="27" customWidth="1"/>
    <col min="6198" max="6198" width="15.5546875" style="27" customWidth="1"/>
    <col min="6199" max="6199" width="19" style="27" customWidth="1"/>
    <col min="6200" max="6200" width="16.109375" style="27" customWidth="1"/>
    <col min="6201" max="6201" width="15" style="27" customWidth="1"/>
    <col min="6202" max="6202" width="13.6640625" style="27" customWidth="1"/>
    <col min="6203" max="6204" width="8" style="27" customWidth="1"/>
    <col min="6205" max="6205" width="11.44140625" style="27" customWidth="1"/>
    <col min="6206" max="6206" width="16.6640625" style="27" customWidth="1"/>
    <col min="6207" max="6207" width="8.44140625" style="27" customWidth="1"/>
    <col min="6208" max="6208" width="8" style="27" customWidth="1"/>
    <col min="6209" max="6209" width="10.33203125" style="27" customWidth="1"/>
    <col min="6210" max="6210" width="8.6640625" style="27" customWidth="1"/>
    <col min="6211" max="6211" width="8" style="27" customWidth="1"/>
    <col min="6212" max="6212" width="10.33203125" style="27" bestFit="1" customWidth="1"/>
    <col min="6213" max="6213" width="8.109375" style="27" bestFit="1" customWidth="1"/>
    <col min="6214" max="6214" width="12.109375" style="27" customWidth="1"/>
    <col min="6215" max="6215" width="8.109375" style="27" bestFit="1" customWidth="1"/>
    <col min="6216" max="6216" width="9.44140625" style="27" bestFit="1" customWidth="1"/>
    <col min="6217" max="6217" width="8.109375" style="27" bestFit="1" customWidth="1"/>
    <col min="6218" max="6218" width="9.44140625" style="27" bestFit="1" customWidth="1"/>
    <col min="6219" max="6219" width="8.109375" style="27" bestFit="1" customWidth="1"/>
    <col min="6220" max="6220" width="9.44140625" style="27" bestFit="1" customWidth="1"/>
    <col min="6221" max="6221" width="8.109375" style="27" bestFit="1" customWidth="1"/>
    <col min="6222" max="6222" width="9.44140625" style="27" bestFit="1" customWidth="1"/>
    <col min="6223" max="6223" width="8.109375" style="27" bestFit="1" customWidth="1"/>
    <col min="6224" max="6224" width="9.109375" style="27"/>
    <col min="6225" max="6225" width="8.109375" style="27" bestFit="1" customWidth="1"/>
    <col min="6226" max="6226" width="9.109375" style="27"/>
    <col min="6227" max="6229" width="8.109375" style="27" bestFit="1" customWidth="1"/>
    <col min="6230" max="6230" width="9.44140625" style="27" bestFit="1" customWidth="1"/>
    <col min="6231" max="6231" width="8.109375" style="27" bestFit="1" customWidth="1"/>
    <col min="6232" max="6232" width="10.33203125" style="27" bestFit="1" customWidth="1"/>
    <col min="6233" max="6400" width="9.109375" style="27"/>
    <col min="6401" max="6401" width="9.5546875" style="27" customWidth="1"/>
    <col min="6402" max="6403" width="6.6640625" style="27" customWidth="1"/>
    <col min="6404" max="6404" width="10.33203125" style="27" customWidth="1"/>
    <col min="6405" max="6405" width="8.33203125" style="27" customWidth="1"/>
    <col min="6406" max="6406" width="8" style="27" customWidth="1"/>
    <col min="6407" max="6407" width="18.33203125" style="27" customWidth="1"/>
    <col min="6408" max="6408" width="7" style="27" customWidth="1"/>
    <col min="6409" max="6409" width="9.109375" style="27" customWidth="1"/>
    <col min="6410" max="6410" width="5.5546875" style="27" customWidth="1"/>
    <col min="6411" max="6411" width="9.44140625" style="27" customWidth="1"/>
    <col min="6412" max="6412" width="4.44140625" style="27" customWidth="1"/>
    <col min="6413" max="6413" width="39.88671875" style="27" customWidth="1"/>
    <col min="6414" max="6414" width="10.88671875" style="27" customWidth="1"/>
    <col min="6415" max="6415" width="10.44140625" style="27" customWidth="1"/>
    <col min="6416" max="6416" width="6.33203125" style="27" customWidth="1"/>
    <col min="6417" max="6417" width="14.88671875" style="27" customWidth="1"/>
    <col min="6418" max="6419" width="11.44140625" style="27" customWidth="1"/>
    <col min="6420" max="6422" width="8" style="27" customWidth="1"/>
    <col min="6423" max="6423" width="33.6640625" style="27" customWidth="1"/>
    <col min="6424" max="6424" width="38.5546875" style="27" customWidth="1"/>
    <col min="6425" max="6425" width="15.109375" style="27" customWidth="1"/>
    <col min="6426" max="6426" width="10.88671875" style="27" customWidth="1"/>
    <col min="6427" max="6428" width="6.88671875" style="27" customWidth="1"/>
    <col min="6429" max="6429" width="15.33203125" style="27" customWidth="1"/>
    <col min="6430" max="6430" width="13.6640625" style="27" customWidth="1"/>
    <col min="6431" max="6431" width="13.33203125" style="27" customWidth="1"/>
    <col min="6432" max="6432" width="15.44140625" style="27" customWidth="1"/>
    <col min="6433" max="6433" width="14.6640625" style="27" customWidth="1"/>
    <col min="6434" max="6434" width="14.5546875" style="27" customWidth="1"/>
    <col min="6435" max="6435" width="12.88671875" style="27" customWidth="1"/>
    <col min="6436" max="6436" width="14.6640625" style="27" customWidth="1"/>
    <col min="6437" max="6437" width="10.88671875" style="27" customWidth="1"/>
    <col min="6438" max="6438" width="15.44140625" style="27" customWidth="1"/>
    <col min="6439" max="6439" width="13" style="27" customWidth="1"/>
    <col min="6440" max="6440" width="13.88671875" style="27" customWidth="1"/>
    <col min="6441" max="6441" width="10.109375" style="27" customWidth="1"/>
    <col min="6442" max="6442" width="14.33203125" style="27" customWidth="1"/>
    <col min="6443" max="6443" width="13.6640625" style="27" customWidth="1"/>
    <col min="6444" max="6444" width="12" style="27" customWidth="1"/>
    <col min="6445" max="6445" width="15.44140625" style="27" customWidth="1"/>
    <col min="6446" max="6446" width="12.109375" style="27" customWidth="1"/>
    <col min="6447" max="6447" width="13.5546875" style="27" customWidth="1"/>
    <col min="6448" max="6448" width="14.5546875" style="27" customWidth="1"/>
    <col min="6449" max="6449" width="14.88671875" style="27" customWidth="1"/>
    <col min="6450" max="6450" width="15.88671875" style="27" customWidth="1"/>
    <col min="6451" max="6451" width="17.33203125" style="27" customWidth="1"/>
    <col min="6452" max="6452" width="15.44140625" style="27" customWidth="1"/>
    <col min="6453" max="6453" width="12.33203125" style="27" customWidth="1"/>
    <col min="6454" max="6454" width="15.5546875" style="27" customWidth="1"/>
    <col min="6455" max="6455" width="19" style="27" customWidth="1"/>
    <col min="6456" max="6456" width="16.109375" style="27" customWidth="1"/>
    <col min="6457" max="6457" width="15" style="27" customWidth="1"/>
    <col min="6458" max="6458" width="13.6640625" style="27" customWidth="1"/>
    <col min="6459" max="6460" width="8" style="27" customWidth="1"/>
    <col min="6461" max="6461" width="11.44140625" style="27" customWidth="1"/>
    <col min="6462" max="6462" width="16.6640625" style="27" customWidth="1"/>
    <col min="6463" max="6463" width="8.44140625" style="27" customWidth="1"/>
    <col min="6464" max="6464" width="8" style="27" customWidth="1"/>
    <col min="6465" max="6465" width="10.33203125" style="27" customWidth="1"/>
    <col min="6466" max="6466" width="8.6640625" style="27" customWidth="1"/>
    <col min="6467" max="6467" width="8" style="27" customWidth="1"/>
    <col min="6468" max="6468" width="10.33203125" style="27" bestFit="1" customWidth="1"/>
    <col min="6469" max="6469" width="8.109375" style="27" bestFit="1" customWidth="1"/>
    <col min="6470" max="6470" width="12.109375" style="27" customWidth="1"/>
    <col min="6471" max="6471" width="8.109375" style="27" bestFit="1" customWidth="1"/>
    <col min="6472" max="6472" width="9.44140625" style="27" bestFit="1" customWidth="1"/>
    <col min="6473" max="6473" width="8.109375" style="27" bestFit="1" customWidth="1"/>
    <col min="6474" max="6474" width="9.44140625" style="27" bestFit="1" customWidth="1"/>
    <col min="6475" max="6475" width="8.109375" style="27" bestFit="1" customWidth="1"/>
    <col min="6476" max="6476" width="9.44140625" style="27" bestFit="1" customWidth="1"/>
    <col min="6477" max="6477" width="8.109375" style="27" bestFit="1" customWidth="1"/>
    <col min="6478" max="6478" width="9.44140625" style="27" bestFit="1" customWidth="1"/>
    <col min="6479" max="6479" width="8.109375" style="27" bestFit="1" customWidth="1"/>
    <col min="6480" max="6480" width="9.109375" style="27"/>
    <col min="6481" max="6481" width="8.109375" style="27" bestFit="1" customWidth="1"/>
    <col min="6482" max="6482" width="9.109375" style="27"/>
    <col min="6483" max="6485" width="8.109375" style="27" bestFit="1" customWidth="1"/>
    <col min="6486" max="6486" width="9.44140625" style="27" bestFit="1" customWidth="1"/>
    <col min="6487" max="6487" width="8.109375" style="27" bestFit="1" customWidth="1"/>
    <col min="6488" max="6488" width="10.33203125" style="27" bestFit="1" customWidth="1"/>
    <col min="6489" max="6656" width="9.109375" style="27"/>
    <col min="6657" max="6657" width="9.5546875" style="27" customWidth="1"/>
    <col min="6658" max="6659" width="6.6640625" style="27" customWidth="1"/>
    <col min="6660" max="6660" width="10.33203125" style="27" customWidth="1"/>
    <col min="6661" max="6661" width="8.33203125" style="27" customWidth="1"/>
    <col min="6662" max="6662" width="8" style="27" customWidth="1"/>
    <col min="6663" max="6663" width="18.33203125" style="27" customWidth="1"/>
    <col min="6664" max="6664" width="7" style="27" customWidth="1"/>
    <col min="6665" max="6665" width="9.109375" style="27" customWidth="1"/>
    <col min="6666" max="6666" width="5.5546875" style="27" customWidth="1"/>
    <col min="6667" max="6667" width="9.44140625" style="27" customWidth="1"/>
    <col min="6668" max="6668" width="4.44140625" style="27" customWidth="1"/>
    <col min="6669" max="6669" width="39.88671875" style="27" customWidth="1"/>
    <col min="6670" max="6670" width="10.88671875" style="27" customWidth="1"/>
    <col min="6671" max="6671" width="10.44140625" style="27" customWidth="1"/>
    <col min="6672" max="6672" width="6.33203125" style="27" customWidth="1"/>
    <col min="6673" max="6673" width="14.88671875" style="27" customWidth="1"/>
    <col min="6674" max="6675" width="11.44140625" style="27" customWidth="1"/>
    <col min="6676" max="6678" width="8" style="27" customWidth="1"/>
    <col min="6679" max="6679" width="33.6640625" style="27" customWidth="1"/>
    <col min="6680" max="6680" width="38.5546875" style="27" customWidth="1"/>
    <col min="6681" max="6681" width="15.109375" style="27" customWidth="1"/>
    <col min="6682" max="6682" width="10.88671875" style="27" customWidth="1"/>
    <col min="6683" max="6684" width="6.88671875" style="27" customWidth="1"/>
    <col min="6685" max="6685" width="15.33203125" style="27" customWidth="1"/>
    <col min="6686" max="6686" width="13.6640625" style="27" customWidth="1"/>
    <col min="6687" max="6687" width="13.33203125" style="27" customWidth="1"/>
    <col min="6688" max="6688" width="15.44140625" style="27" customWidth="1"/>
    <col min="6689" max="6689" width="14.6640625" style="27" customWidth="1"/>
    <col min="6690" max="6690" width="14.5546875" style="27" customWidth="1"/>
    <col min="6691" max="6691" width="12.88671875" style="27" customWidth="1"/>
    <col min="6692" max="6692" width="14.6640625" style="27" customWidth="1"/>
    <col min="6693" max="6693" width="10.88671875" style="27" customWidth="1"/>
    <col min="6694" max="6694" width="15.44140625" style="27" customWidth="1"/>
    <col min="6695" max="6695" width="13" style="27" customWidth="1"/>
    <col min="6696" max="6696" width="13.88671875" style="27" customWidth="1"/>
    <col min="6697" max="6697" width="10.109375" style="27" customWidth="1"/>
    <col min="6698" max="6698" width="14.33203125" style="27" customWidth="1"/>
    <col min="6699" max="6699" width="13.6640625" style="27" customWidth="1"/>
    <col min="6700" max="6700" width="12" style="27" customWidth="1"/>
    <col min="6701" max="6701" width="15.44140625" style="27" customWidth="1"/>
    <col min="6702" max="6702" width="12.109375" style="27" customWidth="1"/>
    <col min="6703" max="6703" width="13.5546875" style="27" customWidth="1"/>
    <col min="6704" max="6704" width="14.5546875" style="27" customWidth="1"/>
    <col min="6705" max="6705" width="14.88671875" style="27" customWidth="1"/>
    <col min="6706" max="6706" width="15.88671875" style="27" customWidth="1"/>
    <col min="6707" max="6707" width="17.33203125" style="27" customWidth="1"/>
    <col min="6708" max="6708" width="15.44140625" style="27" customWidth="1"/>
    <col min="6709" max="6709" width="12.33203125" style="27" customWidth="1"/>
    <col min="6710" max="6710" width="15.5546875" style="27" customWidth="1"/>
    <col min="6711" max="6711" width="19" style="27" customWidth="1"/>
    <col min="6712" max="6712" width="16.109375" style="27" customWidth="1"/>
    <col min="6713" max="6713" width="15" style="27" customWidth="1"/>
    <col min="6714" max="6714" width="13.6640625" style="27" customWidth="1"/>
    <col min="6715" max="6716" width="8" style="27" customWidth="1"/>
    <col min="6717" max="6717" width="11.44140625" style="27" customWidth="1"/>
    <col min="6718" max="6718" width="16.6640625" style="27" customWidth="1"/>
    <col min="6719" max="6719" width="8.44140625" style="27" customWidth="1"/>
    <col min="6720" max="6720" width="8" style="27" customWidth="1"/>
    <col min="6721" max="6721" width="10.33203125" style="27" customWidth="1"/>
    <col min="6722" max="6722" width="8.6640625" style="27" customWidth="1"/>
    <col min="6723" max="6723" width="8" style="27" customWidth="1"/>
    <col min="6724" max="6724" width="10.33203125" style="27" bestFit="1" customWidth="1"/>
    <col min="6725" max="6725" width="8.109375" style="27" bestFit="1" customWidth="1"/>
    <col min="6726" max="6726" width="12.109375" style="27" customWidth="1"/>
    <col min="6727" max="6727" width="8.109375" style="27" bestFit="1" customWidth="1"/>
    <col min="6728" max="6728" width="9.44140625" style="27" bestFit="1" customWidth="1"/>
    <col min="6729" max="6729" width="8.109375" style="27" bestFit="1" customWidth="1"/>
    <col min="6730" max="6730" width="9.44140625" style="27" bestFit="1" customWidth="1"/>
    <col min="6731" max="6731" width="8.109375" style="27" bestFit="1" customWidth="1"/>
    <col min="6732" max="6732" width="9.44140625" style="27" bestFit="1" customWidth="1"/>
    <col min="6733" max="6733" width="8.109375" style="27" bestFit="1" customWidth="1"/>
    <col min="6734" max="6734" width="9.44140625" style="27" bestFit="1" customWidth="1"/>
    <col min="6735" max="6735" width="8.109375" style="27" bestFit="1" customWidth="1"/>
    <col min="6736" max="6736" width="9.109375" style="27"/>
    <col min="6737" max="6737" width="8.109375" style="27" bestFit="1" customWidth="1"/>
    <col min="6738" max="6738" width="9.109375" style="27"/>
    <col min="6739" max="6741" width="8.109375" style="27" bestFit="1" customWidth="1"/>
    <col min="6742" max="6742" width="9.44140625" style="27" bestFit="1" customWidth="1"/>
    <col min="6743" max="6743" width="8.109375" style="27" bestFit="1" customWidth="1"/>
    <col min="6744" max="6744" width="10.33203125" style="27" bestFit="1" customWidth="1"/>
    <col min="6745" max="6912" width="9.109375" style="27"/>
    <col min="6913" max="6913" width="9.5546875" style="27" customWidth="1"/>
    <col min="6914" max="6915" width="6.6640625" style="27" customWidth="1"/>
    <col min="6916" max="6916" width="10.33203125" style="27" customWidth="1"/>
    <col min="6917" max="6917" width="8.33203125" style="27" customWidth="1"/>
    <col min="6918" max="6918" width="8" style="27" customWidth="1"/>
    <col min="6919" max="6919" width="18.33203125" style="27" customWidth="1"/>
    <col min="6920" max="6920" width="7" style="27" customWidth="1"/>
    <col min="6921" max="6921" width="9.109375" style="27" customWidth="1"/>
    <col min="6922" max="6922" width="5.5546875" style="27" customWidth="1"/>
    <col min="6923" max="6923" width="9.44140625" style="27" customWidth="1"/>
    <col min="6924" max="6924" width="4.44140625" style="27" customWidth="1"/>
    <col min="6925" max="6925" width="39.88671875" style="27" customWidth="1"/>
    <col min="6926" max="6926" width="10.88671875" style="27" customWidth="1"/>
    <col min="6927" max="6927" width="10.44140625" style="27" customWidth="1"/>
    <col min="6928" max="6928" width="6.33203125" style="27" customWidth="1"/>
    <col min="6929" max="6929" width="14.88671875" style="27" customWidth="1"/>
    <col min="6930" max="6931" width="11.44140625" style="27" customWidth="1"/>
    <col min="6932" max="6934" width="8" style="27" customWidth="1"/>
    <col min="6935" max="6935" width="33.6640625" style="27" customWidth="1"/>
    <col min="6936" max="6936" width="38.5546875" style="27" customWidth="1"/>
    <col min="6937" max="6937" width="15.109375" style="27" customWidth="1"/>
    <col min="6938" max="6938" width="10.88671875" style="27" customWidth="1"/>
    <col min="6939" max="6940" width="6.88671875" style="27" customWidth="1"/>
    <col min="6941" max="6941" width="15.33203125" style="27" customWidth="1"/>
    <col min="6942" max="6942" width="13.6640625" style="27" customWidth="1"/>
    <col min="6943" max="6943" width="13.33203125" style="27" customWidth="1"/>
    <col min="6944" max="6944" width="15.44140625" style="27" customWidth="1"/>
    <col min="6945" max="6945" width="14.6640625" style="27" customWidth="1"/>
    <col min="6946" max="6946" width="14.5546875" style="27" customWidth="1"/>
    <col min="6947" max="6947" width="12.88671875" style="27" customWidth="1"/>
    <col min="6948" max="6948" width="14.6640625" style="27" customWidth="1"/>
    <col min="6949" max="6949" width="10.88671875" style="27" customWidth="1"/>
    <col min="6950" max="6950" width="15.44140625" style="27" customWidth="1"/>
    <col min="6951" max="6951" width="13" style="27" customWidth="1"/>
    <col min="6952" max="6952" width="13.88671875" style="27" customWidth="1"/>
    <col min="6953" max="6953" width="10.109375" style="27" customWidth="1"/>
    <col min="6954" max="6954" width="14.33203125" style="27" customWidth="1"/>
    <col min="6955" max="6955" width="13.6640625" style="27" customWidth="1"/>
    <col min="6956" max="6956" width="12" style="27" customWidth="1"/>
    <col min="6957" max="6957" width="15.44140625" style="27" customWidth="1"/>
    <col min="6958" max="6958" width="12.109375" style="27" customWidth="1"/>
    <col min="6959" max="6959" width="13.5546875" style="27" customWidth="1"/>
    <col min="6960" max="6960" width="14.5546875" style="27" customWidth="1"/>
    <col min="6961" max="6961" width="14.88671875" style="27" customWidth="1"/>
    <col min="6962" max="6962" width="15.88671875" style="27" customWidth="1"/>
    <col min="6963" max="6963" width="17.33203125" style="27" customWidth="1"/>
    <col min="6964" max="6964" width="15.44140625" style="27" customWidth="1"/>
    <col min="6965" max="6965" width="12.33203125" style="27" customWidth="1"/>
    <col min="6966" max="6966" width="15.5546875" style="27" customWidth="1"/>
    <col min="6967" max="6967" width="19" style="27" customWidth="1"/>
    <col min="6968" max="6968" width="16.109375" style="27" customWidth="1"/>
    <col min="6969" max="6969" width="15" style="27" customWidth="1"/>
    <col min="6970" max="6970" width="13.6640625" style="27" customWidth="1"/>
    <col min="6971" max="6972" width="8" style="27" customWidth="1"/>
    <col min="6973" max="6973" width="11.44140625" style="27" customWidth="1"/>
    <col min="6974" max="6974" width="16.6640625" style="27" customWidth="1"/>
    <col min="6975" max="6975" width="8.44140625" style="27" customWidth="1"/>
    <col min="6976" max="6976" width="8" style="27" customWidth="1"/>
    <col min="6977" max="6977" width="10.33203125" style="27" customWidth="1"/>
    <col min="6978" max="6978" width="8.6640625" style="27" customWidth="1"/>
    <col min="6979" max="6979" width="8" style="27" customWidth="1"/>
    <col min="6980" max="6980" width="10.33203125" style="27" bestFit="1" customWidth="1"/>
    <col min="6981" max="6981" width="8.109375" style="27" bestFit="1" customWidth="1"/>
    <col min="6982" max="6982" width="12.109375" style="27" customWidth="1"/>
    <col min="6983" max="6983" width="8.109375" style="27" bestFit="1" customWidth="1"/>
    <col min="6984" max="6984" width="9.44140625" style="27" bestFit="1" customWidth="1"/>
    <col min="6985" max="6985" width="8.109375" style="27" bestFit="1" customWidth="1"/>
    <col min="6986" max="6986" width="9.44140625" style="27" bestFit="1" customWidth="1"/>
    <col min="6987" max="6987" width="8.109375" style="27" bestFit="1" customWidth="1"/>
    <col min="6988" max="6988" width="9.44140625" style="27" bestFit="1" customWidth="1"/>
    <col min="6989" max="6989" width="8.109375" style="27" bestFit="1" customWidth="1"/>
    <col min="6990" max="6990" width="9.44140625" style="27" bestFit="1" customWidth="1"/>
    <col min="6991" max="6991" width="8.109375" style="27" bestFit="1" customWidth="1"/>
    <col min="6992" max="6992" width="9.109375" style="27"/>
    <col min="6993" max="6993" width="8.109375" style="27" bestFit="1" customWidth="1"/>
    <col min="6994" max="6994" width="9.109375" style="27"/>
    <col min="6995" max="6997" width="8.109375" style="27" bestFit="1" customWidth="1"/>
    <col min="6998" max="6998" width="9.44140625" style="27" bestFit="1" customWidth="1"/>
    <col min="6999" max="6999" width="8.109375" style="27" bestFit="1" customWidth="1"/>
    <col min="7000" max="7000" width="10.33203125" style="27" bestFit="1" customWidth="1"/>
    <col min="7001" max="7168" width="9.109375" style="27"/>
    <col min="7169" max="7169" width="9.5546875" style="27" customWidth="1"/>
    <col min="7170" max="7171" width="6.6640625" style="27" customWidth="1"/>
    <col min="7172" max="7172" width="10.33203125" style="27" customWidth="1"/>
    <col min="7173" max="7173" width="8.33203125" style="27" customWidth="1"/>
    <col min="7174" max="7174" width="8" style="27" customWidth="1"/>
    <col min="7175" max="7175" width="18.33203125" style="27" customWidth="1"/>
    <col min="7176" max="7176" width="7" style="27" customWidth="1"/>
    <col min="7177" max="7177" width="9.109375" style="27" customWidth="1"/>
    <col min="7178" max="7178" width="5.5546875" style="27" customWidth="1"/>
    <col min="7179" max="7179" width="9.44140625" style="27" customWidth="1"/>
    <col min="7180" max="7180" width="4.44140625" style="27" customWidth="1"/>
    <col min="7181" max="7181" width="39.88671875" style="27" customWidth="1"/>
    <col min="7182" max="7182" width="10.88671875" style="27" customWidth="1"/>
    <col min="7183" max="7183" width="10.44140625" style="27" customWidth="1"/>
    <col min="7184" max="7184" width="6.33203125" style="27" customWidth="1"/>
    <col min="7185" max="7185" width="14.88671875" style="27" customWidth="1"/>
    <col min="7186" max="7187" width="11.44140625" style="27" customWidth="1"/>
    <col min="7188" max="7190" width="8" style="27" customWidth="1"/>
    <col min="7191" max="7191" width="33.6640625" style="27" customWidth="1"/>
    <col min="7192" max="7192" width="38.5546875" style="27" customWidth="1"/>
    <col min="7193" max="7193" width="15.109375" style="27" customWidth="1"/>
    <col min="7194" max="7194" width="10.88671875" style="27" customWidth="1"/>
    <col min="7195" max="7196" width="6.88671875" style="27" customWidth="1"/>
    <col min="7197" max="7197" width="15.33203125" style="27" customWidth="1"/>
    <col min="7198" max="7198" width="13.6640625" style="27" customWidth="1"/>
    <col min="7199" max="7199" width="13.33203125" style="27" customWidth="1"/>
    <col min="7200" max="7200" width="15.44140625" style="27" customWidth="1"/>
    <col min="7201" max="7201" width="14.6640625" style="27" customWidth="1"/>
    <col min="7202" max="7202" width="14.5546875" style="27" customWidth="1"/>
    <col min="7203" max="7203" width="12.88671875" style="27" customWidth="1"/>
    <col min="7204" max="7204" width="14.6640625" style="27" customWidth="1"/>
    <col min="7205" max="7205" width="10.88671875" style="27" customWidth="1"/>
    <col min="7206" max="7206" width="15.44140625" style="27" customWidth="1"/>
    <col min="7207" max="7207" width="13" style="27" customWidth="1"/>
    <col min="7208" max="7208" width="13.88671875" style="27" customWidth="1"/>
    <col min="7209" max="7209" width="10.109375" style="27" customWidth="1"/>
    <col min="7210" max="7210" width="14.33203125" style="27" customWidth="1"/>
    <col min="7211" max="7211" width="13.6640625" style="27" customWidth="1"/>
    <col min="7212" max="7212" width="12" style="27" customWidth="1"/>
    <col min="7213" max="7213" width="15.44140625" style="27" customWidth="1"/>
    <col min="7214" max="7214" width="12.109375" style="27" customWidth="1"/>
    <col min="7215" max="7215" width="13.5546875" style="27" customWidth="1"/>
    <col min="7216" max="7216" width="14.5546875" style="27" customWidth="1"/>
    <col min="7217" max="7217" width="14.88671875" style="27" customWidth="1"/>
    <col min="7218" max="7218" width="15.88671875" style="27" customWidth="1"/>
    <col min="7219" max="7219" width="17.33203125" style="27" customWidth="1"/>
    <col min="7220" max="7220" width="15.44140625" style="27" customWidth="1"/>
    <col min="7221" max="7221" width="12.33203125" style="27" customWidth="1"/>
    <col min="7222" max="7222" width="15.5546875" style="27" customWidth="1"/>
    <col min="7223" max="7223" width="19" style="27" customWidth="1"/>
    <col min="7224" max="7224" width="16.109375" style="27" customWidth="1"/>
    <col min="7225" max="7225" width="15" style="27" customWidth="1"/>
    <col min="7226" max="7226" width="13.6640625" style="27" customWidth="1"/>
    <col min="7227" max="7228" width="8" style="27" customWidth="1"/>
    <col min="7229" max="7229" width="11.44140625" style="27" customWidth="1"/>
    <col min="7230" max="7230" width="16.6640625" style="27" customWidth="1"/>
    <col min="7231" max="7231" width="8.44140625" style="27" customWidth="1"/>
    <col min="7232" max="7232" width="8" style="27" customWidth="1"/>
    <col min="7233" max="7233" width="10.33203125" style="27" customWidth="1"/>
    <col min="7234" max="7234" width="8.6640625" style="27" customWidth="1"/>
    <col min="7235" max="7235" width="8" style="27" customWidth="1"/>
    <col min="7236" max="7236" width="10.33203125" style="27" bestFit="1" customWidth="1"/>
    <col min="7237" max="7237" width="8.109375" style="27" bestFit="1" customWidth="1"/>
    <col min="7238" max="7238" width="12.109375" style="27" customWidth="1"/>
    <col min="7239" max="7239" width="8.109375" style="27" bestFit="1" customWidth="1"/>
    <col min="7240" max="7240" width="9.44140625" style="27" bestFit="1" customWidth="1"/>
    <col min="7241" max="7241" width="8.109375" style="27" bestFit="1" customWidth="1"/>
    <col min="7242" max="7242" width="9.44140625" style="27" bestFit="1" customWidth="1"/>
    <col min="7243" max="7243" width="8.109375" style="27" bestFit="1" customWidth="1"/>
    <col min="7244" max="7244" width="9.44140625" style="27" bestFit="1" customWidth="1"/>
    <col min="7245" max="7245" width="8.109375" style="27" bestFit="1" customWidth="1"/>
    <col min="7246" max="7246" width="9.44140625" style="27" bestFit="1" customWidth="1"/>
    <col min="7247" max="7247" width="8.109375" style="27" bestFit="1" customWidth="1"/>
    <col min="7248" max="7248" width="9.109375" style="27"/>
    <col min="7249" max="7249" width="8.109375" style="27" bestFit="1" customWidth="1"/>
    <col min="7250" max="7250" width="9.109375" style="27"/>
    <col min="7251" max="7253" width="8.109375" style="27" bestFit="1" customWidth="1"/>
    <col min="7254" max="7254" width="9.44140625" style="27" bestFit="1" customWidth="1"/>
    <col min="7255" max="7255" width="8.109375" style="27" bestFit="1" customWidth="1"/>
    <col min="7256" max="7256" width="10.33203125" style="27" bestFit="1" customWidth="1"/>
    <col min="7257" max="7424" width="9.109375" style="27"/>
    <col min="7425" max="7425" width="9.5546875" style="27" customWidth="1"/>
    <col min="7426" max="7427" width="6.6640625" style="27" customWidth="1"/>
    <col min="7428" max="7428" width="10.33203125" style="27" customWidth="1"/>
    <col min="7429" max="7429" width="8.33203125" style="27" customWidth="1"/>
    <col min="7430" max="7430" width="8" style="27" customWidth="1"/>
    <col min="7431" max="7431" width="18.33203125" style="27" customWidth="1"/>
    <col min="7432" max="7432" width="7" style="27" customWidth="1"/>
    <col min="7433" max="7433" width="9.109375" style="27" customWidth="1"/>
    <col min="7434" max="7434" width="5.5546875" style="27" customWidth="1"/>
    <col min="7435" max="7435" width="9.44140625" style="27" customWidth="1"/>
    <col min="7436" max="7436" width="4.44140625" style="27" customWidth="1"/>
    <col min="7437" max="7437" width="39.88671875" style="27" customWidth="1"/>
    <col min="7438" max="7438" width="10.88671875" style="27" customWidth="1"/>
    <col min="7439" max="7439" width="10.44140625" style="27" customWidth="1"/>
    <col min="7440" max="7440" width="6.33203125" style="27" customWidth="1"/>
    <col min="7441" max="7441" width="14.88671875" style="27" customWidth="1"/>
    <col min="7442" max="7443" width="11.44140625" style="27" customWidth="1"/>
    <col min="7444" max="7446" width="8" style="27" customWidth="1"/>
    <col min="7447" max="7447" width="33.6640625" style="27" customWidth="1"/>
    <col min="7448" max="7448" width="38.5546875" style="27" customWidth="1"/>
    <col min="7449" max="7449" width="15.109375" style="27" customWidth="1"/>
    <col min="7450" max="7450" width="10.88671875" style="27" customWidth="1"/>
    <col min="7451" max="7452" width="6.88671875" style="27" customWidth="1"/>
    <col min="7453" max="7453" width="15.33203125" style="27" customWidth="1"/>
    <col min="7454" max="7454" width="13.6640625" style="27" customWidth="1"/>
    <col min="7455" max="7455" width="13.33203125" style="27" customWidth="1"/>
    <col min="7456" max="7456" width="15.44140625" style="27" customWidth="1"/>
    <col min="7457" max="7457" width="14.6640625" style="27" customWidth="1"/>
    <col min="7458" max="7458" width="14.5546875" style="27" customWidth="1"/>
    <col min="7459" max="7459" width="12.88671875" style="27" customWidth="1"/>
    <col min="7460" max="7460" width="14.6640625" style="27" customWidth="1"/>
    <col min="7461" max="7461" width="10.88671875" style="27" customWidth="1"/>
    <col min="7462" max="7462" width="15.44140625" style="27" customWidth="1"/>
    <col min="7463" max="7463" width="13" style="27" customWidth="1"/>
    <col min="7464" max="7464" width="13.88671875" style="27" customWidth="1"/>
    <col min="7465" max="7465" width="10.109375" style="27" customWidth="1"/>
    <col min="7466" max="7466" width="14.33203125" style="27" customWidth="1"/>
    <col min="7467" max="7467" width="13.6640625" style="27" customWidth="1"/>
    <col min="7468" max="7468" width="12" style="27" customWidth="1"/>
    <col min="7469" max="7469" width="15.44140625" style="27" customWidth="1"/>
    <col min="7470" max="7470" width="12.109375" style="27" customWidth="1"/>
    <col min="7471" max="7471" width="13.5546875" style="27" customWidth="1"/>
    <col min="7472" max="7472" width="14.5546875" style="27" customWidth="1"/>
    <col min="7473" max="7473" width="14.88671875" style="27" customWidth="1"/>
    <col min="7474" max="7474" width="15.88671875" style="27" customWidth="1"/>
    <col min="7475" max="7475" width="17.33203125" style="27" customWidth="1"/>
    <col min="7476" max="7476" width="15.44140625" style="27" customWidth="1"/>
    <col min="7477" max="7477" width="12.33203125" style="27" customWidth="1"/>
    <col min="7478" max="7478" width="15.5546875" style="27" customWidth="1"/>
    <col min="7479" max="7479" width="19" style="27" customWidth="1"/>
    <col min="7480" max="7480" width="16.109375" style="27" customWidth="1"/>
    <col min="7481" max="7481" width="15" style="27" customWidth="1"/>
    <col min="7482" max="7482" width="13.6640625" style="27" customWidth="1"/>
    <col min="7483" max="7484" width="8" style="27" customWidth="1"/>
    <col min="7485" max="7485" width="11.44140625" style="27" customWidth="1"/>
    <col min="7486" max="7486" width="16.6640625" style="27" customWidth="1"/>
    <col min="7487" max="7487" width="8.44140625" style="27" customWidth="1"/>
    <col min="7488" max="7488" width="8" style="27" customWidth="1"/>
    <col min="7489" max="7489" width="10.33203125" style="27" customWidth="1"/>
    <col min="7490" max="7490" width="8.6640625" style="27" customWidth="1"/>
    <col min="7491" max="7491" width="8" style="27" customWidth="1"/>
    <col min="7492" max="7492" width="10.33203125" style="27" bestFit="1" customWidth="1"/>
    <col min="7493" max="7493" width="8.109375" style="27" bestFit="1" customWidth="1"/>
    <col min="7494" max="7494" width="12.109375" style="27" customWidth="1"/>
    <col min="7495" max="7495" width="8.109375" style="27" bestFit="1" customWidth="1"/>
    <col min="7496" max="7496" width="9.44140625" style="27" bestFit="1" customWidth="1"/>
    <col min="7497" max="7497" width="8.109375" style="27" bestFit="1" customWidth="1"/>
    <col min="7498" max="7498" width="9.44140625" style="27" bestFit="1" customWidth="1"/>
    <col min="7499" max="7499" width="8.109375" style="27" bestFit="1" customWidth="1"/>
    <col min="7500" max="7500" width="9.44140625" style="27" bestFit="1" customWidth="1"/>
    <col min="7501" max="7501" width="8.109375" style="27" bestFit="1" customWidth="1"/>
    <col min="7502" max="7502" width="9.44140625" style="27" bestFit="1" customWidth="1"/>
    <col min="7503" max="7503" width="8.109375" style="27" bestFit="1" customWidth="1"/>
    <col min="7504" max="7504" width="9.109375" style="27"/>
    <col min="7505" max="7505" width="8.109375" style="27" bestFit="1" customWidth="1"/>
    <col min="7506" max="7506" width="9.109375" style="27"/>
    <col min="7507" max="7509" width="8.109375" style="27" bestFit="1" customWidth="1"/>
    <col min="7510" max="7510" width="9.44140625" style="27" bestFit="1" customWidth="1"/>
    <col min="7511" max="7511" width="8.109375" style="27" bestFit="1" customWidth="1"/>
    <col min="7512" max="7512" width="10.33203125" style="27" bestFit="1" customWidth="1"/>
    <col min="7513" max="7680" width="9.109375" style="27"/>
    <col min="7681" max="7681" width="9.5546875" style="27" customWidth="1"/>
    <col min="7682" max="7683" width="6.6640625" style="27" customWidth="1"/>
    <col min="7684" max="7684" width="10.33203125" style="27" customWidth="1"/>
    <col min="7685" max="7685" width="8.33203125" style="27" customWidth="1"/>
    <col min="7686" max="7686" width="8" style="27" customWidth="1"/>
    <col min="7687" max="7687" width="18.33203125" style="27" customWidth="1"/>
    <col min="7688" max="7688" width="7" style="27" customWidth="1"/>
    <col min="7689" max="7689" width="9.109375" style="27" customWidth="1"/>
    <col min="7690" max="7690" width="5.5546875" style="27" customWidth="1"/>
    <col min="7691" max="7691" width="9.44140625" style="27" customWidth="1"/>
    <col min="7692" max="7692" width="4.44140625" style="27" customWidth="1"/>
    <col min="7693" max="7693" width="39.88671875" style="27" customWidth="1"/>
    <col min="7694" max="7694" width="10.88671875" style="27" customWidth="1"/>
    <col min="7695" max="7695" width="10.44140625" style="27" customWidth="1"/>
    <col min="7696" max="7696" width="6.33203125" style="27" customWidth="1"/>
    <col min="7697" max="7697" width="14.88671875" style="27" customWidth="1"/>
    <col min="7698" max="7699" width="11.44140625" style="27" customWidth="1"/>
    <col min="7700" max="7702" width="8" style="27" customWidth="1"/>
    <col min="7703" max="7703" width="33.6640625" style="27" customWidth="1"/>
    <col min="7704" max="7704" width="38.5546875" style="27" customWidth="1"/>
    <col min="7705" max="7705" width="15.109375" style="27" customWidth="1"/>
    <col min="7706" max="7706" width="10.88671875" style="27" customWidth="1"/>
    <col min="7707" max="7708" width="6.88671875" style="27" customWidth="1"/>
    <col min="7709" max="7709" width="15.33203125" style="27" customWidth="1"/>
    <col min="7710" max="7710" width="13.6640625" style="27" customWidth="1"/>
    <col min="7711" max="7711" width="13.33203125" style="27" customWidth="1"/>
    <col min="7712" max="7712" width="15.44140625" style="27" customWidth="1"/>
    <col min="7713" max="7713" width="14.6640625" style="27" customWidth="1"/>
    <col min="7714" max="7714" width="14.5546875" style="27" customWidth="1"/>
    <col min="7715" max="7715" width="12.88671875" style="27" customWidth="1"/>
    <col min="7716" max="7716" width="14.6640625" style="27" customWidth="1"/>
    <col min="7717" max="7717" width="10.88671875" style="27" customWidth="1"/>
    <col min="7718" max="7718" width="15.44140625" style="27" customWidth="1"/>
    <col min="7719" max="7719" width="13" style="27" customWidth="1"/>
    <col min="7720" max="7720" width="13.88671875" style="27" customWidth="1"/>
    <col min="7721" max="7721" width="10.109375" style="27" customWidth="1"/>
    <col min="7722" max="7722" width="14.33203125" style="27" customWidth="1"/>
    <col min="7723" max="7723" width="13.6640625" style="27" customWidth="1"/>
    <col min="7724" max="7724" width="12" style="27" customWidth="1"/>
    <col min="7725" max="7725" width="15.44140625" style="27" customWidth="1"/>
    <col min="7726" max="7726" width="12.109375" style="27" customWidth="1"/>
    <col min="7727" max="7727" width="13.5546875" style="27" customWidth="1"/>
    <col min="7728" max="7728" width="14.5546875" style="27" customWidth="1"/>
    <col min="7729" max="7729" width="14.88671875" style="27" customWidth="1"/>
    <col min="7730" max="7730" width="15.88671875" style="27" customWidth="1"/>
    <col min="7731" max="7731" width="17.33203125" style="27" customWidth="1"/>
    <col min="7732" max="7732" width="15.44140625" style="27" customWidth="1"/>
    <col min="7733" max="7733" width="12.33203125" style="27" customWidth="1"/>
    <col min="7734" max="7734" width="15.5546875" style="27" customWidth="1"/>
    <col min="7735" max="7735" width="19" style="27" customWidth="1"/>
    <col min="7736" max="7736" width="16.109375" style="27" customWidth="1"/>
    <col min="7737" max="7737" width="15" style="27" customWidth="1"/>
    <col min="7738" max="7738" width="13.6640625" style="27" customWidth="1"/>
    <col min="7739" max="7740" width="8" style="27" customWidth="1"/>
    <col min="7741" max="7741" width="11.44140625" style="27" customWidth="1"/>
    <col min="7742" max="7742" width="16.6640625" style="27" customWidth="1"/>
    <col min="7743" max="7743" width="8.44140625" style="27" customWidth="1"/>
    <col min="7744" max="7744" width="8" style="27" customWidth="1"/>
    <col min="7745" max="7745" width="10.33203125" style="27" customWidth="1"/>
    <col min="7746" max="7746" width="8.6640625" style="27" customWidth="1"/>
    <col min="7747" max="7747" width="8" style="27" customWidth="1"/>
    <col min="7748" max="7748" width="10.33203125" style="27" bestFit="1" customWidth="1"/>
    <col min="7749" max="7749" width="8.109375" style="27" bestFit="1" customWidth="1"/>
    <col min="7750" max="7750" width="12.109375" style="27" customWidth="1"/>
    <col min="7751" max="7751" width="8.109375" style="27" bestFit="1" customWidth="1"/>
    <col min="7752" max="7752" width="9.44140625" style="27" bestFit="1" customWidth="1"/>
    <col min="7753" max="7753" width="8.109375" style="27" bestFit="1" customWidth="1"/>
    <col min="7754" max="7754" width="9.44140625" style="27" bestFit="1" customWidth="1"/>
    <col min="7755" max="7755" width="8.109375" style="27" bestFit="1" customWidth="1"/>
    <col min="7756" max="7756" width="9.44140625" style="27" bestFit="1" customWidth="1"/>
    <col min="7757" max="7757" width="8.109375" style="27" bestFit="1" customWidth="1"/>
    <col min="7758" max="7758" width="9.44140625" style="27" bestFit="1" customWidth="1"/>
    <col min="7759" max="7759" width="8.109375" style="27" bestFit="1" customWidth="1"/>
    <col min="7760" max="7760" width="9.109375" style="27"/>
    <col min="7761" max="7761" width="8.109375" style="27" bestFit="1" customWidth="1"/>
    <col min="7762" max="7762" width="9.109375" style="27"/>
    <col min="7763" max="7765" width="8.109375" style="27" bestFit="1" customWidth="1"/>
    <col min="7766" max="7766" width="9.44140625" style="27" bestFit="1" customWidth="1"/>
    <col min="7767" max="7767" width="8.109375" style="27" bestFit="1" customWidth="1"/>
    <col min="7768" max="7768" width="10.33203125" style="27" bestFit="1" customWidth="1"/>
    <col min="7769" max="7936" width="9.109375" style="27"/>
    <col min="7937" max="7937" width="9.5546875" style="27" customWidth="1"/>
    <col min="7938" max="7939" width="6.6640625" style="27" customWidth="1"/>
    <col min="7940" max="7940" width="10.33203125" style="27" customWidth="1"/>
    <col min="7941" max="7941" width="8.33203125" style="27" customWidth="1"/>
    <col min="7942" max="7942" width="8" style="27" customWidth="1"/>
    <col min="7943" max="7943" width="18.33203125" style="27" customWidth="1"/>
    <col min="7944" max="7944" width="7" style="27" customWidth="1"/>
    <col min="7945" max="7945" width="9.109375" style="27" customWidth="1"/>
    <col min="7946" max="7946" width="5.5546875" style="27" customWidth="1"/>
    <col min="7947" max="7947" width="9.44140625" style="27" customWidth="1"/>
    <col min="7948" max="7948" width="4.44140625" style="27" customWidth="1"/>
    <col min="7949" max="7949" width="39.88671875" style="27" customWidth="1"/>
    <col min="7950" max="7950" width="10.88671875" style="27" customWidth="1"/>
    <col min="7951" max="7951" width="10.44140625" style="27" customWidth="1"/>
    <col min="7952" max="7952" width="6.33203125" style="27" customWidth="1"/>
    <col min="7953" max="7953" width="14.88671875" style="27" customWidth="1"/>
    <col min="7954" max="7955" width="11.44140625" style="27" customWidth="1"/>
    <col min="7956" max="7958" width="8" style="27" customWidth="1"/>
    <col min="7959" max="7959" width="33.6640625" style="27" customWidth="1"/>
    <col min="7960" max="7960" width="38.5546875" style="27" customWidth="1"/>
    <col min="7961" max="7961" width="15.109375" style="27" customWidth="1"/>
    <col min="7962" max="7962" width="10.88671875" style="27" customWidth="1"/>
    <col min="7963" max="7964" width="6.88671875" style="27" customWidth="1"/>
    <col min="7965" max="7965" width="15.33203125" style="27" customWidth="1"/>
    <col min="7966" max="7966" width="13.6640625" style="27" customWidth="1"/>
    <col min="7967" max="7967" width="13.33203125" style="27" customWidth="1"/>
    <col min="7968" max="7968" width="15.44140625" style="27" customWidth="1"/>
    <col min="7969" max="7969" width="14.6640625" style="27" customWidth="1"/>
    <col min="7970" max="7970" width="14.5546875" style="27" customWidth="1"/>
    <col min="7971" max="7971" width="12.88671875" style="27" customWidth="1"/>
    <col min="7972" max="7972" width="14.6640625" style="27" customWidth="1"/>
    <col min="7973" max="7973" width="10.88671875" style="27" customWidth="1"/>
    <col min="7974" max="7974" width="15.44140625" style="27" customWidth="1"/>
    <col min="7975" max="7975" width="13" style="27" customWidth="1"/>
    <col min="7976" max="7976" width="13.88671875" style="27" customWidth="1"/>
    <col min="7977" max="7977" width="10.109375" style="27" customWidth="1"/>
    <col min="7978" max="7978" width="14.33203125" style="27" customWidth="1"/>
    <col min="7979" max="7979" width="13.6640625" style="27" customWidth="1"/>
    <col min="7980" max="7980" width="12" style="27" customWidth="1"/>
    <col min="7981" max="7981" width="15.44140625" style="27" customWidth="1"/>
    <col min="7982" max="7982" width="12.109375" style="27" customWidth="1"/>
    <col min="7983" max="7983" width="13.5546875" style="27" customWidth="1"/>
    <col min="7984" max="7984" width="14.5546875" style="27" customWidth="1"/>
    <col min="7985" max="7985" width="14.88671875" style="27" customWidth="1"/>
    <col min="7986" max="7986" width="15.88671875" style="27" customWidth="1"/>
    <col min="7987" max="7987" width="17.33203125" style="27" customWidth="1"/>
    <col min="7988" max="7988" width="15.44140625" style="27" customWidth="1"/>
    <col min="7989" max="7989" width="12.33203125" style="27" customWidth="1"/>
    <col min="7990" max="7990" width="15.5546875" style="27" customWidth="1"/>
    <col min="7991" max="7991" width="19" style="27" customWidth="1"/>
    <col min="7992" max="7992" width="16.109375" style="27" customWidth="1"/>
    <col min="7993" max="7993" width="15" style="27" customWidth="1"/>
    <col min="7994" max="7994" width="13.6640625" style="27" customWidth="1"/>
    <col min="7995" max="7996" width="8" style="27" customWidth="1"/>
    <col min="7997" max="7997" width="11.44140625" style="27" customWidth="1"/>
    <col min="7998" max="7998" width="16.6640625" style="27" customWidth="1"/>
    <col min="7999" max="7999" width="8.44140625" style="27" customWidth="1"/>
    <col min="8000" max="8000" width="8" style="27" customWidth="1"/>
    <col min="8001" max="8001" width="10.33203125" style="27" customWidth="1"/>
    <col min="8002" max="8002" width="8.6640625" style="27" customWidth="1"/>
    <col min="8003" max="8003" width="8" style="27" customWidth="1"/>
    <col min="8004" max="8004" width="10.33203125" style="27" bestFit="1" customWidth="1"/>
    <col min="8005" max="8005" width="8.109375" style="27" bestFit="1" customWidth="1"/>
    <col min="8006" max="8006" width="12.109375" style="27" customWidth="1"/>
    <col min="8007" max="8007" width="8.109375" style="27" bestFit="1" customWidth="1"/>
    <col min="8008" max="8008" width="9.44140625" style="27" bestFit="1" customWidth="1"/>
    <col min="8009" max="8009" width="8.109375" style="27" bestFit="1" customWidth="1"/>
    <col min="8010" max="8010" width="9.44140625" style="27" bestFit="1" customWidth="1"/>
    <col min="8011" max="8011" width="8.109375" style="27" bestFit="1" customWidth="1"/>
    <col min="8012" max="8012" width="9.44140625" style="27" bestFit="1" customWidth="1"/>
    <col min="8013" max="8013" width="8.109375" style="27" bestFit="1" customWidth="1"/>
    <col min="8014" max="8014" width="9.44140625" style="27" bestFit="1" customWidth="1"/>
    <col min="8015" max="8015" width="8.109375" style="27" bestFit="1" customWidth="1"/>
    <col min="8016" max="8016" width="9.109375" style="27"/>
    <col min="8017" max="8017" width="8.109375" style="27" bestFit="1" customWidth="1"/>
    <col min="8018" max="8018" width="9.109375" style="27"/>
    <col min="8019" max="8021" width="8.109375" style="27" bestFit="1" customWidth="1"/>
    <col min="8022" max="8022" width="9.44140625" style="27" bestFit="1" customWidth="1"/>
    <col min="8023" max="8023" width="8.109375" style="27" bestFit="1" customWidth="1"/>
    <col min="8024" max="8024" width="10.33203125" style="27" bestFit="1" customWidth="1"/>
    <col min="8025" max="8192" width="9.109375" style="27"/>
    <col min="8193" max="8193" width="9.5546875" style="27" customWidth="1"/>
    <col min="8194" max="8195" width="6.6640625" style="27" customWidth="1"/>
    <col min="8196" max="8196" width="10.33203125" style="27" customWidth="1"/>
    <col min="8197" max="8197" width="8.33203125" style="27" customWidth="1"/>
    <col min="8198" max="8198" width="8" style="27" customWidth="1"/>
    <col min="8199" max="8199" width="18.33203125" style="27" customWidth="1"/>
    <col min="8200" max="8200" width="7" style="27" customWidth="1"/>
    <col min="8201" max="8201" width="9.109375" style="27" customWidth="1"/>
    <col min="8202" max="8202" width="5.5546875" style="27" customWidth="1"/>
    <col min="8203" max="8203" width="9.44140625" style="27" customWidth="1"/>
    <col min="8204" max="8204" width="4.44140625" style="27" customWidth="1"/>
    <col min="8205" max="8205" width="39.88671875" style="27" customWidth="1"/>
    <col min="8206" max="8206" width="10.88671875" style="27" customWidth="1"/>
    <col min="8207" max="8207" width="10.44140625" style="27" customWidth="1"/>
    <col min="8208" max="8208" width="6.33203125" style="27" customWidth="1"/>
    <col min="8209" max="8209" width="14.88671875" style="27" customWidth="1"/>
    <col min="8210" max="8211" width="11.44140625" style="27" customWidth="1"/>
    <col min="8212" max="8214" width="8" style="27" customWidth="1"/>
    <col min="8215" max="8215" width="33.6640625" style="27" customWidth="1"/>
    <col min="8216" max="8216" width="38.5546875" style="27" customWidth="1"/>
    <col min="8217" max="8217" width="15.109375" style="27" customWidth="1"/>
    <col min="8218" max="8218" width="10.88671875" style="27" customWidth="1"/>
    <col min="8219" max="8220" width="6.88671875" style="27" customWidth="1"/>
    <col min="8221" max="8221" width="15.33203125" style="27" customWidth="1"/>
    <col min="8222" max="8222" width="13.6640625" style="27" customWidth="1"/>
    <col min="8223" max="8223" width="13.33203125" style="27" customWidth="1"/>
    <col min="8224" max="8224" width="15.44140625" style="27" customWidth="1"/>
    <col min="8225" max="8225" width="14.6640625" style="27" customWidth="1"/>
    <col min="8226" max="8226" width="14.5546875" style="27" customWidth="1"/>
    <col min="8227" max="8227" width="12.88671875" style="27" customWidth="1"/>
    <col min="8228" max="8228" width="14.6640625" style="27" customWidth="1"/>
    <col min="8229" max="8229" width="10.88671875" style="27" customWidth="1"/>
    <col min="8230" max="8230" width="15.44140625" style="27" customWidth="1"/>
    <col min="8231" max="8231" width="13" style="27" customWidth="1"/>
    <col min="8232" max="8232" width="13.88671875" style="27" customWidth="1"/>
    <col min="8233" max="8233" width="10.109375" style="27" customWidth="1"/>
    <col min="8234" max="8234" width="14.33203125" style="27" customWidth="1"/>
    <col min="8235" max="8235" width="13.6640625" style="27" customWidth="1"/>
    <col min="8236" max="8236" width="12" style="27" customWidth="1"/>
    <col min="8237" max="8237" width="15.44140625" style="27" customWidth="1"/>
    <col min="8238" max="8238" width="12.109375" style="27" customWidth="1"/>
    <col min="8239" max="8239" width="13.5546875" style="27" customWidth="1"/>
    <col min="8240" max="8240" width="14.5546875" style="27" customWidth="1"/>
    <col min="8241" max="8241" width="14.88671875" style="27" customWidth="1"/>
    <col min="8242" max="8242" width="15.88671875" style="27" customWidth="1"/>
    <col min="8243" max="8243" width="17.33203125" style="27" customWidth="1"/>
    <col min="8244" max="8244" width="15.44140625" style="27" customWidth="1"/>
    <col min="8245" max="8245" width="12.33203125" style="27" customWidth="1"/>
    <col min="8246" max="8246" width="15.5546875" style="27" customWidth="1"/>
    <col min="8247" max="8247" width="19" style="27" customWidth="1"/>
    <col min="8248" max="8248" width="16.109375" style="27" customWidth="1"/>
    <col min="8249" max="8249" width="15" style="27" customWidth="1"/>
    <col min="8250" max="8250" width="13.6640625" style="27" customWidth="1"/>
    <col min="8251" max="8252" width="8" style="27" customWidth="1"/>
    <col min="8253" max="8253" width="11.44140625" style="27" customWidth="1"/>
    <col min="8254" max="8254" width="16.6640625" style="27" customWidth="1"/>
    <col min="8255" max="8255" width="8.44140625" style="27" customWidth="1"/>
    <col min="8256" max="8256" width="8" style="27" customWidth="1"/>
    <col min="8257" max="8257" width="10.33203125" style="27" customWidth="1"/>
    <col min="8258" max="8258" width="8.6640625" style="27" customWidth="1"/>
    <col min="8259" max="8259" width="8" style="27" customWidth="1"/>
    <col min="8260" max="8260" width="10.33203125" style="27" bestFit="1" customWidth="1"/>
    <col min="8261" max="8261" width="8.109375" style="27" bestFit="1" customWidth="1"/>
    <col min="8262" max="8262" width="12.109375" style="27" customWidth="1"/>
    <col min="8263" max="8263" width="8.109375" style="27" bestFit="1" customWidth="1"/>
    <col min="8264" max="8264" width="9.44140625" style="27" bestFit="1" customWidth="1"/>
    <col min="8265" max="8265" width="8.109375" style="27" bestFit="1" customWidth="1"/>
    <col min="8266" max="8266" width="9.44140625" style="27" bestFit="1" customWidth="1"/>
    <col min="8267" max="8267" width="8.109375" style="27" bestFit="1" customWidth="1"/>
    <col min="8268" max="8268" width="9.44140625" style="27" bestFit="1" customWidth="1"/>
    <col min="8269" max="8269" width="8.109375" style="27" bestFit="1" customWidth="1"/>
    <col min="8270" max="8270" width="9.44140625" style="27" bestFit="1" customWidth="1"/>
    <col min="8271" max="8271" width="8.109375" style="27" bestFit="1" customWidth="1"/>
    <col min="8272" max="8272" width="9.109375" style="27"/>
    <col min="8273" max="8273" width="8.109375" style="27" bestFit="1" customWidth="1"/>
    <col min="8274" max="8274" width="9.109375" style="27"/>
    <col min="8275" max="8277" width="8.109375" style="27" bestFit="1" customWidth="1"/>
    <col min="8278" max="8278" width="9.44140625" style="27" bestFit="1" customWidth="1"/>
    <col min="8279" max="8279" width="8.109375" style="27" bestFit="1" customWidth="1"/>
    <col min="8280" max="8280" width="10.33203125" style="27" bestFit="1" customWidth="1"/>
    <col min="8281" max="8448" width="9.109375" style="27"/>
    <col min="8449" max="8449" width="9.5546875" style="27" customWidth="1"/>
    <col min="8450" max="8451" width="6.6640625" style="27" customWidth="1"/>
    <col min="8452" max="8452" width="10.33203125" style="27" customWidth="1"/>
    <col min="8453" max="8453" width="8.33203125" style="27" customWidth="1"/>
    <col min="8454" max="8454" width="8" style="27" customWidth="1"/>
    <col min="8455" max="8455" width="18.33203125" style="27" customWidth="1"/>
    <col min="8456" max="8456" width="7" style="27" customWidth="1"/>
    <col min="8457" max="8457" width="9.109375" style="27" customWidth="1"/>
    <col min="8458" max="8458" width="5.5546875" style="27" customWidth="1"/>
    <col min="8459" max="8459" width="9.44140625" style="27" customWidth="1"/>
    <col min="8460" max="8460" width="4.44140625" style="27" customWidth="1"/>
    <col min="8461" max="8461" width="39.88671875" style="27" customWidth="1"/>
    <col min="8462" max="8462" width="10.88671875" style="27" customWidth="1"/>
    <col min="8463" max="8463" width="10.44140625" style="27" customWidth="1"/>
    <col min="8464" max="8464" width="6.33203125" style="27" customWidth="1"/>
    <col min="8465" max="8465" width="14.88671875" style="27" customWidth="1"/>
    <col min="8466" max="8467" width="11.44140625" style="27" customWidth="1"/>
    <col min="8468" max="8470" width="8" style="27" customWidth="1"/>
    <col min="8471" max="8471" width="33.6640625" style="27" customWidth="1"/>
    <col min="8472" max="8472" width="38.5546875" style="27" customWidth="1"/>
    <col min="8473" max="8473" width="15.109375" style="27" customWidth="1"/>
    <col min="8474" max="8474" width="10.88671875" style="27" customWidth="1"/>
    <col min="8475" max="8476" width="6.88671875" style="27" customWidth="1"/>
    <col min="8477" max="8477" width="15.33203125" style="27" customWidth="1"/>
    <col min="8478" max="8478" width="13.6640625" style="27" customWidth="1"/>
    <col min="8479" max="8479" width="13.33203125" style="27" customWidth="1"/>
    <col min="8480" max="8480" width="15.44140625" style="27" customWidth="1"/>
    <col min="8481" max="8481" width="14.6640625" style="27" customWidth="1"/>
    <col min="8482" max="8482" width="14.5546875" style="27" customWidth="1"/>
    <col min="8483" max="8483" width="12.88671875" style="27" customWidth="1"/>
    <col min="8484" max="8484" width="14.6640625" style="27" customWidth="1"/>
    <col min="8485" max="8485" width="10.88671875" style="27" customWidth="1"/>
    <col min="8486" max="8486" width="15.44140625" style="27" customWidth="1"/>
    <col min="8487" max="8487" width="13" style="27" customWidth="1"/>
    <col min="8488" max="8488" width="13.88671875" style="27" customWidth="1"/>
    <col min="8489" max="8489" width="10.109375" style="27" customWidth="1"/>
    <col min="8490" max="8490" width="14.33203125" style="27" customWidth="1"/>
    <col min="8491" max="8491" width="13.6640625" style="27" customWidth="1"/>
    <col min="8492" max="8492" width="12" style="27" customWidth="1"/>
    <col min="8493" max="8493" width="15.44140625" style="27" customWidth="1"/>
    <col min="8494" max="8494" width="12.109375" style="27" customWidth="1"/>
    <col min="8495" max="8495" width="13.5546875" style="27" customWidth="1"/>
    <col min="8496" max="8496" width="14.5546875" style="27" customWidth="1"/>
    <col min="8497" max="8497" width="14.88671875" style="27" customWidth="1"/>
    <col min="8498" max="8498" width="15.88671875" style="27" customWidth="1"/>
    <col min="8499" max="8499" width="17.33203125" style="27" customWidth="1"/>
    <col min="8500" max="8500" width="15.44140625" style="27" customWidth="1"/>
    <col min="8501" max="8501" width="12.33203125" style="27" customWidth="1"/>
    <col min="8502" max="8502" width="15.5546875" style="27" customWidth="1"/>
    <col min="8503" max="8503" width="19" style="27" customWidth="1"/>
    <col min="8504" max="8504" width="16.109375" style="27" customWidth="1"/>
    <col min="8505" max="8505" width="15" style="27" customWidth="1"/>
    <col min="8506" max="8506" width="13.6640625" style="27" customWidth="1"/>
    <col min="8507" max="8508" width="8" style="27" customWidth="1"/>
    <col min="8509" max="8509" width="11.44140625" style="27" customWidth="1"/>
    <col min="8510" max="8510" width="16.6640625" style="27" customWidth="1"/>
    <col min="8511" max="8511" width="8.44140625" style="27" customWidth="1"/>
    <col min="8512" max="8512" width="8" style="27" customWidth="1"/>
    <col min="8513" max="8513" width="10.33203125" style="27" customWidth="1"/>
    <col min="8514" max="8514" width="8.6640625" style="27" customWidth="1"/>
    <col min="8515" max="8515" width="8" style="27" customWidth="1"/>
    <col min="8516" max="8516" width="10.33203125" style="27" bestFit="1" customWidth="1"/>
    <col min="8517" max="8517" width="8.109375" style="27" bestFit="1" customWidth="1"/>
    <col min="8518" max="8518" width="12.109375" style="27" customWidth="1"/>
    <col min="8519" max="8519" width="8.109375" style="27" bestFit="1" customWidth="1"/>
    <col min="8520" max="8520" width="9.44140625" style="27" bestFit="1" customWidth="1"/>
    <col min="8521" max="8521" width="8.109375" style="27" bestFit="1" customWidth="1"/>
    <col min="8522" max="8522" width="9.44140625" style="27" bestFit="1" customWidth="1"/>
    <col min="8523" max="8523" width="8.109375" style="27" bestFit="1" customWidth="1"/>
    <col min="8524" max="8524" width="9.44140625" style="27" bestFit="1" customWidth="1"/>
    <col min="8525" max="8525" width="8.109375" style="27" bestFit="1" customWidth="1"/>
    <col min="8526" max="8526" width="9.44140625" style="27" bestFit="1" customWidth="1"/>
    <col min="8527" max="8527" width="8.109375" style="27" bestFit="1" customWidth="1"/>
    <col min="8528" max="8528" width="9.109375" style="27"/>
    <col min="8529" max="8529" width="8.109375" style="27" bestFit="1" customWidth="1"/>
    <col min="8530" max="8530" width="9.109375" style="27"/>
    <col min="8531" max="8533" width="8.109375" style="27" bestFit="1" customWidth="1"/>
    <col min="8534" max="8534" width="9.44140625" style="27" bestFit="1" customWidth="1"/>
    <col min="8535" max="8535" width="8.109375" style="27" bestFit="1" customWidth="1"/>
    <col min="8536" max="8536" width="10.33203125" style="27" bestFit="1" customWidth="1"/>
    <col min="8537" max="8704" width="9.109375" style="27"/>
    <col min="8705" max="8705" width="9.5546875" style="27" customWidth="1"/>
    <col min="8706" max="8707" width="6.6640625" style="27" customWidth="1"/>
    <col min="8708" max="8708" width="10.33203125" style="27" customWidth="1"/>
    <col min="8709" max="8709" width="8.33203125" style="27" customWidth="1"/>
    <col min="8710" max="8710" width="8" style="27" customWidth="1"/>
    <col min="8711" max="8711" width="18.33203125" style="27" customWidth="1"/>
    <col min="8712" max="8712" width="7" style="27" customWidth="1"/>
    <col min="8713" max="8713" width="9.109375" style="27" customWidth="1"/>
    <col min="8714" max="8714" width="5.5546875" style="27" customWidth="1"/>
    <col min="8715" max="8715" width="9.44140625" style="27" customWidth="1"/>
    <col min="8716" max="8716" width="4.44140625" style="27" customWidth="1"/>
    <col min="8717" max="8717" width="39.88671875" style="27" customWidth="1"/>
    <col min="8718" max="8718" width="10.88671875" style="27" customWidth="1"/>
    <col min="8719" max="8719" width="10.44140625" style="27" customWidth="1"/>
    <col min="8720" max="8720" width="6.33203125" style="27" customWidth="1"/>
    <col min="8721" max="8721" width="14.88671875" style="27" customWidth="1"/>
    <col min="8722" max="8723" width="11.44140625" style="27" customWidth="1"/>
    <col min="8724" max="8726" width="8" style="27" customWidth="1"/>
    <col min="8727" max="8727" width="33.6640625" style="27" customWidth="1"/>
    <col min="8728" max="8728" width="38.5546875" style="27" customWidth="1"/>
    <col min="8729" max="8729" width="15.109375" style="27" customWidth="1"/>
    <col min="8730" max="8730" width="10.88671875" style="27" customWidth="1"/>
    <col min="8731" max="8732" width="6.88671875" style="27" customWidth="1"/>
    <col min="8733" max="8733" width="15.33203125" style="27" customWidth="1"/>
    <col min="8734" max="8734" width="13.6640625" style="27" customWidth="1"/>
    <col min="8735" max="8735" width="13.33203125" style="27" customWidth="1"/>
    <col min="8736" max="8736" width="15.44140625" style="27" customWidth="1"/>
    <col min="8737" max="8737" width="14.6640625" style="27" customWidth="1"/>
    <col min="8738" max="8738" width="14.5546875" style="27" customWidth="1"/>
    <col min="8739" max="8739" width="12.88671875" style="27" customWidth="1"/>
    <col min="8740" max="8740" width="14.6640625" style="27" customWidth="1"/>
    <col min="8741" max="8741" width="10.88671875" style="27" customWidth="1"/>
    <col min="8742" max="8742" width="15.44140625" style="27" customWidth="1"/>
    <col min="8743" max="8743" width="13" style="27" customWidth="1"/>
    <col min="8744" max="8744" width="13.88671875" style="27" customWidth="1"/>
    <col min="8745" max="8745" width="10.109375" style="27" customWidth="1"/>
    <col min="8746" max="8746" width="14.33203125" style="27" customWidth="1"/>
    <col min="8747" max="8747" width="13.6640625" style="27" customWidth="1"/>
    <col min="8748" max="8748" width="12" style="27" customWidth="1"/>
    <col min="8749" max="8749" width="15.44140625" style="27" customWidth="1"/>
    <col min="8750" max="8750" width="12.109375" style="27" customWidth="1"/>
    <col min="8751" max="8751" width="13.5546875" style="27" customWidth="1"/>
    <col min="8752" max="8752" width="14.5546875" style="27" customWidth="1"/>
    <col min="8753" max="8753" width="14.88671875" style="27" customWidth="1"/>
    <col min="8754" max="8754" width="15.88671875" style="27" customWidth="1"/>
    <col min="8755" max="8755" width="17.33203125" style="27" customWidth="1"/>
    <col min="8756" max="8756" width="15.44140625" style="27" customWidth="1"/>
    <col min="8757" max="8757" width="12.33203125" style="27" customWidth="1"/>
    <col min="8758" max="8758" width="15.5546875" style="27" customWidth="1"/>
    <col min="8759" max="8759" width="19" style="27" customWidth="1"/>
    <col min="8760" max="8760" width="16.109375" style="27" customWidth="1"/>
    <col min="8761" max="8761" width="15" style="27" customWidth="1"/>
    <col min="8762" max="8762" width="13.6640625" style="27" customWidth="1"/>
    <col min="8763" max="8764" width="8" style="27" customWidth="1"/>
    <col min="8765" max="8765" width="11.44140625" style="27" customWidth="1"/>
    <col min="8766" max="8766" width="16.6640625" style="27" customWidth="1"/>
    <col min="8767" max="8767" width="8.44140625" style="27" customWidth="1"/>
    <col min="8768" max="8768" width="8" style="27" customWidth="1"/>
    <col min="8769" max="8769" width="10.33203125" style="27" customWidth="1"/>
    <col min="8770" max="8770" width="8.6640625" style="27" customWidth="1"/>
    <col min="8771" max="8771" width="8" style="27" customWidth="1"/>
    <col min="8772" max="8772" width="10.33203125" style="27" bestFit="1" customWidth="1"/>
    <col min="8773" max="8773" width="8.109375" style="27" bestFit="1" customWidth="1"/>
    <col min="8774" max="8774" width="12.109375" style="27" customWidth="1"/>
    <col min="8775" max="8775" width="8.109375" style="27" bestFit="1" customWidth="1"/>
    <col min="8776" max="8776" width="9.44140625" style="27" bestFit="1" customWidth="1"/>
    <col min="8777" max="8777" width="8.109375" style="27" bestFit="1" customWidth="1"/>
    <col min="8778" max="8778" width="9.44140625" style="27" bestFit="1" customWidth="1"/>
    <col min="8779" max="8779" width="8.109375" style="27" bestFit="1" customWidth="1"/>
    <col min="8780" max="8780" width="9.44140625" style="27" bestFit="1" customWidth="1"/>
    <col min="8781" max="8781" width="8.109375" style="27" bestFit="1" customWidth="1"/>
    <col min="8782" max="8782" width="9.44140625" style="27" bestFit="1" customWidth="1"/>
    <col min="8783" max="8783" width="8.109375" style="27" bestFit="1" customWidth="1"/>
    <col min="8784" max="8784" width="9.109375" style="27"/>
    <col min="8785" max="8785" width="8.109375" style="27" bestFit="1" customWidth="1"/>
    <col min="8786" max="8786" width="9.109375" style="27"/>
    <col min="8787" max="8789" width="8.109375" style="27" bestFit="1" customWidth="1"/>
    <col min="8790" max="8790" width="9.44140625" style="27" bestFit="1" customWidth="1"/>
    <col min="8791" max="8791" width="8.109375" style="27" bestFit="1" customWidth="1"/>
    <col min="8792" max="8792" width="10.33203125" style="27" bestFit="1" customWidth="1"/>
    <col min="8793" max="8960" width="9.109375" style="27"/>
    <col min="8961" max="8961" width="9.5546875" style="27" customWidth="1"/>
    <col min="8962" max="8963" width="6.6640625" style="27" customWidth="1"/>
    <col min="8964" max="8964" width="10.33203125" style="27" customWidth="1"/>
    <col min="8965" max="8965" width="8.33203125" style="27" customWidth="1"/>
    <col min="8966" max="8966" width="8" style="27" customWidth="1"/>
    <col min="8967" max="8967" width="18.33203125" style="27" customWidth="1"/>
    <col min="8968" max="8968" width="7" style="27" customWidth="1"/>
    <col min="8969" max="8969" width="9.109375" style="27" customWidth="1"/>
    <col min="8970" max="8970" width="5.5546875" style="27" customWidth="1"/>
    <col min="8971" max="8971" width="9.44140625" style="27" customWidth="1"/>
    <col min="8972" max="8972" width="4.44140625" style="27" customWidth="1"/>
    <col min="8973" max="8973" width="39.88671875" style="27" customWidth="1"/>
    <col min="8974" max="8974" width="10.88671875" style="27" customWidth="1"/>
    <col min="8975" max="8975" width="10.44140625" style="27" customWidth="1"/>
    <col min="8976" max="8976" width="6.33203125" style="27" customWidth="1"/>
    <col min="8977" max="8977" width="14.88671875" style="27" customWidth="1"/>
    <col min="8978" max="8979" width="11.44140625" style="27" customWidth="1"/>
    <col min="8980" max="8982" width="8" style="27" customWidth="1"/>
    <col min="8983" max="8983" width="33.6640625" style="27" customWidth="1"/>
    <col min="8984" max="8984" width="38.5546875" style="27" customWidth="1"/>
    <col min="8985" max="8985" width="15.109375" style="27" customWidth="1"/>
    <col min="8986" max="8986" width="10.88671875" style="27" customWidth="1"/>
    <col min="8987" max="8988" width="6.88671875" style="27" customWidth="1"/>
    <col min="8989" max="8989" width="15.33203125" style="27" customWidth="1"/>
    <col min="8990" max="8990" width="13.6640625" style="27" customWidth="1"/>
    <col min="8991" max="8991" width="13.33203125" style="27" customWidth="1"/>
    <col min="8992" max="8992" width="15.44140625" style="27" customWidth="1"/>
    <col min="8993" max="8993" width="14.6640625" style="27" customWidth="1"/>
    <col min="8994" max="8994" width="14.5546875" style="27" customWidth="1"/>
    <col min="8995" max="8995" width="12.88671875" style="27" customWidth="1"/>
    <col min="8996" max="8996" width="14.6640625" style="27" customWidth="1"/>
    <col min="8997" max="8997" width="10.88671875" style="27" customWidth="1"/>
    <col min="8998" max="8998" width="15.44140625" style="27" customWidth="1"/>
    <col min="8999" max="8999" width="13" style="27" customWidth="1"/>
    <col min="9000" max="9000" width="13.88671875" style="27" customWidth="1"/>
    <col min="9001" max="9001" width="10.109375" style="27" customWidth="1"/>
    <col min="9002" max="9002" width="14.33203125" style="27" customWidth="1"/>
    <col min="9003" max="9003" width="13.6640625" style="27" customWidth="1"/>
    <col min="9004" max="9004" width="12" style="27" customWidth="1"/>
    <col min="9005" max="9005" width="15.44140625" style="27" customWidth="1"/>
    <col min="9006" max="9006" width="12.109375" style="27" customWidth="1"/>
    <col min="9007" max="9007" width="13.5546875" style="27" customWidth="1"/>
    <col min="9008" max="9008" width="14.5546875" style="27" customWidth="1"/>
    <col min="9009" max="9009" width="14.88671875" style="27" customWidth="1"/>
    <col min="9010" max="9010" width="15.88671875" style="27" customWidth="1"/>
    <col min="9011" max="9011" width="17.33203125" style="27" customWidth="1"/>
    <col min="9012" max="9012" width="15.44140625" style="27" customWidth="1"/>
    <col min="9013" max="9013" width="12.33203125" style="27" customWidth="1"/>
    <col min="9014" max="9014" width="15.5546875" style="27" customWidth="1"/>
    <col min="9015" max="9015" width="19" style="27" customWidth="1"/>
    <col min="9016" max="9016" width="16.109375" style="27" customWidth="1"/>
    <col min="9017" max="9017" width="15" style="27" customWidth="1"/>
    <col min="9018" max="9018" width="13.6640625" style="27" customWidth="1"/>
    <col min="9019" max="9020" width="8" style="27" customWidth="1"/>
    <col min="9021" max="9021" width="11.44140625" style="27" customWidth="1"/>
    <col min="9022" max="9022" width="16.6640625" style="27" customWidth="1"/>
    <col min="9023" max="9023" width="8.44140625" style="27" customWidth="1"/>
    <col min="9024" max="9024" width="8" style="27" customWidth="1"/>
    <col min="9025" max="9025" width="10.33203125" style="27" customWidth="1"/>
    <col min="9026" max="9026" width="8.6640625" style="27" customWidth="1"/>
    <col min="9027" max="9027" width="8" style="27" customWidth="1"/>
    <col min="9028" max="9028" width="10.33203125" style="27" bestFit="1" customWidth="1"/>
    <col min="9029" max="9029" width="8.109375" style="27" bestFit="1" customWidth="1"/>
    <col min="9030" max="9030" width="12.109375" style="27" customWidth="1"/>
    <col min="9031" max="9031" width="8.109375" style="27" bestFit="1" customWidth="1"/>
    <col min="9032" max="9032" width="9.44140625" style="27" bestFit="1" customWidth="1"/>
    <col min="9033" max="9033" width="8.109375" style="27" bestFit="1" customWidth="1"/>
    <col min="9034" max="9034" width="9.44140625" style="27" bestFit="1" customWidth="1"/>
    <col min="9035" max="9035" width="8.109375" style="27" bestFit="1" customWidth="1"/>
    <col min="9036" max="9036" width="9.44140625" style="27" bestFit="1" customWidth="1"/>
    <col min="9037" max="9037" width="8.109375" style="27" bestFit="1" customWidth="1"/>
    <col min="9038" max="9038" width="9.44140625" style="27" bestFit="1" customWidth="1"/>
    <col min="9039" max="9039" width="8.109375" style="27" bestFit="1" customWidth="1"/>
    <col min="9040" max="9040" width="9.109375" style="27"/>
    <col min="9041" max="9041" width="8.109375" style="27" bestFit="1" customWidth="1"/>
    <col min="9042" max="9042" width="9.109375" style="27"/>
    <col min="9043" max="9045" width="8.109375" style="27" bestFit="1" customWidth="1"/>
    <col min="9046" max="9046" width="9.44140625" style="27" bestFit="1" customWidth="1"/>
    <col min="9047" max="9047" width="8.109375" style="27" bestFit="1" customWidth="1"/>
    <col min="9048" max="9048" width="10.33203125" style="27" bestFit="1" customWidth="1"/>
    <col min="9049" max="9216" width="9.109375" style="27"/>
    <col min="9217" max="9217" width="9.5546875" style="27" customWidth="1"/>
    <col min="9218" max="9219" width="6.6640625" style="27" customWidth="1"/>
    <col min="9220" max="9220" width="10.33203125" style="27" customWidth="1"/>
    <col min="9221" max="9221" width="8.33203125" style="27" customWidth="1"/>
    <col min="9222" max="9222" width="8" style="27" customWidth="1"/>
    <col min="9223" max="9223" width="18.33203125" style="27" customWidth="1"/>
    <col min="9224" max="9224" width="7" style="27" customWidth="1"/>
    <col min="9225" max="9225" width="9.109375" style="27" customWidth="1"/>
    <col min="9226" max="9226" width="5.5546875" style="27" customWidth="1"/>
    <col min="9227" max="9227" width="9.44140625" style="27" customWidth="1"/>
    <col min="9228" max="9228" width="4.44140625" style="27" customWidth="1"/>
    <col min="9229" max="9229" width="39.88671875" style="27" customWidth="1"/>
    <col min="9230" max="9230" width="10.88671875" style="27" customWidth="1"/>
    <col min="9231" max="9231" width="10.44140625" style="27" customWidth="1"/>
    <col min="9232" max="9232" width="6.33203125" style="27" customWidth="1"/>
    <col min="9233" max="9233" width="14.88671875" style="27" customWidth="1"/>
    <col min="9234" max="9235" width="11.44140625" style="27" customWidth="1"/>
    <col min="9236" max="9238" width="8" style="27" customWidth="1"/>
    <col min="9239" max="9239" width="33.6640625" style="27" customWidth="1"/>
    <col min="9240" max="9240" width="38.5546875" style="27" customWidth="1"/>
    <col min="9241" max="9241" width="15.109375" style="27" customWidth="1"/>
    <col min="9242" max="9242" width="10.88671875" style="27" customWidth="1"/>
    <col min="9243" max="9244" width="6.88671875" style="27" customWidth="1"/>
    <col min="9245" max="9245" width="15.33203125" style="27" customWidth="1"/>
    <col min="9246" max="9246" width="13.6640625" style="27" customWidth="1"/>
    <col min="9247" max="9247" width="13.33203125" style="27" customWidth="1"/>
    <col min="9248" max="9248" width="15.44140625" style="27" customWidth="1"/>
    <col min="9249" max="9249" width="14.6640625" style="27" customWidth="1"/>
    <col min="9250" max="9250" width="14.5546875" style="27" customWidth="1"/>
    <col min="9251" max="9251" width="12.88671875" style="27" customWidth="1"/>
    <col min="9252" max="9252" width="14.6640625" style="27" customWidth="1"/>
    <col min="9253" max="9253" width="10.88671875" style="27" customWidth="1"/>
    <col min="9254" max="9254" width="15.44140625" style="27" customWidth="1"/>
    <col min="9255" max="9255" width="13" style="27" customWidth="1"/>
    <col min="9256" max="9256" width="13.88671875" style="27" customWidth="1"/>
    <col min="9257" max="9257" width="10.109375" style="27" customWidth="1"/>
    <col min="9258" max="9258" width="14.33203125" style="27" customWidth="1"/>
    <col min="9259" max="9259" width="13.6640625" style="27" customWidth="1"/>
    <col min="9260" max="9260" width="12" style="27" customWidth="1"/>
    <col min="9261" max="9261" width="15.44140625" style="27" customWidth="1"/>
    <col min="9262" max="9262" width="12.109375" style="27" customWidth="1"/>
    <col min="9263" max="9263" width="13.5546875" style="27" customWidth="1"/>
    <col min="9264" max="9264" width="14.5546875" style="27" customWidth="1"/>
    <col min="9265" max="9265" width="14.88671875" style="27" customWidth="1"/>
    <col min="9266" max="9266" width="15.88671875" style="27" customWidth="1"/>
    <col min="9267" max="9267" width="17.33203125" style="27" customWidth="1"/>
    <col min="9268" max="9268" width="15.44140625" style="27" customWidth="1"/>
    <col min="9269" max="9269" width="12.33203125" style="27" customWidth="1"/>
    <col min="9270" max="9270" width="15.5546875" style="27" customWidth="1"/>
    <col min="9271" max="9271" width="19" style="27" customWidth="1"/>
    <col min="9272" max="9272" width="16.109375" style="27" customWidth="1"/>
    <col min="9273" max="9273" width="15" style="27" customWidth="1"/>
    <col min="9274" max="9274" width="13.6640625" style="27" customWidth="1"/>
    <col min="9275" max="9276" width="8" style="27" customWidth="1"/>
    <col min="9277" max="9277" width="11.44140625" style="27" customWidth="1"/>
    <col min="9278" max="9278" width="16.6640625" style="27" customWidth="1"/>
    <col min="9279" max="9279" width="8.44140625" style="27" customWidth="1"/>
    <col min="9280" max="9280" width="8" style="27" customWidth="1"/>
    <col min="9281" max="9281" width="10.33203125" style="27" customWidth="1"/>
    <col min="9282" max="9282" width="8.6640625" style="27" customWidth="1"/>
    <col min="9283" max="9283" width="8" style="27" customWidth="1"/>
    <col min="9284" max="9284" width="10.33203125" style="27" bestFit="1" customWidth="1"/>
    <col min="9285" max="9285" width="8.109375" style="27" bestFit="1" customWidth="1"/>
    <col min="9286" max="9286" width="12.109375" style="27" customWidth="1"/>
    <col min="9287" max="9287" width="8.109375" style="27" bestFit="1" customWidth="1"/>
    <col min="9288" max="9288" width="9.44140625" style="27" bestFit="1" customWidth="1"/>
    <col min="9289" max="9289" width="8.109375" style="27" bestFit="1" customWidth="1"/>
    <col min="9290" max="9290" width="9.44140625" style="27" bestFit="1" customWidth="1"/>
    <col min="9291" max="9291" width="8.109375" style="27" bestFit="1" customWidth="1"/>
    <col min="9292" max="9292" width="9.44140625" style="27" bestFit="1" customWidth="1"/>
    <col min="9293" max="9293" width="8.109375" style="27" bestFit="1" customWidth="1"/>
    <col min="9294" max="9294" width="9.44140625" style="27" bestFit="1" customWidth="1"/>
    <col min="9295" max="9295" width="8.109375" style="27" bestFit="1" customWidth="1"/>
    <col min="9296" max="9296" width="9.109375" style="27"/>
    <col min="9297" max="9297" width="8.109375" style="27" bestFit="1" customWidth="1"/>
    <col min="9298" max="9298" width="9.109375" style="27"/>
    <col min="9299" max="9301" width="8.109375" style="27" bestFit="1" customWidth="1"/>
    <col min="9302" max="9302" width="9.44140625" style="27" bestFit="1" customWidth="1"/>
    <col min="9303" max="9303" width="8.109375" style="27" bestFit="1" customWidth="1"/>
    <col min="9304" max="9304" width="10.33203125" style="27" bestFit="1" customWidth="1"/>
    <col min="9305" max="9472" width="9.109375" style="27"/>
    <col min="9473" max="9473" width="9.5546875" style="27" customWidth="1"/>
    <col min="9474" max="9475" width="6.6640625" style="27" customWidth="1"/>
    <col min="9476" max="9476" width="10.33203125" style="27" customWidth="1"/>
    <col min="9477" max="9477" width="8.33203125" style="27" customWidth="1"/>
    <col min="9478" max="9478" width="8" style="27" customWidth="1"/>
    <col min="9479" max="9479" width="18.33203125" style="27" customWidth="1"/>
    <col min="9480" max="9480" width="7" style="27" customWidth="1"/>
    <col min="9481" max="9481" width="9.109375" style="27" customWidth="1"/>
    <col min="9482" max="9482" width="5.5546875" style="27" customWidth="1"/>
    <col min="9483" max="9483" width="9.44140625" style="27" customWidth="1"/>
    <col min="9484" max="9484" width="4.44140625" style="27" customWidth="1"/>
    <col min="9485" max="9485" width="39.88671875" style="27" customWidth="1"/>
    <col min="9486" max="9486" width="10.88671875" style="27" customWidth="1"/>
    <col min="9487" max="9487" width="10.44140625" style="27" customWidth="1"/>
    <col min="9488" max="9488" width="6.33203125" style="27" customWidth="1"/>
    <col min="9489" max="9489" width="14.88671875" style="27" customWidth="1"/>
    <col min="9490" max="9491" width="11.44140625" style="27" customWidth="1"/>
    <col min="9492" max="9494" width="8" style="27" customWidth="1"/>
    <col min="9495" max="9495" width="33.6640625" style="27" customWidth="1"/>
    <col min="9496" max="9496" width="38.5546875" style="27" customWidth="1"/>
    <col min="9497" max="9497" width="15.109375" style="27" customWidth="1"/>
    <col min="9498" max="9498" width="10.88671875" style="27" customWidth="1"/>
    <col min="9499" max="9500" width="6.88671875" style="27" customWidth="1"/>
    <col min="9501" max="9501" width="15.33203125" style="27" customWidth="1"/>
    <col min="9502" max="9502" width="13.6640625" style="27" customWidth="1"/>
    <col min="9503" max="9503" width="13.33203125" style="27" customWidth="1"/>
    <col min="9504" max="9504" width="15.44140625" style="27" customWidth="1"/>
    <col min="9505" max="9505" width="14.6640625" style="27" customWidth="1"/>
    <col min="9506" max="9506" width="14.5546875" style="27" customWidth="1"/>
    <col min="9507" max="9507" width="12.88671875" style="27" customWidth="1"/>
    <col min="9508" max="9508" width="14.6640625" style="27" customWidth="1"/>
    <col min="9509" max="9509" width="10.88671875" style="27" customWidth="1"/>
    <col min="9510" max="9510" width="15.44140625" style="27" customWidth="1"/>
    <col min="9511" max="9511" width="13" style="27" customWidth="1"/>
    <col min="9512" max="9512" width="13.88671875" style="27" customWidth="1"/>
    <col min="9513" max="9513" width="10.109375" style="27" customWidth="1"/>
    <col min="9514" max="9514" width="14.33203125" style="27" customWidth="1"/>
    <col min="9515" max="9515" width="13.6640625" style="27" customWidth="1"/>
    <col min="9516" max="9516" width="12" style="27" customWidth="1"/>
    <col min="9517" max="9517" width="15.44140625" style="27" customWidth="1"/>
    <col min="9518" max="9518" width="12.109375" style="27" customWidth="1"/>
    <col min="9519" max="9519" width="13.5546875" style="27" customWidth="1"/>
    <col min="9520" max="9520" width="14.5546875" style="27" customWidth="1"/>
    <col min="9521" max="9521" width="14.88671875" style="27" customWidth="1"/>
    <col min="9522" max="9522" width="15.88671875" style="27" customWidth="1"/>
    <col min="9523" max="9523" width="17.33203125" style="27" customWidth="1"/>
    <col min="9524" max="9524" width="15.44140625" style="27" customWidth="1"/>
    <col min="9525" max="9525" width="12.33203125" style="27" customWidth="1"/>
    <col min="9526" max="9526" width="15.5546875" style="27" customWidth="1"/>
    <col min="9527" max="9527" width="19" style="27" customWidth="1"/>
    <col min="9528" max="9528" width="16.109375" style="27" customWidth="1"/>
    <col min="9529" max="9529" width="15" style="27" customWidth="1"/>
    <col min="9530" max="9530" width="13.6640625" style="27" customWidth="1"/>
    <col min="9531" max="9532" width="8" style="27" customWidth="1"/>
    <col min="9533" max="9533" width="11.44140625" style="27" customWidth="1"/>
    <col min="9534" max="9534" width="16.6640625" style="27" customWidth="1"/>
    <col min="9535" max="9535" width="8.44140625" style="27" customWidth="1"/>
    <col min="9536" max="9536" width="8" style="27" customWidth="1"/>
    <col min="9537" max="9537" width="10.33203125" style="27" customWidth="1"/>
    <col min="9538" max="9538" width="8.6640625" style="27" customWidth="1"/>
    <col min="9539" max="9539" width="8" style="27" customWidth="1"/>
    <col min="9540" max="9540" width="10.33203125" style="27" bestFit="1" customWidth="1"/>
    <col min="9541" max="9541" width="8.109375" style="27" bestFit="1" customWidth="1"/>
    <col min="9542" max="9542" width="12.109375" style="27" customWidth="1"/>
    <col min="9543" max="9543" width="8.109375" style="27" bestFit="1" customWidth="1"/>
    <col min="9544" max="9544" width="9.44140625" style="27" bestFit="1" customWidth="1"/>
    <col min="9545" max="9545" width="8.109375" style="27" bestFit="1" customWidth="1"/>
    <col min="9546" max="9546" width="9.44140625" style="27" bestFit="1" customWidth="1"/>
    <col min="9547" max="9547" width="8.109375" style="27" bestFit="1" customWidth="1"/>
    <col min="9548" max="9548" width="9.44140625" style="27" bestFit="1" customWidth="1"/>
    <col min="9549" max="9549" width="8.109375" style="27" bestFit="1" customWidth="1"/>
    <col min="9550" max="9550" width="9.44140625" style="27" bestFit="1" customWidth="1"/>
    <col min="9551" max="9551" width="8.109375" style="27" bestFit="1" customWidth="1"/>
    <col min="9552" max="9552" width="9.109375" style="27"/>
    <col min="9553" max="9553" width="8.109375" style="27" bestFit="1" customWidth="1"/>
    <col min="9554" max="9554" width="9.109375" style="27"/>
    <col min="9555" max="9557" width="8.109375" style="27" bestFit="1" customWidth="1"/>
    <col min="9558" max="9558" width="9.44140625" style="27" bestFit="1" customWidth="1"/>
    <col min="9559" max="9559" width="8.109375" style="27" bestFit="1" customWidth="1"/>
    <col min="9560" max="9560" width="10.33203125" style="27" bestFit="1" customWidth="1"/>
    <col min="9561" max="9728" width="9.109375" style="27"/>
    <col min="9729" max="9729" width="9.5546875" style="27" customWidth="1"/>
    <col min="9730" max="9731" width="6.6640625" style="27" customWidth="1"/>
    <col min="9732" max="9732" width="10.33203125" style="27" customWidth="1"/>
    <col min="9733" max="9733" width="8.33203125" style="27" customWidth="1"/>
    <col min="9734" max="9734" width="8" style="27" customWidth="1"/>
    <col min="9735" max="9735" width="18.33203125" style="27" customWidth="1"/>
    <col min="9736" max="9736" width="7" style="27" customWidth="1"/>
    <col min="9737" max="9737" width="9.109375" style="27" customWidth="1"/>
    <col min="9738" max="9738" width="5.5546875" style="27" customWidth="1"/>
    <col min="9739" max="9739" width="9.44140625" style="27" customWidth="1"/>
    <col min="9740" max="9740" width="4.44140625" style="27" customWidth="1"/>
    <col min="9741" max="9741" width="39.88671875" style="27" customWidth="1"/>
    <col min="9742" max="9742" width="10.88671875" style="27" customWidth="1"/>
    <col min="9743" max="9743" width="10.44140625" style="27" customWidth="1"/>
    <col min="9744" max="9744" width="6.33203125" style="27" customWidth="1"/>
    <col min="9745" max="9745" width="14.88671875" style="27" customWidth="1"/>
    <col min="9746" max="9747" width="11.44140625" style="27" customWidth="1"/>
    <col min="9748" max="9750" width="8" style="27" customWidth="1"/>
    <col min="9751" max="9751" width="33.6640625" style="27" customWidth="1"/>
    <col min="9752" max="9752" width="38.5546875" style="27" customWidth="1"/>
    <col min="9753" max="9753" width="15.109375" style="27" customWidth="1"/>
    <col min="9754" max="9754" width="10.88671875" style="27" customWidth="1"/>
    <col min="9755" max="9756" width="6.88671875" style="27" customWidth="1"/>
    <col min="9757" max="9757" width="15.33203125" style="27" customWidth="1"/>
    <col min="9758" max="9758" width="13.6640625" style="27" customWidth="1"/>
    <col min="9759" max="9759" width="13.33203125" style="27" customWidth="1"/>
    <col min="9760" max="9760" width="15.44140625" style="27" customWidth="1"/>
    <col min="9761" max="9761" width="14.6640625" style="27" customWidth="1"/>
    <col min="9762" max="9762" width="14.5546875" style="27" customWidth="1"/>
    <col min="9763" max="9763" width="12.88671875" style="27" customWidth="1"/>
    <col min="9764" max="9764" width="14.6640625" style="27" customWidth="1"/>
    <col min="9765" max="9765" width="10.88671875" style="27" customWidth="1"/>
    <col min="9766" max="9766" width="15.44140625" style="27" customWidth="1"/>
    <col min="9767" max="9767" width="13" style="27" customWidth="1"/>
    <col min="9768" max="9768" width="13.88671875" style="27" customWidth="1"/>
    <col min="9769" max="9769" width="10.109375" style="27" customWidth="1"/>
    <col min="9770" max="9770" width="14.33203125" style="27" customWidth="1"/>
    <col min="9771" max="9771" width="13.6640625" style="27" customWidth="1"/>
    <col min="9772" max="9772" width="12" style="27" customWidth="1"/>
    <col min="9773" max="9773" width="15.44140625" style="27" customWidth="1"/>
    <col min="9774" max="9774" width="12.109375" style="27" customWidth="1"/>
    <col min="9775" max="9775" width="13.5546875" style="27" customWidth="1"/>
    <col min="9776" max="9776" width="14.5546875" style="27" customWidth="1"/>
    <col min="9777" max="9777" width="14.88671875" style="27" customWidth="1"/>
    <col min="9778" max="9778" width="15.88671875" style="27" customWidth="1"/>
    <col min="9779" max="9779" width="17.33203125" style="27" customWidth="1"/>
    <col min="9780" max="9780" width="15.44140625" style="27" customWidth="1"/>
    <col min="9781" max="9781" width="12.33203125" style="27" customWidth="1"/>
    <col min="9782" max="9782" width="15.5546875" style="27" customWidth="1"/>
    <col min="9783" max="9783" width="19" style="27" customWidth="1"/>
    <col min="9784" max="9784" width="16.109375" style="27" customWidth="1"/>
    <col min="9785" max="9785" width="15" style="27" customWidth="1"/>
    <col min="9786" max="9786" width="13.6640625" style="27" customWidth="1"/>
    <col min="9787" max="9788" width="8" style="27" customWidth="1"/>
    <col min="9789" max="9789" width="11.44140625" style="27" customWidth="1"/>
    <col min="9790" max="9790" width="16.6640625" style="27" customWidth="1"/>
    <col min="9791" max="9791" width="8.44140625" style="27" customWidth="1"/>
    <col min="9792" max="9792" width="8" style="27" customWidth="1"/>
    <col min="9793" max="9793" width="10.33203125" style="27" customWidth="1"/>
    <col min="9794" max="9794" width="8.6640625" style="27" customWidth="1"/>
    <col min="9795" max="9795" width="8" style="27" customWidth="1"/>
    <col min="9796" max="9796" width="10.33203125" style="27" bestFit="1" customWidth="1"/>
    <col min="9797" max="9797" width="8.109375" style="27" bestFit="1" customWidth="1"/>
    <col min="9798" max="9798" width="12.109375" style="27" customWidth="1"/>
    <col min="9799" max="9799" width="8.109375" style="27" bestFit="1" customWidth="1"/>
    <col min="9800" max="9800" width="9.44140625" style="27" bestFit="1" customWidth="1"/>
    <col min="9801" max="9801" width="8.109375" style="27" bestFit="1" customWidth="1"/>
    <col min="9802" max="9802" width="9.44140625" style="27" bestFit="1" customWidth="1"/>
    <col min="9803" max="9803" width="8.109375" style="27" bestFit="1" customWidth="1"/>
    <col min="9804" max="9804" width="9.44140625" style="27" bestFit="1" customWidth="1"/>
    <col min="9805" max="9805" width="8.109375" style="27" bestFit="1" customWidth="1"/>
    <col min="9806" max="9806" width="9.44140625" style="27" bestFit="1" customWidth="1"/>
    <col min="9807" max="9807" width="8.109375" style="27" bestFit="1" customWidth="1"/>
    <col min="9808" max="9808" width="9.109375" style="27"/>
    <col min="9809" max="9809" width="8.109375" style="27" bestFit="1" customWidth="1"/>
    <col min="9810" max="9810" width="9.109375" style="27"/>
    <col min="9811" max="9813" width="8.109375" style="27" bestFit="1" customWidth="1"/>
    <col min="9814" max="9814" width="9.44140625" style="27" bestFit="1" customWidth="1"/>
    <col min="9815" max="9815" width="8.109375" style="27" bestFit="1" customWidth="1"/>
    <col min="9816" max="9816" width="10.33203125" style="27" bestFit="1" customWidth="1"/>
    <col min="9817" max="9984" width="9.109375" style="27"/>
    <col min="9985" max="9985" width="9.5546875" style="27" customWidth="1"/>
    <col min="9986" max="9987" width="6.6640625" style="27" customWidth="1"/>
    <col min="9988" max="9988" width="10.33203125" style="27" customWidth="1"/>
    <col min="9989" max="9989" width="8.33203125" style="27" customWidth="1"/>
    <col min="9990" max="9990" width="8" style="27" customWidth="1"/>
    <col min="9991" max="9991" width="18.33203125" style="27" customWidth="1"/>
    <col min="9992" max="9992" width="7" style="27" customWidth="1"/>
    <col min="9993" max="9993" width="9.109375" style="27" customWidth="1"/>
    <col min="9994" max="9994" width="5.5546875" style="27" customWidth="1"/>
    <col min="9995" max="9995" width="9.44140625" style="27" customWidth="1"/>
    <col min="9996" max="9996" width="4.44140625" style="27" customWidth="1"/>
    <col min="9997" max="9997" width="39.88671875" style="27" customWidth="1"/>
    <col min="9998" max="9998" width="10.88671875" style="27" customWidth="1"/>
    <col min="9999" max="9999" width="10.44140625" style="27" customWidth="1"/>
    <col min="10000" max="10000" width="6.33203125" style="27" customWidth="1"/>
    <col min="10001" max="10001" width="14.88671875" style="27" customWidth="1"/>
    <col min="10002" max="10003" width="11.44140625" style="27" customWidth="1"/>
    <col min="10004" max="10006" width="8" style="27" customWidth="1"/>
    <col min="10007" max="10007" width="33.6640625" style="27" customWidth="1"/>
    <col min="10008" max="10008" width="38.5546875" style="27" customWidth="1"/>
    <col min="10009" max="10009" width="15.109375" style="27" customWidth="1"/>
    <col min="10010" max="10010" width="10.88671875" style="27" customWidth="1"/>
    <col min="10011" max="10012" width="6.88671875" style="27" customWidth="1"/>
    <col min="10013" max="10013" width="15.33203125" style="27" customWidth="1"/>
    <col min="10014" max="10014" width="13.6640625" style="27" customWidth="1"/>
    <col min="10015" max="10015" width="13.33203125" style="27" customWidth="1"/>
    <col min="10016" max="10016" width="15.44140625" style="27" customWidth="1"/>
    <col min="10017" max="10017" width="14.6640625" style="27" customWidth="1"/>
    <col min="10018" max="10018" width="14.5546875" style="27" customWidth="1"/>
    <col min="10019" max="10019" width="12.88671875" style="27" customWidth="1"/>
    <col min="10020" max="10020" width="14.6640625" style="27" customWidth="1"/>
    <col min="10021" max="10021" width="10.88671875" style="27" customWidth="1"/>
    <col min="10022" max="10022" width="15.44140625" style="27" customWidth="1"/>
    <col min="10023" max="10023" width="13" style="27" customWidth="1"/>
    <col min="10024" max="10024" width="13.88671875" style="27" customWidth="1"/>
    <col min="10025" max="10025" width="10.109375" style="27" customWidth="1"/>
    <col min="10026" max="10026" width="14.33203125" style="27" customWidth="1"/>
    <col min="10027" max="10027" width="13.6640625" style="27" customWidth="1"/>
    <col min="10028" max="10028" width="12" style="27" customWidth="1"/>
    <col min="10029" max="10029" width="15.44140625" style="27" customWidth="1"/>
    <col min="10030" max="10030" width="12.109375" style="27" customWidth="1"/>
    <col min="10031" max="10031" width="13.5546875" style="27" customWidth="1"/>
    <col min="10032" max="10032" width="14.5546875" style="27" customWidth="1"/>
    <col min="10033" max="10033" width="14.88671875" style="27" customWidth="1"/>
    <col min="10034" max="10034" width="15.88671875" style="27" customWidth="1"/>
    <col min="10035" max="10035" width="17.33203125" style="27" customWidth="1"/>
    <col min="10036" max="10036" width="15.44140625" style="27" customWidth="1"/>
    <col min="10037" max="10037" width="12.33203125" style="27" customWidth="1"/>
    <col min="10038" max="10038" width="15.5546875" style="27" customWidth="1"/>
    <col min="10039" max="10039" width="19" style="27" customWidth="1"/>
    <col min="10040" max="10040" width="16.109375" style="27" customWidth="1"/>
    <col min="10041" max="10041" width="15" style="27" customWidth="1"/>
    <col min="10042" max="10042" width="13.6640625" style="27" customWidth="1"/>
    <col min="10043" max="10044" width="8" style="27" customWidth="1"/>
    <col min="10045" max="10045" width="11.44140625" style="27" customWidth="1"/>
    <col min="10046" max="10046" width="16.6640625" style="27" customWidth="1"/>
    <col min="10047" max="10047" width="8.44140625" style="27" customWidth="1"/>
    <col min="10048" max="10048" width="8" style="27" customWidth="1"/>
    <col min="10049" max="10049" width="10.33203125" style="27" customWidth="1"/>
    <col min="10050" max="10050" width="8.6640625" style="27" customWidth="1"/>
    <col min="10051" max="10051" width="8" style="27" customWidth="1"/>
    <col min="10052" max="10052" width="10.33203125" style="27" bestFit="1" customWidth="1"/>
    <col min="10053" max="10053" width="8.109375" style="27" bestFit="1" customWidth="1"/>
    <col min="10054" max="10054" width="12.109375" style="27" customWidth="1"/>
    <col min="10055" max="10055" width="8.109375" style="27" bestFit="1" customWidth="1"/>
    <col min="10056" max="10056" width="9.44140625" style="27" bestFit="1" customWidth="1"/>
    <col min="10057" max="10057" width="8.109375" style="27" bestFit="1" customWidth="1"/>
    <col min="10058" max="10058" width="9.44140625" style="27" bestFit="1" customWidth="1"/>
    <col min="10059" max="10059" width="8.109375" style="27" bestFit="1" customWidth="1"/>
    <col min="10060" max="10060" width="9.44140625" style="27" bestFit="1" customWidth="1"/>
    <col min="10061" max="10061" width="8.109375" style="27" bestFit="1" customWidth="1"/>
    <col min="10062" max="10062" width="9.44140625" style="27" bestFit="1" customWidth="1"/>
    <col min="10063" max="10063" width="8.109375" style="27" bestFit="1" customWidth="1"/>
    <col min="10064" max="10064" width="9.109375" style="27"/>
    <col min="10065" max="10065" width="8.109375" style="27" bestFit="1" customWidth="1"/>
    <col min="10066" max="10066" width="9.109375" style="27"/>
    <col min="10067" max="10069" width="8.109375" style="27" bestFit="1" customWidth="1"/>
    <col min="10070" max="10070" width="9.44140625" style="27" bestFit="1" customWidth="1"/>
    <col min="10071" max="10071" width="8.109375" style="27" bestFit="1" customWidth="1"/>
    <col min="10072" max="10072" width="10.33203125" style="27" bestFit="1" customWidth="1"/>
    <col min="10073" max="10240" width="9.109375" style="27"/>
    <col min="10241" max="10241" width="9.5546875" style="27" customWidth="1"/>
    <col min="10242" max="10243" width="6.6640625" style="27" customWidth="1"/>
    <col min="10244" max="10244" width="10.33203125" style="27" customWidth="1"/>
    <col min="10245" max="10245" width="8.33203125" style="27" customWidth="1"/>
    <col min="10246" max="10246" width="8" style="27" customWidth="1"/>
    <col min="10247" max="10247" width="18.33203125" style="27" customWidth="1"/>
    <col min="10248" max="10248" width="7" style="27" customWidth="1"/>
    <col min="10249" max="10249" width="9.109375" style="27" customWidth="1"/>
    <col min="10250" max="10250" width="5.5546875" style="27" customWidth="1"/>
    <col min="10251" max="10251" width="9.44140625" style="27" customWidth="1"/>
    <col min="10252" max="10252" width="4.44140625" style="27" customWidth="1"/>
    <col min="10253" max="10253" width="39.88671875" style="27" customWidth="1"/>
    <col min="10254" max="10254" width="10.88671875" style="27" customWidth="1"/>
    <col min="10255" max="10255" width="10.44140625" style="27" customWidth="1"/>
    <col min="10256" max="10256" width="6.33203125" style="27" customWidth="1"/>
    <col min="10257" max="10257" width="14.88671875" style="27" customWidth="1"/>
    <col min="10258" max="10259" width="11.44140625" style="27" customWidth="1"/>
    <col min="10260" max="10262" width="8" style="27" customWidth="1"/>
    <col min="10263" max="10263" width="33.6640625" style="27" customWidth="1"/>
    <col min="10264" max="10264" width="38.5546875" style="27" customWidth="1"/>
    <col min="10265" max="10265" width="15.109375" style="27" customWidth="1"/>
    <col min="10266" max="10266" width="10.88671875" style="27" customWidth="1"/>
    <col min="10267" max="10268" width="6.88671875" style="27" customWidth="1"/>
    <col min="10269" max="10269" width="15.33203125" style="27" customWidth="1"/>
    <col min="10270" max="10270" width="13.6640625" style="27" customWidth="1"/>
    <col min="10271" max="10271" width="13.33203125" style="27" customWidth="1"/>
    <col min="10272" max="10272" width="15.44140625" style="27" customWidth="1"/>
    <col min="10273" max="10273" width="14.6640625" style="27" customWidth="1"/>
    <col min="10274" max="10274" width="14.5546875" style="27" customWidth="1"/>
    <col min="10275" max="10275" width="12.88671875" style="27" customWidth="1"/>
    <col min="10276" max="10276" width="14.6640625" style="27" customWidth="1"/>
    <col min="10277" max="10277" width="10.88671875" style="27" customWidth="1"/>
    <col min="10278" max="10278" width="15.44140625" style="27" customWidth="1"/>
    <col min="10279" max="10279" width="13" style="27" customWidth="1"/>
    <col min="10280" max="10280" width="13.88671875" style="27" customWidth="1"/>
    <col min="10281" max="10281" width="10.109375" style="27" customWidth="1"/>
    <col min="10282" max="10282" width="14.33203125" style="27" customWidth="1"/>
    <col min="10283" max="10283" width="13.6640625" style="27" customWidth="1"/>
    <col min="10284" max="10284" width="12" style="27" customWidth="1"/>
    <col min="10285" max="10285" width="15.44140625" style="27" customWidth="1"/>
    <col min="10286" max="10286" width="12.109375" style="27" customWidth="1"/>
    <col min="10287" max="10287" width="13.5546875" style="27" customWidth="1"/>
    <col min="10288" max="10288" width="14.5546875" style="27" customWidth="1"/>
    <col min="10289" max="10289" width="14.88671875" style="27" customWidth="1"/>
    <col min="10290" max="10290" width="15.88671875" style="27" customWidth="1"/>
    <col min="10291" max="10291" width="17.33203125" style="27" customWidth="1"/>
    <col min="10292" max="10292" width="15.44140625" style="27" customWidth="1"/>
    <col min="10293" max="10293" width="12.33203125" style="27" customWidth="1"/>
    <col min="10294" max="10294" width="15.5546875" style="27" customWidth="1"/>
    <col min="10295" max="10295" width="19" style="27" customWidth="1"/>
    <col min="10296" max="10296" width="16.109375" style="27" customWidth="1"/>
    <col min="10297" max="10297" width="15" style="27" customWidth="1"/>
    <col min="10298" max="10298" width="13.6640625" style="27" customWidth="1"/>
    <col min="10299" max="10300" width="8" style="27" customWidth="1"/>
    <col min="10301" max="10301" width="11.44140625" style="27" customWidth="1"/>
    <col min="10302" max="10302" width="16.6640625" style="27" customWidth="1"/>
    <col min="10303" max="10303" width="8.44140625" style="27" customWidth="1"/>
    <col min="10304" max="10304" width="8" style="27" customWidth="1"/>
    <col min="10305" max="10305" width="10.33203125" style="27" customWidth="1"/>
    <col min="10306" max="10306" width="8.6640625" style="27" customWidth="1"/>
    <col min="10307" max="10307" width="8" style="27" customWidth="1"/>
    <col min="10308" max="10308" width="10.33203125" style="27" bestFit="1" customWidth="1"/>
    <col min="10309" max="10309" width="8.109375" style="27" bestFit="1" customWidth="1"/>
    <col min="10310" max="10310" width="12.109375" style="27" customWidth="1"/>
    <col min="10311" max="10311" width="8.109375" style="27" bestFit="1" customWidth="1"/>
    <col min="10312" max="10312" width="9.44140625" style="27" bestFit="1" customWidth="1"/>
    <col min="10313" max="10313" width="8.109375" style="27" bestFit="1" customWidth="1"/>
    <col min="10314" max="10314" width="9.44140625" style="27" bestFit="1" customWidth="1"/>
    <col min="10315" max="10315" width="8.109375" style="27" bestFit="1" customWidth="1"/>
    <col min="10316" max="10316" width="9.44140625" style="27" bestFit="1" customWidth="1"/>
    <col min="10317" max="10317" width="8.109375" style="27" bestFit="1" customWidth="1"/>
    <col min="10318" max="10318" width="9.44140625" style="27" bestFit="1" customWidth="1"/>
    <col min="10319" max="10319" width="8.109375" style="27" bestFit="1" customWidth="1"/>
    <col min="10320" max="10320" width="9.109375" style="27"/>
    <col min="10321" max="10321" width="8.109375" style="27" bestFit="1" customWidth="1"/>
    <col min="10322" max="10322" width="9.109375" style="27"/>
    <col min="10323" max="10325" width="8.109375" style="27" bestFit="1" customWidth="1"/>
    <col min="10326" max="10326" width="9.44140625" style="27" bestFit="1" customWidth="1"/>
    <col min="10327" max="10327" width="8.109375" style="27" bestFit="1" customWidth="1"/>
    <col min="10328" max="10328" width="10.33203125" style="27" bestFit="1" customWidth="1"/>
    <col min="10329" max="10496" width="9.109375" style="27"/>
    <col min="10497" max="10497" width="9.5546875" style="27" customWidth="1"/>
    <col min="10498" max="10499" width="6.6640625" style="27" customWidth="1"/>
    <col min="10500" max="10500" width="10.33203125" style="27" customWidth="1"/>
    <col min="10501" max="10501" width="8.33203125" style="27" customWidth="1"/>
    <col min="10502" max="10502" width="8" style="27" customWidth="1"/>
    <col min="10503" max="10503" width="18.33203125" style="27" customWidth="1"/>
    <col min="10504" max="10504" width="7" style="27" customWidth="1"/>
    <col min="10505" max="10505" width="9.109375" style="27" customWidth="1"/>
    <col min="10506" max="10506" width="5.5546875" style="27" customWidth="1"/>
    <col min="10507" max="10507" width="9.44140625" style="27" customWidth="1"/>
    <col min="10508" max="10508" width="4.44140625" style="27" customWidth="1"/>
    <col min="10509" max="10509" width="39.88671875" style="27" customWidth="1"/>
    <col min="10510" max="10510" width="10.88671875" style="27" customWidth="1"/>
    <col min="10511" max="10511" width="10.44140625" style="27" customWidth="1"/>
    <col min="10512" max="10512" width="6.33203125" style="27" customWidth="1"/>
    <col min="10513" max="10513" width="14.88671875" style="27" customWidth="1"/>
    <col min="10514" max="10515" width="11.44140625" style="27" customWidth="1"/>
    <col min="10516" max="10518" width="8" style="27" customWidth="1"/>
    <col min="10519" max="10519" width="33.6640625" style="27" customWidth="1"/>
    <col min="10520" max="10520" width="38.5546875" style="27" customWidth="1"/>
    <col min="10521" max="10521" width="15.109375" style="27" customWidth="1"/>
    <col min="10522" max="10522" width="10.88671875" style="27" customWidth="1"/>
    <col min="10523" max="10524" width="6.88671875" style="27" customWidth="1"/>
    <col min="10525" max="10525" width="15.33203125" style="27" customWidth="1"/>
    <col min="10526" max="10526" width="13.6640625" style="27" customWidth="1"/>
    <col min="10527" max="10527" width="13.33203125" style="27" customWidth="1"/>
    <col min="10528" max="10528" width="15.44140625" style="27" customWidth="1"/>
    <col min="10529" max="10529" width="14.6640625" style="27" customWidth="1"/>
    <col min="10530" max="10530" width="14.5546875" style="27" customWidth="1"/>
    <col min="10531" max="10531" width="12.88671875" style="27" customWidth="1"/>
    <col min="10532" max="10532" width="14.6640625" style="27" customWidth="1"/>
    <col min="10533" max="10533" width="10.88671875" style="27" customWidth="1"/>
    <col min="10534" max="10534" width="15.44140625" style="27" customWidth="1"/>
    <col min="10535" max="10535" width="13" style="27" customWidth="1"/>
    <col min="10536" max="10536" width="13.88671875" style="27" customWidth="1"/>
    <col min="10537" max="10537" width="10.109375" style="27" customWidth="1"/>
    <col min="10538" max="10538" width="14.33203125" style="27" customWidth="1"/>
    <col min="10539" max="10539" width="13.6640625" style="27" customWidth="1"/>
    <col min="10540" max="10540" width="12" style="27" customWidth="1"/>
    <col min="10541" max="10541" width="15.44140625" style="27" customWidth="1"/>
    <col min="10542" max="10542" width="12.109375" style="27" customWidth="1"/>
    <col min="10543" max="10543" width="13.5546875" style="27" customWidth="1"/>
    <col min="10544" max="10544" width="14.5546875" style="27" customWidth="1"/>
    <col min="10545" max="10545" width="14.88671875" style="27" customWidth="1"/>
    <col min="10546" max="10546" width="15.88671875" style="27" customWidth="1"/>
    <col min="10547" max="10547" width="17.33203125" style="27" customWidth="1"/>
    <col min="10548" max="10548" width="15.44140625" style="27" customWidth="1"/>
    <col min="10549" max="10549" width="12.33203125" style="27" customWidth="1"/>
    <col min="10550" max="10550" width="15.5546875" style="27" customWidth="1"/>
    <col min="10551" max="10551" width="19" style="27" customWidth="1"/>
    <col min="10552" max="10552" width="16.109375" style="27" customWidth="1"/>
    <col min="10553" max="10553" width="15" style="27" customWidth="1"/>
    <col min="10554" max="10554" width="13.6640625" style="27" customWidth="1"/>
    <col min="10555" max="10556" width="8" style="27" customWidth="1"/>
    <col min="10557" max="10557" width="11.44140625" style="27" customWidth="1"/>
    <col min="10558" max="10558" width="16.6640625" style="27" customWidth="1"/>
    <col min="10559" max="10559" width="8.44140625" style="27" customWidth="1"/>
    <col min="10560" max="10560" width="8" style="27" customWidth="1"/>
    <col min="10561" max="10561" width="10.33203125" style="27" customWidth="1"/>
    <col min="10562" max="10562" width="8.6640625" style="27" customWidth="1"/>
    <col min="10563" max="10563" width="8" style="27" customWidth="1"/>
    <col min="10564" max="10564" width="10.33203125" style="27" bestFit="1" customWidth="1"/>
    <col min="10565" max="10565" width="8.109375" style="27" bestFit="1" customWidth="1"/>
    <col min="10566" max="10566" width="12.109375" style="27" customWidth="1"/>
    <col min="10567" max="10567" width="8.109375" style="27" bestFit="1" customWidth="1"/>
    <col min="10568" max="10568" width="9.44140625" style="27" bestFit="1" customWidth="1"/>
    <col min="10569" max="10569" width="8.109375" style="27" bestFit="1" customWidth="1"/>
    <col min="10570" max="10570" width="9.44140625" style="27" bestFit="1" customWidth="1"/>
    <col min="10571" max="10571" width="8.109375" style="27" bestFit="1" customWidth="1"/>
    <col min="10572" max="10572" width="9.44140625" style="27" bestFit="1" customWidth="1"/>
    <col min="10573" max="10573" width="8.109375" style="27" bestFit="1" customWidth="1"/>
    <col min="10574" max="10574" width="9.44140625" style="27" bestFit="1" customWidth="1"/>
    <col min="10575" max="10575" width="8.109375" style="27" bestFit="1" customWidth="1"/>
    <col min="10576" max="10576" width="9.109375" style="27"/>
    <col min="10577" max="10577" width="8.109375" style="27" bestFit="1" customWidth="1"/>
    <col min="10578" max="10578" width="9.109375" style="27"/>
    <col min="10579" max="10581" width="8.109375" style="27" bestFit="1" customWidth="1"/>
    <col min="10582" max="10582" width="9.44140625" style="27" bestFit="1" customWidth="1"/>
    <col min="10583" max="10583" width="8.109375" style="27" bestFit="1" customWidth="1"/>
    <col min="10584" max="10584" width="10.33203125" style="27" bestFit="1" customWidth="1"/>
    <col min="10585" max="10752" width="9.109375" style="27"/>
    <col min="10753" max="10753" width="9.5546875" style="27" customWidth="1"/>
    <col min="10754" max="10755" width="6.6640625" style="27" customWidth="1"/>
    <col min="10756" max="10756" width="10.33203125" style="27" customWidth="1"/>
    <col min="10757" max="10757" width="8.33203125" style="27" customWidth="1"/>
    <col min="10758" max="10758" width="8" style="27" customWidth="1"/>
    <col min="10759" max="10759" width="18.33203125" style="27" customWidth="1"/>
    <col min="10760" max="10760" width="7" style="27" customWidth="1"/>
    <col min="10761" max="10761" width="9.109375" style="27" customWidth="1"/>
    <col min="10762" max="10762" width="5.5546875" style="27" customWidth="1"/>
    <col min="10763" max="10763" width="9.44140625" style="27" customWidth="1"/>
    <col min="10764" max="10764" width="4.44140625" style="27" customWidth="1"/>
    <col min="10765" max="10765" width="39.88671875" style="27" customWidth="1"/>
    <col min="10766" max="10766" width="10.88671875" style="27" customWidth="1"/>
    <col min="10767" max="10767" width="10.44140625" style="27" customWidth="1"/>
    <col min="10768" max="10768" width="6.33203125" style="27" customWidth="1"/>
    <col min="10769" max="10769" width="14.88671875" style="27" customWidth="1"/>
    <col min="10770" max="10771" width="11.44140625" style="27" customWidth="1"/>
    <col min="10772" max="10774" width="8" style="27" customWidth="1"/>
    <col min="10775" max="10775" width="33.6640625" style="27" customWidth="1"/>
    <col min="10776" max="10776" width="38.5546875" style="27" customWidth="1"/>
    <col min="10777" max="10777" width="15.109375" style="27" customWidth="1"/>
    <col min="10778" max="10778" width="10.88671875" style="27" customWidth="1"/>
    <col min="10779" max="10780" width="6.88671875" style="27" customWidth="1"/>
    <col min="10781" max="10781" width="15.33203125" style="27" customWidth="1"/>
    <col min="10782" max="10782" width="13.6640625" style="27" customWidth="1"/>
    <col min="10783" max="10783" width="13.33203125" style="27" customWidth="1"/>
    <col min="10784" max="10784" width="15.44140625" style="27" customWidth="1"/>
    <col min="10785" max="10785" width="14.6640625" style="27" customWidth="1"/>
    <col min="10786" max="10786" width="14.5546875" style="27" customWidth="1"/>
    <col min="10787" max="10787" width="12.88671875" style="27" customWidth="1"/>
    <col min="10788" max="10788" width="14.6640625" style="27" customWidth="1"/>
    <col min="10789" max="10789" width="10.88671875" style="27" customWidth="1"/>
    <col min="10790" max="10790" width="15.44140625" style="27" customWidth="1"/>
    <col min="10791" max="10791" width="13" style="27" customWidth="1"/>
    <col min="10792" max="10792" width="13.88671875" style="27" customWidth="1"/>
    <col min="10793" max="10793" width="10.109375" style="27" customWidth="1"/>
    <col min="10794" max="10794" width="14.33203125" style="27" customWidth="1"/>
    <col min="10795" max="10795" width="13.6640625" style="27" customWidth="1"/>
    <col min="10796" max="10796" width="12" style="27" customWidth="1"/>
    <col min="10797" max="10797" width="15.44140625" style="27" customWidth="1"/>
    <col min="10798" max="10798" width="12.109375" style="27" customWidth="1"/>
    <col min="10799" max="10799" width="13.5546875" style="27" customWidth="1"/>
    <col min="10800" max="10800" width="14.5546875" style="27" customWidth="1"/>
    <col min="10801" max="10801" width="14.88671875" style="27" customWidth="1"/>
    <col min="10802" max="10802" width="15.88671875" style="27" customWidth="1"/>
    <col min="10803" max="10803" width="17.33203125" style="27" customWidth="1"/>
    <col min="10804" max="10804" width="15.44140625" style="27" customWidth="1"/>
    <col min="10805" max="10805" width="12.33203125" style="27" customWidth="1"/>
    <col min="10806" max="10806" width="15.5546875" style="27" customWidth="1"/>
    <col min="10807" max="10807" width="19" style="27" customWidth="1"/>
    <col min="10808" max="10808" width="16.109375" style="27" customWidth="1"/>
    <col min="10809" max="10809" width="15" style="27" customWidth="1"/>
    <col min="10810" max="10810" width="13.6640625" style="27" customWidth="1"/>
    <col min="10811" max="10812" width="8" style="27" customWidth="1"/>
    <col min="10813" max="10813" width="11.44140625" style="27" customWidth="1"/>
    <col min="10814" max="10814" width="16.6640625" style="27" customWidth="1"/>
    <col min="10815" max="10815" width="8.44140625" style="27" customWidth="1"/>
    <col min="10816" max="10816" width="8" style="27" customWidth="1"/>
    <col min="10817" max="10817" width="10.33203125" style="27" customWidth="1"/>
    <col min="10818" max="10818" width="8.6640625" style="27" customWidth="1"/>
    <col min="10819" max="10819" width="8" style="27" customWidth="1"/>
    <col min="10820" max="10820" width="10.33203125" style="27" bestFit="1" customWidth="1"/>
    <col min="10821" max="10821" width="8.109375" style="27" bestFit="1" customWidth="1"/>
    <col min="10822" max="10822" width="12.109375" style="27" customWidth="1"/>
    <col min="10823" max="10823" width="8.109375" style="27" bestFit="1" customWidth="1"/>
    <col min="10824" max="10824" width="9.44140625" style="27" bestFit="1" customWidth="1"/>
    <col min="10825" max="10825" width="8.109375" style="27" bestFit="1" customWidth="1"/>
    <col min="10826" max="10826" width="9.44140625" style="27" bestFit="1" customWidth="1"/>
    <col min="10827" max="10827" width="8.109375" style="27" bestFit="1" customWidth="1"/>
    <col min="10828" max="10828" width="9.44140625" style="27" bestFit="1" customWidth="1"/>
    <col min="10829" max="10829" width="8.109375" style="27" bestFit="1" customWidth="1"/>
    <col min="10830" max="10830" width="9.44140625" style="27" bestFit="1" customWidth="1"/>
    <col min="10831" max="10831" width="8.109375" style="27" bestFit="1" customWidth="1"/>
    <col min="10832" max="10832" width="9.109375" style="27"/>
    <col min="10833" max="10833" width="8.109375" style="27" bestFit="1" customWidth="1"/>
    <col min="10834" max="10834" width="9.109375" style="27"/>
    <col min="10835" max="10837" width="8.109375" style="27" bestFit="1" customWidth="1"/>
    <col min="10838" max="10838" width="9.44140625" style="27" bestFit="1" customWidth="1"/>
    <col min="10839" max="10839" width="8.109375" style="27" bestFit="1" customWidth="1"/>
    <col min="10840" max="10840" width="10.33203125" style="27" bestFit="1" customWidth="1"/>
    <col min="10841" max="11008" width="9.109375" style="27"/>
    <col min="11009" max="11009" width="9.5546875" style="27" customWidth="1"/>
    <col min="11010" max="11011" width="6.6640625" style="27" customWidth="1"/>
    <col min="11012" max="11012" width="10.33203125" style="27" customWidth="1"/>
    <col min="11013" max="11013" width="8.33203125" style="27" customWidth="1"/>
    <col min="11014" max="11014" width="8" style="27" customWidth="1"/>
    <col min="11015" max="11015" width="18.33203125" style="27" customWidth="1"/>
    <col min="11016" max="11016" width="7" style="27" customWidth="1"/>
    <col min="11017" max="11017" width="9.109375" style="27" customWidth="1"/>
    <col min="11018" max="11018" width="5.5546875" style="27" customWidth="1"/>
    <col min="11019" max="11019" width="9.44140625" style="27" customWidth="1"/>
    <col min="11020" max="11020" width="4.44140625" style="27" customWidth="1"/>
    <col min="11021" max="11021" width="39.88671875" style="27" customWidth="1"/>
    <col min="11022" max="11022" width="10.88671875" style="27" customWidth="1"/>
    <col min="11023" max="11023" width="10.44140625" style="27" customWidth="1"/>
    <col min="11024" max="11024" width="6.33203125" style="27" customWidth="1"/>
    <col min="11025" max="11025" width="14.88671875" style="27" customWidth="1"/>
    <col min="11026" max="11027" width="11.44140625" style="27" customWidth="1"/>
    <col min="11028" max="11030" width="8" style="27" customWidth="1"/>
    <col min="11031" max="11031" width="33.6640625" style="27" customWidth="1"/>
    <col min="11032" max="11032" width="38.5546875" style="27" customWidth="1"/>
    <col min="11033" max="11033" width="15.109375" style="27" customWidth="1"/>
    <col min="11034" max="11034" width="10.88671875" style="27" customWidth="1"/>
    <col min="11035" max="11036" width="6.88671875" style="27" customWidth="1"/>
    <col min="11037" max="11037" width="15.33203125" style="27" customWidth="1"/>
    <col min="11038" max="11038" width="13.6640625" style="27" customWidth="1"/>
    <col min="11039" max="11039" width="13.33203125" style="27" customWidth="1"/>
    <col min="11040" max="11040" width="15.44140625" style="27" customWidth="1"/>
    <col min="11041" max="11041" width="14.6640625" style="27" customWidth="1"/>
    <col min="11042" max="11042" width="14.5546875" style="27" customWidth="1"/>
    <col min="11043" max="11043" width="12.88671875" style="27" customWidth="1"/>
    <col min="11044" max="11044" width="14.6640625" style="27" customWidth="1"/>
    <col min="11045" max="11045" width="10.88671875" style="27" customWidth="1"/>
    <col min="11046" max="11046" width="15.44140625" style="27" customWidth="1"/>
    <col min="11047" max="11047" width="13" style="27" customWidth="1"/>
    <col min="11048" max="11048" width="13.88671875" style="27" customWidth="1"/>
    <col min="11049" max="11049" width="10.109375" style="27" customWidth="1"/>
    <col min="11050" max="11050" width="14.33203125" style="27" customWidth="1"/>
    <col min="11051" max="11051" width="13.6640625" style="27" customWidth="1"/>
    <col min="11052" max="11052" width="12" style="27" customWidth="1"/>
    <col min="11053" max="11053" width="15.44140625" style="27" customWidth="1"/>
    <col min="11054" max="11054" width="12.109375" style="27" customWidth="1"/>
    <col min="11055" max="11055" width="13.5546875" style="27" customWidth="1"/>
    <col min="11056" max="11056" width="14.5546875" style="27" customWidth="1"/>
    <col min="11057" max="11057" width="14.88671875" style="27" customWidth="1"/>
    <col min="11058" max="11058" width="15.88671875" style="27" customWidth="1"/>
    <col min="11059" max="11059" width="17.33203125" style="27" customWidth="1"/>
    <col min="11060" max="11060" width="15.44140625" style="27" customWidth="1"/>
    <col min="11061" max="11061" width="12.33203125" style="27" customWidth="1"/>
    <col min="11062" max="11062" width="15.5546875" style="27" customWidth="1"/>
    <col min="11063" max="11063" width="19" style="27" customWidth="1"/>
    <col min="11064" max="11064" width="16.109375" style="27" customWidth="1"/>
    <col min="11065" max="11065" width="15" style="27" customWidth="1"/>
    <col min="11066" max="11066" width="13.6640625" style="27" customWidth="1"/>
    <col min="11067" max="11068" width="8" style="27" customWidth="1"/>
    <col min="11069" max="11069" width="11.44140625" style="27" customWidth="1"/>
    <col min="11070" max="11070" width="16.6640625" style="27" customWidth="1"/>
    <col min="11071" max="11071" width="8.44140625" style="27" customWidth="1"/>
    <col min="11072" max="11072" width="8" style="27" customWidth="1"/>
    <col min="11073" max="11073" width="10.33203125" style="27" customWidth="1"/>
    <col min="11074" max="11074" width="8.6640625" style="27" customWidth="1"/>
    <col min="11075" max="11075" width="8" style="27" customWidth="1"/>
    <col min="11076" max="11076" width="10.33203125" style="27" bestFit="1" customWidth="1"/>
    <col min="11077" max="11077" width="8.109375" style="27" bestFit="1" customWidth="1"/>
    <col min="11078" max="11078" width="12.109375" style="27" customWidth="1"/>
    <col min="11079" max="11079" width="8.109375" style="27" bestFit="1" customWidth="1"/>
    <col min="11080" max="11080" width="9.44140625" style="27" bestFit="1" customWidth="1"/>
    <col min="11081" max="11081" width="8.109375" style="27" bestFit="1" customWidth="1"/>
    <col min="11082" max="11082" width="9.44140625" style="27" bestFit="1" customWidth="1"/>
    <col min="11083" max="11083" width="8.109375" style="27" bestFit="1" customWidth="1"/>
    <col min="11084" max="11084" width="9.44140625" style="27" bestFit="1" customWidth="1"/>
    <col min="11085" max="11085" width="8.109375" style="27" bestFit="1" customWidth="1"/>
    <col min="11086" max="11086" width="9.44140625" style="27" bestFit="1" customWidth="1"/>
    <col min="11087" max="11087" width="8.109375" style="27" bestFit="1" customWidth="1"/>
    <col min="11088" max="11088" width="9.109375" style="27"/>
    <col min="11089" max="11089" width="8.109375" style="27" bestFit="1" customWidth="1"/>
    <col min="11090" max="11090" width="9.109375" style="27"/>
    <col min="11091" max="11093" width="8.109375" style="27" bestFit="1" customWidth="1"/>
    <col min="11094" max="11094" width="9.44140625" style="27" bestFit="1" customWidth="1"/>
    <col min="11095" max="11095" width="8.109375" style="27" bestFit="1" customWidth="1"/>
    <col min="11096" max="11096" width="10.33203125" style="27" bestFit="1" customWidth="1"/>
    <col min="11097" max="11264" width="9.109375" style="27"/>
    <col min="11265" max="11265" width="9.5546875" style="27" customWidth="1"/>
    <col min="11266" max="11267" width="6.6640625" style="27" customWidth="1"/>
    <col min="11268" max="11268" width="10.33203125" style="27" customWidth="1"/>
    <col min="11269" max="11269" width="8.33203125" style="27" customWidth="1"/>
    <col min="11270" max="11270" width="8" style="27" customWidth="1"/>
    <col min="11271" max="11271" width="18.33203125" style="27" customWidth="1"/>
    <col min="11272" max="11272" width="7" style="27" customWidth="1"/>
    <col min="11273" max="11273" width="9.109375" style="27" customWidth="1"/>
    <col min="11274" max="11274" width="5.5546875" style="27" customWidth="1"/>
    <col min="11275" max="11275" width="9.44140625" style="27" customWidth="1"/>
    <col min="11276" max="11276" width="4.44140625" style="27" customWidth="1"/>
    <col min="11277" max="11277" width="39.88671875" style="27" customWidth="1"/>
    <col min="11278" max="11278" width="10.88671875" style="27" customWidth="1"/>
    <col min="11279" max="11279" width="10.44140625" style="27" customWidth="1"/>
    <col min="11280" max="11280" width="6.33203125" style="27" customWidth="1"/>
    <col min="11281" max="11281" width="14.88671875" style="27" customWidth="1"/>
    <col min="11282" max="11283" width="11.44140625" style="27" customWidth="1"/>
    <col min="11284" max="11286" width="8" style="27" customWidth="1"/>
    <col min="11287" max="11287" width="33.6640625" style="27" customWidth="1"/>
    <col min="11288" max="11288" width="38.5546875" style="27" customWidth="1"/>
    <col min="11289" max="11289" width="15.109375" style="27" customWidth="1"/>
    <col min="11290" max="11290" width="10.88671875" style="27" customWidth="1"/>
    <col min="11291" max="11292" width="6.88671875" style="27" customWidth="1"/>
    <col min="11293" max="11293" width="15.33203125" style="27" customWidth="1"/>
    <col min="11294" max="11294" width="13.6640625" style="27" customWidth="1"/>
    <col min="11295" max="11295" width="13.33203125" style="27" customWidth="1"/>
    <col min="11296" max="11296" width="15.44140625" style="27" customWidth="1"/>
    <col min="11297" max="11297" width="14.6640625" style="27" customWidth="1"/>
    <col min="11298" max="11298" width="14.5546875" style="27" customWidth="1"/>
    <col min="11299" max="11299" width="12.88671875" style="27" customWidth="1"/>
    <col min="11300" max="11300" width="14.6640625" style="27" customWidth="1"/>
    <col min="11301" max="11301" width="10.88671875" style="27" customWidth="1"/>
    <col min="11302" max="11302" width="15.44140625" style="27" customWidth="1"/>
    <col min="11303" max="11303" width="13" style="27" customWidth="1"/>
    <col min="11304" max="11304" width="13.88671875" style="27" customWidth="1"/>
    <col min="11305" max="11305" width="10.109375" style="27" customWidth="1"/>
    <col min="11306" max="11306" width="14.33203125" style="27" customWidth="1"/>
    <col min="11307" max="11307" width="13.6640625" style="27" customWidth="1"/>
    <col min="11308" max="11308" width="12" style="27" customWidth="1"/>
    <col min="11309" max="11309" width="15.44140625" style="27" customWidth="1"/>
    <col min="11310" max="11310" width="12.109375" style="27" customWidth="1"/>
    <col min="11311" max="11311" width="13.5546875" style="27" customWidth="1"/>
    <col min="11312" max="11312" width="14.5546875" style="27" customWidth="1"/>
    <col min="11313" max="11313" width="14.88671875" style="27" customWidth="1"/>
    <col min="11314" max="11314" width="15.88671875" style="27" customWidth="1"/>
    <col min="11315" max="11315" width="17.33203125" style="27" customWidth="1"/>
    <col min="11316" max="11316" width="15.44140625" style="27" customWidth="1"/>
    <col min="11317" max="11317" width="12.33203125" style="27" customWidth="1"/>
    <col min="11318" max="11318" width="15.5546875" style="27" customWidth="1"/>
    <col min="11319" max="11319" width="19" style="27" customWidth="1"/>
    <col min="11320" max="11320" width="16.109375" style="27" customWidth="1"/>
    <col min="11321" max="11321" width="15" style="27" customWidth="1"/>
    <col min="11322" max="11322" width="13.6640625" style="27" customWidth="1"/>
    <col min="11323" max="11324" width="8" style="27" customWidth="1"/>
    <col min="11325" max="11325" width="11.44140625" style="27" customWidth="1"/>
    <col min="11326" max="11326" width="16.6640625" style="27" customWidth="1"/>
    <col min="11327" max="11327" width="8.44140625" style="27" customWidth="1"/>
    <col min="11328" max="11328" width="8" style="27" customWidth="1"/>
    <col min="11329" max="11329" width="10.33203125" style="27" customWidth="1"/>
    <col min="11330" max="11330" width="8.6640625" style="27" customWidth="1"/>
    <col min="11331" max="11331" width="8" style="27" customWidth="1"/>
    <col min="11332" max="11332" width="10.33203125" style="27" bestFit="1" customWidth="1"/>
    <col min="11333" max="11333" width="8.109375" style="27" bestFit="1" customWidth="1"/>
    <col min="11334" max="11334" width="12.109375" style="27" customWidth="1"/>
    <col min="11335" max="11335" width="8.109375" style="27" bestFit="1" customWidth="1"/>
    <col min="11336" max="11336" width="9.44140625" style="27" bestFit="1" customWidth="1"/>
    <col min="11337" max="11337" width="8.109375" style="27" bestFit="1" customWidth="1"/>
    <col min="11338" max="11338" width="9.44140625" style="27" bestFit="1" customWidth="1"/>
    <col min="11339" max="11339" width="8.109375" style="27" bestFit="1" customWidth="1"/>
    <col min="11340" max="11340" width="9.44140625" style="27" bestFit="1" customWidth="1"/>
    <col min="11341" max="11341" width="8.109375" style="27" bestFit="1" customWidth="1"/>
    <col min="11342" max="11342" width="9.44140625" style="27" bestFit="1" customWidth="1"/>
    <col min="11343" max="11343" width="8.109375" style="27" bestFit="1" customWidth="1"/>
    <col min="11344" max="11344" width="9.109375" style="27"/>
    <col min="11345" max="11345" width="8.109375" style="27" bestFit="1" customWidth="1"/>
    <col min="11346" max="11346" width="9.109375" style="27"/>
    <col min="11347" max="11349" width="8.109375" style="27" bestFit="1" customWidth="1"/>
    <col min="11350" max="11350" width="9.44140625" style="27" bestFit="1" customWidth="1"/>
    <col min="11351" max="11351" width="8.109375" style="27" bestFit="1" customWidth="1"/>
    <col min="11352" max="11352" width="10.33203125" style="27" bestFit="1" customWidth="1"/>
    <col min="11353" max="11520" width="9.109375" style="27"/>
    <col min="11521" max="11521" width="9.5546875" style="27" customWidth="1"/>
    <col min="11522" max="11523" width="6.6640625" style="27" customWidth="1"/>
    <col min="11524" max="11524" width="10.33203125" style="27" customWidth="1"/>
    <col min="11525" max="11525" width="8.33203125" style="27" customWidth="1"/>
    <col min="11526" max="11526" width="8" style="27" customWidth="1"/>
    <col min="11527" max="11527" width="18.33203125" style="27" customWidth="1"/>
    <col min="11528" max="11528" width="7" style="27" customWidth="1"/>
    <col min="11529" max="11529" width="9.109375" style="27" customWidth="1"/>
    <col min="11530" max="11530" width="5.5546875" style="27" customWidth="1"/>
    <col min="11531" max="11531" width="9.44140625" style="27" customWidth="1"/>
    <col min="11532" max="11532" width="4.44140625" style="27" customWidth="1"/>
    <col min="11533" max="11533" width="39.88671875" style="27" customWidth="1"/>
    <col min="11534" max="11534" width="10.88671875" style="27" customWidth="1"/>
    <col min="11535" max="11535" width="10.44140625" style="27" customWidth="1"/>
    <col min="11536" max="11536" width="6.33203125" style="27" customWidth="1"/>
    <col min="11537" max="11537" width="14.88671875" style="27" customWidth="1"/>
    <col min="11538" max="11539" width="11.44140625" style="27" customWidth="1"/>
    <col min="11540" max="11542" width="8" style="27" customWidth="1"/>
    <col min="11543" max="11543" width="33.6640625" style="27" customWidth="1"/>
    <col min="11544" max="11544" width="38.5546875" style="27" customWidth="1"/>
    <col min="11545" max="11545" width="15.109375" style="27" customWidth="1"/>
    <col min="11546" max="11546" width="10.88671875" style="27" customWidth="1"/>
    <col min="11547" max="11548" width="6.88671875" style="27" customWidth="1"/>
    <col min="11549" max="11549" width="15.33203125" style="27" customWidth="1"/>
    <col min="11550" max="11550" width="13.6640625" style="27" customWidth="1"/>
    <col min="11551" max="11551" width="13.33203125" style="27" customWidth="1"/>
    <col min="11552" max="11552" width="15.44140625" style="27" customWidth="1"/>
    <col min="11553" max="11553" width="14.6640625" style="27" customWidth="1"/>
    <col min="11554" max="11554" width="14.5546875" style="27" customWidth="1"/>
    <col min="11555" max="11555" width="12.88671875" style="27" customWidth="1"/>
    <col min="11556" max="11556" width="14.6640625" style="27" customWidth="1"/>
    <col min="11557" max="11557" width="10.88671875" style="27" customWidth="1"/>
    <col min="11558" max="11558" width="15.44140625" style="27" customWidth="1"/>
    <col min="11559" max="11559" width="13" style="27" customWidth="1"/>
    <col min="11560" max="11560" width="13.88671875" style="27" customWidth="1"/>
    <col min="11561" max="11561" width="10.109375" style="27" customWidth="1"/>
    <col min="11562" max="11562" width="14.33203125" style="27" customWidth="1"/>
    <col min="11563" max="11563" width="13.6640625" style="27" customWidth="1"/>
    <col min="11564" max="11564" width="12" style="27" customWidth="1"/>
    <col min="11565" max="11565" width="15.44140625" style="27" customWidth="1"/>
    <col min="11566" max="11566" width="12.109375" style="27" customWidth="1"/>
    <col min="11567" max="11567" width="13.5546875" style="27" customWidth="1"/>
    <col min="11568" max="11568" width="14.5546875" style="27" customWidth="1"/>
    <col min="11569" max="11569" width="14.88671875" style="27" customWidth="1"/>
    <col min="11570" max="11570" width="15.88671875" style="27" customWidth="1"/>
    <col min="11571" max="11571" width="17.33203125" style="27" customWidth="1"/>
    <col min="11572" max="11572" width="15.44140625" style="27" customWidth="1"/>
    <col min="11573" max="11573" width="12.33203125" style="27" customWidth="1"/>
    <col min="11574" max="11574" width="15.5546875" style="27" customWidth="1"/>
    <col min="11575" max="11575" width="19" style="27" customWidth="1"/>
    <col min="11576" max="11576" width="16.109375" style="27" customWidth="1"/>
    <col min="11577" max="11577" width="15" style="27" customWidth="1"/>
    <col min="11578" max="11578" width="13.6640625" style="27" customWidth="1"/>
    <col min="11579" max="11580" width="8" style="27" customWidth="1"/>
    <col min="11581" max="11581" width="11.44140625" style="27" customWidth="1"/>
    <col min="11582" max="11582" width="16.6640625" style="27" customWidth="1"/>
    <col min="11583" max="11583" width="8.44140625" style="27" customWidth="1"/>
    <col min="11584" max="11584" width="8" style="27" customWidth="1"/>
    <col min="11585" max="11585" width="10.33203125" style="27" customWidth="1"/>
    <col min="11586" max="11586" width="8.6640625" style="27" customWidth="1"/>
    <col min="11587" max="11587" width="8" style="27" customWidth="1"/>
    <col min="11588" max="11588" width="10.33203125" style="27" bestFit="1" customWidth="1"/>
    <col min="11589" max="11589" width="8.109375" style="27" bestFit="1" customWidth="1"/>
    <col min="11590" max="11590" width="12.109375" style="27" customWidth="1"/>
    <col min="11591" max="11591" width="8.109375" style="27" bestFit="1" customWidth="1"/>
    <col min="11592" max="11592" width="9.44140625" style="27" bestFit="1" customWidth="1"/>
    <col min="11593" max="11593" width="8.109375" style="27" bestFit="1" customWidth="1"/>
    <col min="11594" max="11594" width="9.44140625" style="27" bestFit="1" customWidth="1"/>
    <col min="11595" max="11595" width="8.109375" style="27" bestFit="1" customWidth="1"/>
    <col min="11596" max="11596" width="9.44140625" style="27" bestFit="1" customWidth="1"/>
    <col min="11597" max="11597" width="8.109375" style="27" bestFit="1" customWidth="1"/>
    <col min="11598" max="11598" width="9.44140625" style="27" bestFit="1" customWidth="1"/>
    <col min="11599" max="11599" width="8.109375" style="27" bestFit="1" customWidth="1"/>
    <col min="11600" max="11600" width="9.109375" style="27"/>
    <col min="11601" max="11601" width="8.109375" style="27" bestFit="1" customWidth="1"/>
    <col min="11602" max="11602" width="9.109375" style="27"/>
    <col min="11603" max="11605" width="8.109375" style="27" bestFit="1" customWidth="1"/>
    <col min="11606" max="11606" width="9.44140625" style="27" bestFit="1" customWidth="1"/>
    <col min="11607" max="11607" width="8.109375" style="27" bestFit="1" customWidth="1"/>
    <col min="11608" max="11608" width="10.33203125" style="27" bestFit="1" customWidth="1"/>
    <col min="11609" max="11776" width="9.109375" style="27"/>
    <col min="11777" max="11777" width="9.5546875" style="27" customWidth="1"/>
    <col min="11778" max="11779" width="6.6640625" style="27" customWidth="1"/>
    <col min="11780" max="11780" width="10.33203125" style="27" customWidth="1"/>
    <col min="11781" max="11781" width="8.33203125" style="27" customWidth="1"/>
    <col min="11782" max="11782" width="8" style="27" customWidth="1"/>
    <col min="11783" max="11783" width="18.33203125" style="27" customWidth="1"/>
    <col min="11784" max="11784" width="7" style="27" customWidth="1"/>
    <col min="11785" max="11785" width="9.109375" style="27" customWidth="1"/>
    <col min="11786" max="11786" width="5.5546875" style="27" customWidth="1"/>
    <col min="11787" max="11787" width="9.44140625" style="27" customWidth="1"/>
    <col min="11788" max="11788" width="4.44140625" style="27" customWidth="1"/>
    <col min="11789" max="11789" width="39.88671875" style="27" customWidth="1"/>
    <col min="11790" max="11790" width="10.88671875" style="27" customWidth="1"/>
    <col min="11791" max="11791" width="10.44140625" style="27" customWidth="1"/>
    <col min="11792" max="11792" width="6.33203125" style="27" customWidth="1"/>
    <col min="11793" max="11793" width="14.88671875" style="27" customWidth="1"/>
    <col min="11794" max="11795" width="11.44140625" style="27" customWidth="1"/>
    <col min="11796" max="11798" width="8" style="27" customWidth="1"/>
    <col min="11799" max="11799" width="33.6640625" style="27" customWidth="1"/>
    <col min="11800" max="11800" width="38.5546875" style="27" customWidth="1"/>
    <col min="11801" max="11801" width="15.109375" style="27" customWidth="1"/>
    <col min="11802" max="11802" width="10.88671875" style="27" customWidth="1"/>
    <col min="11803" max="11804" width="6.88671875" style="27" customWidth="1"/>
    <col min="11805" max="11805" width="15.33203125" style="27" customWidth="1"/>
    <col min="11806" max="11806" width="13.6640625" style="27" customWidth="1"/>
    <col min="11807" max="11807" width="13.33203125" style="27" customWidth="1"/>
    <col min="11808" max="11808" width="15.44140625" style="27" customWidth="1"/>
    <col min="11809" max="11809" width="14.6640625" style="27" customWidth="1"/>
    <col min="11810" max="11810" width="14.5546875" style="27" customWidth="1"/>
    <col min="11811" max="11811" width="12.88671875" style="27" customWidth="1"/>
    <col min="11812" max="11812" width="14.6640625" style="27" customWidth="1"/>
    <col min="11813" max="11813" width="10.88671875" style="27" customWidth="1"/>
    <col min="11814" max="11814" width="15.44140625" style="27" customWidth="1"/>
    <col min="11815" max="11815" width="13" style="27" customWidth="1"/>
    <col min="11816" max="11816" width="13.88671875" style="27" customWidth="1"/>
    <col min="11817" max="11817" width="10.109375" style="27" customWidth="1"/>
    <col min="11818" max="11818" width="14.33203125" style="27" customWidth="1"/>
    <col min="11819" max="11819" width="13.6640625" style="27" customWidth="1"/>
    <col min="11820" max="11820" width="12" style="27" customWidth="1"/>
    <col min="11821" max="11821" width="15.44140625" style="27" customWidth="1"/>
    <col min="11822" max="11822" width="12.109375" style="27" customWidth="1"/>
    <col min="11823" max="11823" width="13.5546875" style="27" customWidth="1"/>
    <col min="11824" max="11824" width="14.5546875" style="27" customWidth="1"/>
    <col min="11825" max="11825" width="14.88671875" style="27" customWidth="1"/>
    <col min="11826" max="11826" width="15.88671875" style="27" customWidth="1"/>
    <col min="11827" max="11827" width="17.33203125" style="27" customWidth="1"/>
    <col min="11828" max="11828" width="15.44140625" style="27" customWidth="1"/>
    <col min="11829" max="11829" width="12.33203125" style="27" customWidth="1"/>
    <col min="11830" max="11830" width="15.5546875" style="27" customWidth="1"/>
    <col min="11831" max="11831" width="19" style="27" customWidth="1"/>
    <col min="11832" max="11832" width="16.109375" style="27" customWidth="1"/>
    <col min="11833" max="11833" width="15" style="27" customWidth="1"/>
    <col min="11834" max="11834" width="13.6640625" style="27" customWidth="1"/>
    <col min="11835" max="11836" width="8" style="27" customWidth="1"/>
    <col min="11837" max="11837" width="11.44140625" style="27" customWidth="1"/>
    <col min="11838" max="11838" width="16.6640625" style="27" customWidth="1"/>
    <col min="11839" max="11839" width="8.44140625" style="27" customWidth="1"/>
    <col min="11840" max="11840" width="8" style="27" customWidth="1"/>
    <col min="11841" max="11841" width="10.33203125" style="27" customWidth="1"/>
    <col min="11842" max="11842" width="8.6640625" style="27" customWidth="1"/>
    <col min="11843" max="11843" width="8" style="27" customWidth="1"/>
    <col min="11844" max="11844" width="10.33203125" style="27" bestFit="1" customWidth="1"/>
    <col min="11845" max="11845" width="8.109375" style="27" bestFit="1" customWidth="1"/>
    <col min="11846" max="11846" width="12.109375" style="27" customWidth="1"/>
    <col min="11847" max="11847" width="8.109375" style="27" bestFit="1" customWidth="1"/>
    <col min="11848" max="11848" width="9.44140625" style="27" bestFit="1" customWidth="1"/>
    <col min="11849" max="11849" width="8.109375" style="27" bestFit="1" customWidth="1"/>
    <col min="11850" max="11850" width="9.44140625" style="27" bestFit="1" customWidth="1"/>
    <col min="11851" max="11851" width="8.109375" style="27" bestFit="1" customWidth="1"/>
    <col min="11852" max="11852" width="9.44140625" style="27" bestFit="1" customWidth="1"/>
    <col min="11853" max="11853" width="8.109375" style="27" bestFit="1" customWidth="1"/>
    <col min="11854" max="11854" width="9.44140625" style="27" bestFit="1" customWidth="1"/>
    <col min="11855" max="11855" width="8.109375" style="27" bestFit="1" customWidth="1"/>
    <col min="11856" max="11856" width="9.109375" style="27"/>
    <col min="11857" max="11857" width="8.109375" style="27" bestFit="1" customWidth="1"/>
    <col min="11858" max="11858" width="9.109375" style="27"/>
    <col min="11859" max="11861" width="8.109375" style="27" bestFit="1" customWidth="1"/>
    <col min="11862" max="11862" width="9.44140625" style="27" bestFit="1" customWidth="1"/>
    <col min="11863" max="11863" width="8.109375" style="27" bestFit="1" customWidth="1"/>
    <col min="11864" max="11864" width="10.33203125" style="27" bestFit="1" customWidth="1"/>
    <col min="11865" max="12032" width="9.109375" style="27"/>
    <col min="12033" max="12033" width="9.5546875" style="27" customWidth="1"/>
    <col min="12034" max="12035" width="6.6640625" style="27" customWidth="1"/>
    <col min="12036" max="12036" width="10.33203125" style="27" customWidth="1"/>
    <col min="12037" max="12037" width="8.33203125" style="27" customWidth="1"/>
    <col min="12038" max="12038" width="8" style="27" customWidth="1"/>
    <col min="12039" max="12039" width="18.33203125" style="27" customWidth="1"/>
    <col min="12040" max="12040" width="7" style="27" customWidth="1"/>
    <col min="12041" max="12041" width="9.109375" style="27" customWidth="1"/>
    <col min="12042" max="12042" width="5.5546875" style="27" customWidth="1"/>
    <col min="12043" max="12043" width="9.44140625" style="27" customWidth="1"/>
    <col min="12044" max="12044" width="4.44140625" style="27" customWidth="1"/>
    <col min="12045" max="12045" width="39.88671875" style="27" customWidth="1"/>
    <col min="12046" max="12046" width="10.88671875" style="27" customWidth="1"/>
    <col min="12047" max="12047" width="10.44140625" style="27" customWidth="1"/>
    <col min="12048" max="12048" width="6.33203125" style="27" customWidth="1"/>
    <col min="12049" max="12049" width="14.88671875" style="27" customWidth="1"/>
    <col min="12050" max="12051" width="11.44140625" style="27" customWidth="1"/>
    <col min="12052" max="12054" width="8" style="27" customWidth="1"/>
    <col min="12055" max="12055" width="33.6640625" style="27" customWidth="1"/>
    <col min="12056" max="12056" width="38.5546875" style="27" customWidth="1"/>
    <col min="12057" max="12057" width="15.109375" style="27" customWidth="1"/>
    <col min="12058" max="12058" width="10.88671875" style="27" customWidth="1"/>
    <col min="12059" max="12060" width="6.88671875" style="27" customWidth="1"/>
    <col min="12061" max="12061" width="15.33203125" style="27" customWidth="1"/>
    <col min="12062" max="12062" width="13.6640625" style="27" customWidth="1"/>
    <col min="12063" max="12063" width="13.33203125" style="27" customWidth="1"/>
    <col min="12064" max="12064" width="15.44140625" style="27" customWidth="1"/>
    <col min="12065" max="12065" width="14.6640625" style="27" customWidth="1"/>
    <col min="12066" max="12066" width="14.5546875" style="27" customWidth="1"/>
    <col min="12067" max="12067" width="12.88671875" style="27" customWidth="1"/>
    <col min="12068" max="12068" width="14.6640625" style="27" customWidth="1"/>
    <col min="12069" max="12069" width="10.88671875" style="27" customWidth="1"/>
    <col min="12070" max="12070" width="15.44140625" style="27" customWidth="1"/>
    <col min="12071" max="12071" width="13" style="27" customWidth="1"/>
    <col min="12072" max="12072" width="13.88671875" style="27" customWidth="1"/>
    <col min="12073" max="12073" width="10.109375" style="27" customWidth="1"/>
    <col min="12074" max="12074" width="14.33203125" style="27" customWidth="1"/>
    <col min="12075" max="12075" width="13.6640625" style="27" customWidth="1"/>
    <col min="12076" max="12076" width="12" style="27" customWidth="1"/>
    <col min="12077" max="12077" width="15.44140625" style="27" customWidth="1"/>
    <col min="12078" max="12078" width="12.109375" style="27" customWidth="1"/>
    <col min="12079" max="12079" width="13.5546875" style="27" customWidth="1"/>
    <col min="12080" max="12080" width="14.5546875" style="27" customWidth="1"/>
    <col min="12081" max="12081" width="14.88671875" style="27" customWidth="1"/>
    <col min="12082" max="12082" width="15.88671875" style="27" customWidth="1"/>
    <col min="12083" max="12083" width="17.33203125" style="27" customWidth="1"/>
    <col min="12084" max="12084" width="15.44140625" style="27" customWidth="1"/>
    <col min="12085" max="12085" width="12.33203125" style="27" customWidth="1"/>
    <col min="12086" max="12086" width="15.5546875" style="27" customWidth="1"/>
    <col min="12087" max="12087" width="19" style="27" customWidth="1"/>
    <col min="12088" max="12088" width="16.109375" style="27" customWidth="1"/>
    <col min="12089" max="12089" width="15" style="27" customWidth="1"/>
    <col min="12090" max="12090" width="13.6640625" style="27" customWidth="1"/>
    <col min="12091" max="12092" width="8" style="27" customWidth="1"/>
    <col min="12093" max="12093" width="11.44140625" style="27" customWidth="1"/>
    <col min="12094" max="12094" width="16.6640625" style="27" customWidth="1"/>
    <col min="12095" max="12095" width="8.44140625" style="27" customWidth="1"/>
    <col min="12096" max="12096" width="8" style="27" customWidth="1"/>
    <col min="12097" max="12097" width="10.33203125" style="27" customWidth="1"/>
    <col min="12098" max="12098" width="8.6640625" style="27" customWidth="1"/>
    <col min="12099" max="12099" width="8" style="27" customWidth="1"/>
    <col min="12100" max="12100" width="10.33203125" style="27" bestFit="1" customWidth="1"/>
    <col min="12101" max="12101" width="8.109375" style="27" bestFit="1" customWidth="1"/>
    <col min="12102" max="12102" width="12.109375" style="27" customWidth="1"/>
    <col min="12103" max="12103" width="8.109375" style="27" bestFit="1" customWidth="1"/>
    <col min="12104" max="12104" width="9.44140625" style="27" bestFit="1" customWidth="1"/>
    <col min="12105" max="12105" width="8.109375" style="27" bestFit="1" customWidth="1"/>
    <col min="12106" max="12106" width="9.44140625" style="27" bestFit="1" customWidth="1"/>
    <col min="12107" max="12107" width="8.109375" style="27" bestFit="1" customWidth="1"/>
    <col min="12108" max="12108" width="9.44140625" style="27" bestFit="1" customWidth="1"/>
    <col min="12109" max="12109" width="8.109375" style="27" bestFit="1" customWidth="1"/>
    <col min="12110" max="12110" width="9.44140625" style="27" bestFit="1" customWidth="1"/>
    <col min="12111" max="12111" width="8.109375" style="27" bestFit="1" customWidth="1"/>
    <col min="12112" max="12112" width="9.109375" style="27"/>
    <col min="12113" max="12113" width="8.109375" style="27" bestFit="1" customWidth="1"/>
    <col min="12114" max="12114" width="9.109375" style="27"/>
    <col min="12115" max="12117" width="8.109375" style="27" bestFit="1" customWidth="1"/>
    <col min="12118" max="12118" width="9.44140625" style="27" bestFit="1" customWidth="1"/>
    <col min="12119" max="12119" width="8.109375" style="27" bestFit="1" customWidth="1"/>
    <col min="12120" max="12120" width="10.33203125" style="27" bestFit="1" customWidth="1"/>
    <col min="12121" max="12288" width="9.109375" style="27"/>
    <col min="12289" max="12289" width="9.5546875" style="27" customWidth="1"/>
    <col min="12290" max="12291" width="6.6640625" style="27" customWidth="1"/>
    <col min="12292" max="12292" width="10.33203125" style="27" customWidth="1"/>
    <col min="12293" max="12293" width="8.33203125" style="27" customWidth="1"/>
    <col min="12294" max="12294" width="8" style="27" customWidth="1"/>
    <col min="12295" max="12295" width="18.33203125" style="27" customWidth="1"/>
    <col min="12296" max="12296" width="7" style="27" customWidth="1"/>
    <col min="12297" max="12297" width="9.109375" style="27" customWidth="1"/>
    <col min="12298" max="12298" width="5.5546875" style="27" customWidth="1"/>
    <col min="12299" max="12299" width="9.44140625" style="27" customWidth="1"/>
    <col min="12300" max="12300" width="4.44140625" style="27" customWidth="1"/>
    <col min="12301" max="12301" width="39.88671875" style="27" customWidth="1"/>
    <col min="12302" max="12302" width="10.88671875" style="27" customWidth="1"/>
    <col min="12303" max="12303" width="10.44140625" style="27" customWidth="1"/>
    <col min="12304" max="12304" width="6.33203125" style="27" customWidth="1"/>
    <col min="12305" max="12305" width="14.88671875" style="27" customWidth="1"/>
    <col min="12306" max="12307" width="11.44140625" style="27" customWidth="1"/>
    <col min="12308" max="12310" width="8" style="27" customWidth="1"/>
    <col min="12311" max="12311" width="33.6640625" style="27" customWidth="1"/>
    <col min="12312" max="12312" width="38.5546875" style="27" customWidth="1"/>
    <col min="12313" max="12313" width="15.109375" style="27" customWidth="1"/>
    <col min="12314" max="12314" width="10.88671875" style="27" customWidth="1"/>
    <col min="12315" max="12316" width="6.88671875" style="27" customWidth="1"/>
    <col min="12317" max="12317" width="15.33203125" style="27" customWidth="1"/>
    <col min="12318" max="12318" width="13.6640625" style="27" customWidth="1"/>
    <col min="12319" max="12319" width="13.33203125" style="27" customWidth="1"/>
    <col min="12320" max="12320" width="15.44140625" style="27" customWidth="1"/>
    <col min="12321" max="12321" width="14.6640625" style="27" customWidth="1"/>
    <col min="12322" max="12322" width="14.5546875" style="27" customWidth="1"/>
    <col min="12323" max="12323" width="12.88671875" style="27" customWidth="1"/>
    <col min="12324" max="12324" width="14.6640625" style="27" customWidth="1"/>
    <col min="12325" max="12325" width="10.88671875" style="27" customWidth="1"/>
    <col min="12326" max="12326" width="15.44140625" style="27" customWidth="1"/>
    <col min="12327" max="12327" width="13" style="27" customWidth="1"/>
    <col min="12328" max="12328" width="13.88671875" style="27" customWidth="1"/>
    <col min="12329" max="12329" width="10.109375" style="27" customWidth="1"/>
    <col min="12330" max="12330" width="14.33203125" style="27" customWidth="1"/>
    <col min="12331" max="12331" width="13.6640625" style="27" customWidth="1"/>
    <col min="12332" max="12332" width="12" style="27" customWidth="1"/>
    <col min="12333" max="12333" width="15.44140625" style="27" customWidth="1"/>
    <col min="12334" max="12334" width="12.109375" style="27" customWidth="1"/>
    <col min="12335" max="12335" width="13.5546875" style="27" customWidth="1"/>
    <col min="12336" max="12336" width="14.5546875" style="27" customWidth="1"/>
    <col min="12337" max="12337" width="14.88671875" style="27" customWidth="1"/>
    <col min="12338" max="12338" width="15.88671875" style="27" customWidth="1"/>
    <col min="12339" max="12339" width="17.33203125" style="27" customWidth="1"/>
    <col min="12340" max="12340" width="15.44140625" style="27" customWidth="1"/>
    <col min="12341" max="12341" width="12.33203125" style="27" customWidth="1"/>
    <col min="12342" max="12342" width="15.5546875" style="27" customWidth="1"/>
    <col min="12343" max="12343" width="19" style="27" customWidth="1"/>
    <col min="12344" max="12344" width="16.109375" style="27" customWidth="1"/>
    <col min="12345" max="12345" width="15" style="27" customWidth="1"/>
    <col min="12346" max="12346" width="13.6640625" style="27" customWidth="1"/>
    <col min="12347" max="12348" width="8" style="27" customWidth="1"/>
    <col min="12349" max="12349" width="11.44140625" style="27" customWidth="1"/>
    <col min="12350" max="12350" width="16.6640625" style="27" customWidth="1"/>
    <col min="12351" max="12351" width="8.44140625" style="27" customWidth="1"/>
    <col min="12352" max="12352" width="8" style="27" customWidth="1"/>
    <col min="12353" max="12353" width="10.33203125" style="27" customWidth="1"/>
    <col min="12354" max="12354" width="8.6640625" style="27" customWidth="1"/>
    <col min="12355" max="12355" width="8" style="27" customWidth="1"/>
    <col min="12356" max="12356" width="10.33203125" style="27" bestFit="1" customWidth="1"/>
    <col min="12357" max="12357" width="8.109375" style="27" bestFit="1" customWidth="1"/>
    <col min="12358" max="12358" width="12.109375" style="27" customWidth="1"/>
    <col min="12359" max="12359" width="8.109375" style="27" bestFit="1" customWidth="1"/>
    <col min="12360" max="12360" width="9.44140625" style="27" bestFit="1" customWidth="1"/>
    <col min="12361" max="12361" width="8.109375" style="27" bestFit="1" customWidth="1"/>
    <col min="12362" max="12362" width="9.44140625" style="27" bestFit="1" customWidth="1"/>
    <col min="12363" max="12363" width="8.109375" style="27" bestFit="1" customWidth="1"/>
    <col min="12364" max="12364" width="9.44140625" style="27" bestFit="1" customWidth="1"/>
    <col min="12365" max="12365" width="8.109375" style="27" bestFit="1" customWidth="1"/>
    <col min="12366" max="12366" width="9.44140625" style="27" bestFit="1" customWidth="1"/>
    <col min="12367" max="12367" width="8.109375" style="27" bestFit="1" customWidth="1"/>
    <col min="12368" max="12368" width="9.109375" style="27"/>
    <col min="12369" max="12369" width="8.109375" style="27" bestFit="1" customWidth="1"/>
    <col min="12370" max="12370" width="9.109375" style="27"/>
    <col min="12371" max="12373" width="8.109375" style="27" bestFit="1" customWidth="1"/>
    <col min="12374" max="12374" width="9.44140625" style="27" bestFit="1" customWidth="1"/>
    <col min="12375" max="12375" width="8.109375" style="27" bestFit="1" customWidth="1"/>
    <col min="12376" max="12376" width="10.33203125" style="27" bestFit="1" customWidth="1"/>
    <col min="12377" max="12544" width="9.109375" style="27"/>
    <col min="12545" max="12545" width="9.5546875" style="27" customWidth="1"/>
    <col min="12546" max="12547" width="6.6640625" style="27" customWidth="1"/>
    <col min="12548" max="12548" width="10.33203125" style="27" customWidth="1"/>
    <col min="12549" max="12549" width="8.33203125" style="27" customWidth="1"/>
    <col min="12550" max="12550" width="8" style="27" customWidth="1"/>
    <col min="12551" max="12551" width="18.33203125" style="27" customWidth="1"/>
    <col min="12552" max="12552" width="7" style="27" customWidth="1"/>
    <col min="12553" max="12553" width="9.109375" style="27" customWidth="1"/>
    <col min="12554" max="12554" width="5.5546875" style="27" customWidth="1"/>
    <col min="12555" max="12555" width="9.44140625" style="27" customWidth="1"/>
    <col min="12556" max="12556" width="4.44140625" style="27" customWidth="1"/>
    <col min="12557" max="12557" width="39.88671875" style="27" customWidth="1"/>
    <col min="12558" max="12558" width="10.88671875" style="27" customWidth="1"/>
    <col min="12559" max="12559" width="10.44140625" style="27" customWidth="1"/>
    <col min="12560" max="12560" width="6.33203125" style="27" customWidth="1"/>
    <col min="12561" max="12561" width="14.88671875" style="27" customWidth="1"/>
    <col min="12562" max="12563" width="11.44140625" style="27" customWidth="1"/>
    <col min="12564" max="12566" width="8" style="27" customWidth="1"/>
    <col min="12567" max="12567" width="33.6640625" style="27" customWidth="1"/>
    <col min="12568" max="12568" width="38.5546875" style="27" customWidth="1"/>
    <col min="12569" max="12569" width="15.109375" style="27" customWidth="1"/>
    <col min="12570" max="12570" width="10.88671875" style="27" customWidth="1"/>
    <col min="12571" max="12572" width="6.88671875" style="27" customWidth="1"/>
    <col min="12573" max="12573" width="15.33203125" style="27" customWidth="1"/>
    <col min="12574" max="12574" width="13.6640625" style="27" customWidth="1"/>
    <col min="12575" max="12575" width="13.33203125" style="27" customWidth="1"/>
    <col min="12576" max="12576" width="15.44140625" style="27" customWidth="1"/>
    <col min="12577" max="12577" width="14.6640625" style="27" customWidth="1"/>
    <col min="12578" max="12578" width="14.5546875" style="27" customWidth="1"/>
    <col min="12579" max="12579" width="12.88671875" style="27" customWidth="1"/>
    <col min="12580" max="12580" width="14.6640625" style="27" customWidth="1"/>
    <col min="12581" max="12581" width="10.88671875" style="27" customWidth="1"/>
    <col min="12582" max="12582" width="15.44140625" style="27" customWidth="1"/>
    <col min="12583" max="12583" width="13" style="27" customWidth="1"/>
    <col min="12584" max="12584" width="13.88671875" style="27" customWidth="1"/>
    <col min="12585" max="12585" width="10.109375" style="27" customWidth="1"/>
    <col min="12586" max="12586" width="14.33203125" style="27" customWidth="1"/>
    <col min="12587" max="12587" width="13.6640625" style="27" customWidth="1"/>
    <col min="12588" max="12588" width="12" style="27" customWidth="1"/>
    <col min="12589" max="12589" width="15.44140625" style="27" customWidth="1"/>
    <col min="12590" max="12590" width="12.109375" style="27" customWidth="1"/>
    <col min="12591" max="12591" width="13.5546875" style="27" customWidth="1"/>
    <col min="12592" max="12592" width="14.5546875" style="27" customWidth="1"/>
    <col min="12593" max="12593" width="14.88671875" style="27" customWidth="1"/>
    <col min="12594" max="12594" width="15.88671875" style="27" customWidth="1"/>
    <col min="12595" max="12595" width="17.33203125" style="27" customWidth="1"/>
    <col min="12596" max="12596" width="15.44140625" style="27" customWidth="1"/>
    <col min="12597" max="12597" width="12.33203125" style="27" customWidth="1"/>
    <col min="12598" max="12598" width="15.5546875" style="27" customWidth="1"/>
    <col min="12599" max="12599" width="19" style="27" customWidth="1"/>
    <col min="12600" max="12600" width="16.109375" style="27" customWidth="1"/>
    <col min="12601" max="12601" width="15" style="27" customWidth="1"/>
    <col min="12602" max="12602" width="13.6640625" style="27" customWidth="1"/>
    <col min="12603" max="12604" width="8" style="27" customWidth="1"/>
    <col min="12605" max="12605" width="11.44140625" style="27" customWidth="1"/>
    <col min="12606" max="12606" width="16.6640625" style="27" customWidth="1"/>
    <col min="12607" max="12607" width="8.44140625" style="27" customWidth="1"/>
    <col min="12608" max="12608" width="8" style="27" customWidth="1"/>
    <col min="12609" max="12609" width="10.33203125" style="27" customWidth="1"/>
    <col min="12610" max="12610" width="8.6640625" style="27" customWidth="1"/>
    <col min="12611" max="12611" width="8" style="27" customWidth="1"/>
    <col min="12612" max="12612" width="10.33203125" style="27" bestFit="1" customWidth="1"/>
    <col min="12613" max="12613" width="8.109375" style="27" bestFit="1" customWidth="1"/>
    <col min="12614" max="12614" width="12.109375" style="27" customWidth="1"/>
    <col min="12615" max="12615" width="8.109375" style="27" bestFit="1" customWidth="1"/>
    <col min="12616" max="12616" width="9.44140625" style="27" bestFit="1" customWidth="1"/>
    <col min="12617" max="12617" width="8.109375" style="27" bestFit="1" customWidth="1"/>
    <col min="12618" max="12618" width="9.44140625" style="27" bestFit="1" customWidth="1"/>
    <col min="12619" max="12619" width="8.109375" style="27" bestFit="1" customWidth="1"/>
    <col min="12620" max="12620" width="9.44140625" style="27" bestFit="1" customWidth="1"/>
    <col min="12621" max="12621" width="8.109375" style="27" bestFit="1" customWidth="1"/>
    <col min="12622" max="12622" width="9.44140625" style="27" bestFit="1" customWidth="1"/>
    <col min="12623" max="12623" width="8.109375" style="27" bestFit="1" customWidth="1"/>
    <col min="12624" max="12624" width="9.109375" style="27"/>
    <col min="12625" max="12625" width="8.109375" style="27" bestFit="1" customWidth="1"/>
    <col min="12626" max="12626" width="9.109375" style="27"/>
    <col min="12627" max="12629" width="8.109375" style="27" bestFit="1" customWidth="1"/>
    <col min="12630" max="12630" width="9.44140625" style="27" bestFit="1" customWidth="1"/>
    <col min="12631" max="12631" width="8.109375" style="27" bestFit="1" customWidth="1"/>
    <col min="12632" max="12632" width="10.33203125" style="27" bestFit="1" customWidth="1"/>
    <col min="12633" max="12800" width="9.109375" style="27"/>
    <col min="12801" max="12801" width="9.5546875" style="27" customWidth="1"/>
    <col min="12802" max="12803" width="6.6640625" style="27" customWidth="1"/>
    <col min="12804" max="12804" width="10.33203125" style="27" customWidth="1"/>
    <col min="12805" max="12805" width="8.33203125" style="27" customWidth="1"/>
    <col min="12806" max="12806" width="8" style="27" customWidth="1"/>
    <col min="12807" max="12807" width="18.33203125" style="27" customWidth="1"/>
    <col min="12808" max="12808" width="7" style="27" customWidth="1"/>
    <col min="12809" max="12809" width="9.109375" style="27" customWidth="1"/>
    <col min="12810" max="12810" width="5.5546875" style="27" customWidth="1"/>
    <col min="12811" max="12811" width="9.44140625" style="27" customWidth="1"/>
    <col min="12812" max="12812" width="4.44140625" style="27" customWidth="1"/>
    <col min="12813" max="12813" width="39.88671875" style="27" customWidth="1"/>
    <col min="12814" max="12814" width="10.88671875" style="27" customWidth="1"/>
    <col min="12815" max="12815" width="10.44140625" style="27" customWidth="1"/>
    <col min="12816" max="12816" width="6.33203125" style="27" customWidth="1"/>
    <col min="12817" max="12817" width="14.88671875" style="27" customWidth="1"/>
    <col min="12818" max="12819" width="11.44140625" style="27" customWidth="1"/>
    <col min="12820" max="12822" width="8" style="27" customWidth="1"/>
    <col min="12823" max="12823" width="33.6640625" style="27" customWidth="1"/>
    <col min="12824" max="12824" width="38.5546875" style="27" customWidth="1"/>
    <col min="12825" max="12825" width="15.109375" style="27" customWidth="1"/>
    <col min="12826" max="12826" width="10.88671875" style="27" customWidth="1"/>
    <col min="12827" max="12828" width="6.88671875" style="27" customWidth="1"/>
    <col min="12829" max="12829" width="15.33203125" style="27" customWidth="1"/>
    <col min="12830" max="12830" width="13.6640625" style="27" customWidth="1"/>
    <col min="12831" max="12831" width="13.33203125" style="27" customWidth="1"/>
    <col min="12832" max="12832" width="15.44140625" style="27" customWidth="1"/>
    <col min="12833" max="12833" width="14.6640625" style="27" customWidth="1"/>
    <col min="12834" max="12834" width="14.5546875" style="27" customWidth="1"/>
    <col min="12835" max="12835" width="12.88671875" style="27" customWidth="1"/>
    <col min="12836" max="12836" width="14.6640625" style="27" customWidth="1"/>
    <col min="12837" max="12837" width="10.88671875" style="27" customWidth="1"/>
    <col min="12838" max="12838" width="15.44140625" style="27" customWidth="1"/>
    <col min="12839" max="12839" width="13" style="27" customWidth="1"/>
    <col min="12840" max="12840" width="13.88671875" style="27" customWidth="1"/>
    <col min="12841" max="12841" width="10.109375" style="27" customWidth="1"/>
    <col min="12842" max="12842" width="14.33203125" style="27" customWidth="1"/>
    <col min="12843" max="12843" width="13.6640625" style="27" customWidth="1"/>
    <col min="12844" max="12844" width="12" style="27" customWidth="1"/>
    <col min="12845" max="12845" width="15.44140625" style="27" customWidth="1"/>
    <col min="12846" max="12846" width="12.109375" style="27" customWidth="1"/>
    <col min="12847" max="12847" width="13.5546875" style="27" customWidth="1"/>
    <col min="12848" max="12848" width="14.5546875" style="27" customWidth="1"/>
    <col min="12849" max="12849" width="14.88671875" style="27" customWidth="1"/>
    <col min="12850" max="12850" width="15.88671875" style="27" customWidth="1"/>
    <col min="12851" max="12851" width="17.33203125" style="27" customWidth="1"/>
    <col min="12852" max="12852" width="15.44140625" style="27" customWidth="1"/>
    <col min="12853" max="12853" width="12.33203125" style="27" customWidth="1"/>
    <col min="12854" max="12854" width="15.5546875" style="27" customWidth="1"/>
    <col min="12855" max="12855" width="19" style="27" customWidth="1"/>
    <col min="12856" max="12856" width="16.109375" style="27" customWidth="1"/>
    <col min="12857" max="12857" width="15" style="27" customWidth="1"/>
    <col min="12858" max="12858" width="13.6640625" style="27" customWidth="1"/>
    <col min="12859" max="12860" width="8" style="27" customWidth="1"/>
    <col min="12861" max="12861" width="11.44140625" style="27" customWidth="1"/>
    <col min="12862" max="12862" width="16.6640625" style="27" customWidth="1"/>
    <col min="12863" max="12863" width="8.44140625" style="27" customWidth="1"/>
    <col min="12864" max="12864" width="8" style="27" customWidth="1"/>
    <col min="12865" max="12865" width="10.33203125" style="27" customWidth="1"/>
    <col min="12866" max="12866" width="8.6640625" style="27" customWidth="1"/>
    <col min="12867" max="12867" width="8" style="27" customWidth="1"/>
    <col min="12868" max="12868" width="10.33203125" style="27" bestFit="1" customWidth="1"/>
    <col min="12869" max="12869" width="8.109375" style="27" bestFit="1" customWidth="1"/>
    <col min="12870" max="12870" width="12.109375" style="27" customWidth="1"/>
    <col min="12871" max="12871" width="8.109375" style="27" bestFit="1" customWidth="1"/>
    <col min="12872" max="12872" width="9.44140625" style="27" bestFit="1" customWidth="1"/>
    <col min="12873" max="12873" width="8.109375" style="27" bestFit="1" customWidth="1"/>
    <col min="12874" max="12874" width="9.44140625" style="27" bestFit="1" customWidth="1"/>
    <col min="12875" max="12875" width="8.109375" style="27" bestFit="1" customWidth="1"/>
    <col min="12876" max="12876" width="9.44140625" style="27" bestFit="1" customWidth="1"/>
    <col min="12877" max="12877" width="8.109375" style="27" bestFit="1" customWidth="1"/>
    <col min="12878" max="12878" width="9.44140625" style="27" bestFit="1" customWidth="1"/>
    <col min="12879" max="12879" width="8.109375" style="27" bestFit="1" customWidth="1"/>
    <col min="12880" max="12880" width="9.109375" style="27"/>
    <col min="12881" max="12881" width="8.109375" style="27" bestFit="1" customWidth="1"/>
    <col min="12882" max="12882" width="9.109375" style="27"/>
    <col min="12883" max="12885" width="8.109375" style="27" bestFit="1" customWidth="1"/>
    <col min="12886" max="12886" width="9.44140625" style="27" bestFit="1" customWidth="1"/>
    <col min="12887" max="12887" width="8.109375" style="27" bestFit="1" customWidth="1"/>
    <col min="12888" max="12888" width="10.33203125" style="27" bestFit="1" customWidth="1"/>
    <col min="12889" max="13056" width="9.109375" style="27"/>
    <col min="13057" max="13057" width="9.5546875" style="27" customWidth="1"/>
    <col min="13058" max="13059" width="6.6640625" style="27" customWidth="1"/>
    <col min="13060" max="13060" width="10.33203125" style="27" customWidth="1"/>
    <col min="13061" max="13061" width="8.33203125" style="27" customWidth="1"/>
    <col min="13062" max="13062" width="8" style="27" customWidth="1"/>
    <col min="13063" max="13063" width="18.33203125" style="27" customWidth="1"/>
    <col min="13064" max="13064" width="7" style="27" customWidth="1"/>
    <col min="13065" max="13065" width="9.109375" style="27" customWidth="1"/>
    <col min="13066" max="13066" width="5.5546875" style="27" customWidth="1"/>
    <col min="13067" max="13067" width="9.44140625" style="27" customWidth="1"/>
    <col min="13068" max="13068" width="4.44140625" style="27" customWidth="1"/>
    <col min="13069" max="13069" width="39.88671875" style="27" customWidth="1"/>
    <col min="13070" max="13070" width="10.88671875" style="27" customWidth="1"/>
    <col min="13071" max="13071" width="10.44140625" style="27" customWidth="1"/>
    <col min="13072" max="13072" width="6.33203125" style="27" customWidth="1"/>
    <col min="13073" max="13073" width="14.88671875" style="27" customWidth="1"/>
    <col min="13074" max="13075" width="11.44140625" style="27" customWidth="1"/>
    <col min="13076" max="13078" width="8" style="27" customWidth="1"/>
    <col min="13079" max="13079" width="33.6640625" style="27" customWidth="1"/>
    <col min="13080" max="13080" width="38.5546875" style="27" customWidth="1"/>
    <col min="13081" max="13081" width="15.109375" style="27" customWidth="1"/>
    <col min="13082" max="13082" width="10.88671875" style="27" customWidth="1"/>
    <col min="13083" max="13084" width="6.88671875" style="27" customWidth="1"/>
    <col min="13085" max="13085" width="15.33203125" style="27" customWidth="1"/>
    <col min="13086" max="13086" width="13.6640625" style="27" customWidth="1"/>
    <col min="13087" max="13087" width="13.33203125" style="27" customWidth="1"/>
    <col min="13088" max="13088" width="15.44140625" style="27" customWidth="1"/>
    <col min="13089" max="13089" width="14.6640625" style="27" customWidth="1"/>
    <col min="13090" max="13090" width="14.5546875" style="27" customWidth="1"/>
    <col min="13091" max="13091" width="12.88671875" style="27" customWidth="1"/>
    <col min="13092" max="13092" width="14.6640625" style="27" customWidth="1"/>
    <col min="13093" max="13093" width="10.88671875" style="27" customWidth="1"/>
    <col min="13094" max="13094" width="15.44140625" style="27" customWidth="1"/>
    <col min="13095" max="13095" width="13" style="27" customWidth="1"/>
    <col min="13096" max="13096" width="13.88671875" style="27" customWidth="1"/>
    <col min="13097" max="13097" width="10.109375" style="27" customWidth="1"/>
    <col min="13098" max="13098" width="14.33203125" style="27" customWidth="1"/>
    <col min="13099" max="13099" width="13.6640625" style="27" customWidth="1"/>
    <col min="13100" max="13100" width="12" style="27" customWidth="1"/>
    <col min="13101" max="13101" width="15.44140625" style="27" customWidth="1"/>
    <col min="13102" max="13102" width="12.109375" style="27" customWidth="1"/>
    <col min="13103" max="13103" width="13.5546875" style="27" customWidth="1"/>
    <col min="13104" max="13104" width="14.5546875" style="27" customWidth="1"/>
    <col min="13105" max="13105" width="14.88671875" style="27" customWidth="1"/>
    <col min="13106" max="13106" width="15.88671875" style="27" customWidth="1"/>
    <col min="13107" max="13107" width="17.33203125" style="27" customWidth="1"/>
    <col min="13108" max="13108" width="15.44140625" style="27" customWidth="1"/>
    <col min="13109" max="13109" width="12.33203125" style="27" customWidth="1"/>
    <col min="13110" max="13110" width="15.5546875" style="27" customWidth="1"/>
    <col min="13111" max="13111" width="19" style="27" customWidth="1"/>
    <col min="13112" max="13112" width="16.109375" style="27" customWidth="1"/>
    <col min="13113" max="13113" width="15" style="27" customWidth="1"/>
    <col min="13114" max="13114" width="13.6640625" style="27" customWidth="1"/>
    <col min="13115" max="13116" width="8" style="27" customWidth="1"/>
    <col min="13117" max="13117" width="11.44140625" style="27" customWidth="1"/>
    <col min="13118" max="13118" width="16.6640625" style="27" customWidth="1"/>
    <col min="13119" max="13119" width="8.44140625" style="27" customWidth="1"/>
    <col min="13120" max="13120" width="8" style="27" customWidth="1"/>
    <col min="13121" max="13121" width="10.33203125" style="27" customWidth="1"/>
    <col min="13122" max="13122" width="8.6640625" style="27" customWidth="1"/>
    <col min="13123" max="13123" width="8" style="27" customWidth="1"/>
    <col min="13124" max="13124" width="10.33203125" style="27" bestFit="1" customWidth="1"/>
    <col min="13125" max="13125" width="8.109375" style="27" bestFit="1" customWidth="1"/>
    <col min="13126" max="13126" width="12.109375" style="27" customWidth="1"/>
    <col min="13127" max="13127" width="8.109375" style="27" bestFit="1" customWidth="1"/>
    <col min="13128" max="13128" width="9.44140625" style="27" bestFit="1" customWidth="1"/>
    <col min="13129" max="13129" width="8.109375" style="27" bestFit="1" customWidth="1"/>
    <col min="13130" max="13130" width="9.44140625" style="27" bestFit="1" customWidth="1"/>
    <col min="13131" max="13131" width="8.109375" style="27" bestFit="1" customWidth="1"/>
    <col min="13132" max="13132" width="9.44140625" style="27" bestFit="1" customWidth="1"/>
    <col min="13133" max="13133" width="8.109375" style="27" bestFit="1" customWidth="1"/>
    <col min="13134" max="13134" width="9.44140625" style="27" bestFit="1" customWidth="1"/>
    <col min="13135" max="13135" width="8.109375" style="27" bestFit="1" customWidth="1"/>
    <col min="13136" max="13136" width="9.109375" style="27"/>
    <col min="13137" max="13137" width="8.109375" style="27" bestFit="1" customWidth="1"/>
    <col min="13138" max="13138" width="9.109375" style="27"/>
    <col min="13139" max="13141" width="8.109375" style="27" bestFit="1" customWidth="1"/>
    <col min="13142" max="13142" width="9.44140625" style="27" bestFit="1" customWidth="1"/>
    <col min="13143" max="13143" width="8.109375" style="27" bestFit="1" customWidth="1"/>
    <col min="13144" max="13144" width="10.33203125" style="27" bestFit="1" customWidth="1"/>
    <col min="13145" max="13312" width="9.109375" style="27"/>
    <col min="13313" max="13313" width="9.5546875" style="27" customWidth="1"/>
    <col min="13314" max="13315" width="6.6640625" style="27" customWidth="1"/>
    <col min="13316" max="13316" width="10.33203125" style="27" customWidth="1"/>
    <col min="13317" max="13317" width="8.33203125" style="27" customWidth="1"/>
    <col min="13318" max="13318" width="8" style="27" customWidth="1"/>
    <col min="13319" max="13319" width="18.33203125" style="27" customWidth="1"/>
    <col min="13320" max="13320" width="7" style="27" customWidth="1"/>
    <col min="13321" max="13321" width="9.109375" style="27" customWidth="1"/>
    <col min="13322" max="13322" width="5.5546875" style="27" customWidth="1"/>
    <col min="13323" max="13323" width="9.44140625" style="27" customWidth="1"/>
    <col min="13324" max="13324" width="4.44140625" style="27" customWidth="1"/>
    <col min="13325" max="13325" width="39.88671875" style="27" customWidth="1"/>
    <col min="13326" max="13326" width="10.88671875" style="27" customWidth="1"/>
    <col min="13327" max="13327" width="10.44140625" style="27" customWidth="1"/>
    <col min="13328" max="13328" width="6.33203125" style="27" customWidth="1"/>
    <col min="13329" max="13329" width="14.88671875" style="27" customWidth="1"/>
    <col min="13330" max="13331" width="11.44140625" style="27" customWidth="1"/>
    <col min="13332" max="13334" width="8" style="27" customWidth="1"/>
    <col min="13335" max="13335" width="33.6640625" style="27" customWidth="1"/>
    <col min="13336" max="13336" width="38.5546875" style="27" customWidth="1"/>
    <col min="13337" max="13337" width="15.109375" style="27" customWidth="1"/>
    <col min="13338" max="13338" width="10.88671875" style="27" customWidth="1"/>
    <col min="13339" max="13340" width="6.88671875" style="27" customWidth="1"/>
    <col min="13341" max="13341" width="15.33203125" style="27" customWidth="1"/>
    <col min="13342" max="13342" width="13.6640625" style="27" customWidth="1"/>
    <col min="13343" max="13343" width="13.33203125" style="27" customWidth="1"/>
    <col min="13344" max="13344" width="15.44140625" style="27" customWidth="1"/>
    <col min="13345" max="13345" width="14.6640625" style="27" customWidth="1"/>
    <col min="13346" max="13346" width="14.5546875" style="27" customWidth="1"/>
    <col min="13347" max="13347" width="12.88671875" style="27" customWidth="1"/>
    <col min="13348" max="13348" width="14.6640625" style="27" customWidth="1"/>
    <col min="13349" max="13349" width="10.88671875" style="27" customWidth="1"/>
    <col min="13350" max="13350" width="15.44140625" style="27" customWidth="1"/>
    <col min="13351" max="13351" width="13" style="27" customWidth="1"/>
    <col min="13352" max="13352" width="13.88671875" style="27" customWidth="1"/>
    <col min="13353" max="13353" width="10.109375" style="27" customWidth="1"/>
    <col min="13354" max="13354" width="14.33203125" style="27" customWidth="1"/>
    <col min="13355" max="13355" width="13.6640625" style="27" customWidth="1"/>
    <col min="13356" max="13356" width="12" style="27" customWidth="1"/>
    <col min="13357" max="13357" width="15.44140625" style="27" customWidth="1"/>
    <col min="13358" max="13358" width="12.109375" style="27" customWidth="1"/>
    <col min="13359" max="13359" width="13.5546875" style="27" customWidth="1"/>
    <col min="13360" max="13360" width="14.5546875" style="27" customWidth="1"/>
    <col min="13361" max="13361" width="14.88671875" style="27" customWidth="1"/>
    <col min="13362" max="13362" width="15.88671875" style="27" customWidth="1"/>
    <col min="13363" max="13363" width="17.33203125" style="27" customWidth="1"/>
    <col min="13364" max="13364" width="15.44140625" style="27" customWidth="1"/>
    <col min="13365" max="13365" width="12.33203125" style="27" customWidth="1"/>
    <col min="13366" max="13366" width="15.5546875" style="27" customWidth="1"/>
    <col min="13367" max="13367" width="19" style="27" customWidth="1"/>
    <col min="13368" max="13368" width="16.109375" style="27" customWidth="1"/>
    <col min="13369" max="13369" width="15" style="27" customWidth="1"/>
    <col min="13370" max="13370" width="13.6640625" style="27" customWidth="1"/>
    <col min="13371" max="13372" width="8" style="27" customWidth="1"/>
    <col min="13373" max="13373" width="11.44140625" style="27" customWidth="1"/>
    <col min="13374" max="13374" width="16.6640625" style="27" customWidth="1"/>
    <col min="13375" max="13375" width="8.44140625" style="27" customWidth="1"/>
    <col min="13376" max="13376" width="8" style="27" customWidth="1"/>
    <col min="13377" max="13377" width="10.33203125" style="27" customWidth="1"/>
    <col min="13378" max="13378" width="8.6640625" style="27" customWidth="1"/>
    <col min="13379" max="13379" width="8" style="27" customWidth="1"/>
    <col min="13380" max="13380" width="10.33203125" style="27" bestFit="1" customWidth="1"/>
    <col min="13381" max="13381" width="8.109375" style="27" bestFit="1" customWidth="1"/>
    <col min="13382" max="13382" width="12.109375" style="27" customWidth="1"/>
    <col min="13383" max="13383" width="8.109375" style="27" bestFit="1" customWidth="1"/>
    <col min="13384" max="13384" width="9.44140625" style="27" bestFit="1" customWidth="1"/>
    <col min="13385" max="13385" width="8.109375" style="27" bestFit="1" customWidth="1"/>
    <col min="13386" max="13386" width="9.44140625" style="27" bestFit="1" customWidth="1"/>
    <col min="13387" max="13387" width="8.109375" style="27" bestFit="1" customWidth="1"/>
    <col min="13388" max="13388" width="9.44140625" style="27" bestFit="1" customWidth="1"/>
    <col min="13389" max="13389" width="8.109375" style="27" bestFit="1" customWidth="1"/>
    <col min="13390" max="13390" width="9.44140625" style="27" bestFit="1" customWidth="1"/>
    <col min="13391" max="13391" width="8.109375" style="27" bestFit="1" customWidth="1"/>
    <col min="13392" max="13392" width="9.109375" style="27"/>
    <col min="13393" max="13393" width="8.109375" style="27" bestFit="1" customWidth="1"/>
    <col min="13394" max="13394" width="9.109375" style="27"/>
    <col min="13395" max="13397" width="8.109375" style="27" bestFit="1" customWidth="1"/>
    <col min="13398" max="13398" width="9.44140625" style="27" bestFit="1" customWidth="1"/>
    <col min="13399" max="13399" width="8.109375" style="27" bestFit="1" customWidth="1"/>
    <col min="13400" max="13400" width="10.33203125" style="27" bestFit="1" customWidth="1"/>
    <col min="13401" max="13568" width="9.109375" style="27"/>
    <col min="13569" max="13569" width="9.5546875" style="27" customWidth="1"/>
    <col min="13570" max="13571" width="6.6640625" style="27" customWidth="1"/>
    <col min="13572" max="13572" width="10.33203125" style="27" customWidth="1"/>
    <col min="13573" max="13573" width="8.33203125" style="27" customWidth="1"/>
    <col min="13574" max="13574" width="8" style="27" customWidth="1"/>
    <col min="13575" max="13575" width="18.33203125" style="27" customWidth="1"/>
    <col min="13576" max="13576" width="7" style="27" customWidth="1"/>
    <col min="13577" max="13577" width="9.109375" style="27" customWidth="1"/>
    <col min="13578" max="13578" width="5.5546875" style="27" customWidth="1"/>
    <col min="13579" max="13579" width="9.44140625" style="27" customWidth="1"/>
    <col min="13580" max="13580" width="4.44140625" style="27" customWidth="1"/>
    <col min="13581" max="13581" width="39.88671875" style="27" customWidth="1"/>
    <col min="13582" max="13582" width="10.88671875" style="27" customWidth="1"/>
    <col min="13583" max="13583" width="10.44140625" style="27" customWidth="1"/>
    <col min="13584" max="13584" width="6.33203125" style="27" customWidth="1"/>
    <col min="13585" max="13585" width="14.88671875" style="27" customWidth="1"/>
    <col min="13586" max="13587" width="11.44140625" style="27" customWidth="1"/>
    <col min="13588" max="13590" width="8" style="27" customWidth="1"/>
    <col min="13591" max="13591" width="33.6640625" style="27" customWidth="1"/>
    <col min="13592" max="13592" width="38.5546875" style="27" customWidth="1"/>
    <col min="13593" max="13593" width="15.109375" style="27" customWidth="1"/>
    <col min="13594" max="13594" width="10.88671875" style="27" customWidth="1"/>
    <col min="13595" max="13596" width="6.88671875" style="27" customWidth="1"/>
    <col min="13597" max="13597" width="15.33203125" style="27" customWidth="1"/>
    <col min="13598" max="13598" width="13.6640625" style="27" customWidth="1"/>
    <col min="13599" max="13599" width="13.33203125" style="27" customWidth="1"/>
    <col min="13600" max="13600" width="15.44140625" style="27" customWidth="1"/>
    <col min="13601" max="13601" width="14.6640625" style="27" customWidth="1"/>
    <col min="13602" max="13602" width="14.5546875" style="27" customWidth="1"/>
    <col min="13603" max="13603" width="12.88671875" style="27" customWidth="1"/>
    <col min="13604" max="13604" width="14.6640625" style="27" customWidth="1"/>
    <col min="13605" max="13605" width="10.88671875" style="27" customWidth="1"/>
    <col min="13606" max="13606" width="15.44140625" style="27" customWidth="1"/>
    <col min="13607" max="13607" width="13" style="27" customWidth="1"/>
    <col min="13608" max="13608" width="13.88671875" style="27" customWidth="1"/>
    <col min="13609" max="13609" width="10.109375" style="27" customWidth="1"/>
    <col min="13610" max="13610" width="14.33203125" style="27" customWidth="1"/>
    <col min="13611" max="13611" width="13.6640625" style="27" customWidth="1"/>
    <col min="13612" max="13612" width="12" style="27" customWidth="1"/>
    <col min="13613" max="13613" width="15.44140625" style="27" customWidth="1"/>
    <col min="13614" max="13614" width="12.109375" style="27" customWidth="1"/>
    <col min="13615" max="13615" width="13.5546875" style="27" customWidth="1"/>
    <col min="13616" max="13616" width="14.5546875" style="27" customWidth="1"/>
    <col min="13617" max="13617" width="14.88671875" style="27" customWidth="1"/>
    <col min="13618" max="13618" width="15.88671875" style="27" customWidth="1"/>
    <col min="13619" max="13619" width="17.33203125" style="27" customWidth="1"/>
    <col min="13620" max="13620" width="15.44140625" style="27" customWidth="1"/>
    <col min="13621" max="13621" width="12.33203125" style="27" customWidth="1"/>
    <col min="13622" max="13622" width="15.5546875" style="27" customWidth="1"/>
    <col min="13623" max="13623" width="19" style="27" customWidth="1"/>
    <col min="13624" max="13624" width="16.109375" style="27" customWidth="1"/>
    <col min="13625" max="13625" width="15" style="27" customWidth="1"/>
    <col min="13626" max="13626" width="13.6640625" style="27" customWidth="1"/>
    <col min="13627" max="13628" width="8" style="27" customWidth="1"/>
    <col min="13629" max="13629" width="11.44140625" style="27" customWidth="1"/>
    <col min="13630" max="13630" width="16.6640625" style="27" customWidth="1"/>
    <col min="13631" max="13631" width="8.44140625" style="27" customWidth="1"/>
    <col min="13632" max="13632" width="8" style="27" customWidth="1"/>
    <col min="13633" max="13633" width="10.33203125" style="27" customWidth="1"/>
    <col min="13634" max="13634" width="8.6640625" style="27" customWidth="1"/>
    <col min="13635" max="13635" width="8" style="27" customWidth="1"/>
    <col min="13636" max="13636" width="10.33203125" style="27" bestFit="1" customWidth="1"/>
    <col min="13637" max="13637" width="8.109375" style="27" bestFit="1" customWidth="1"/>
    <col min="13638" max="13638" width="12.109375" style="27" customWidth="1"/>
    <col min="13639" max="13639" width="8.109375" style="27" bestFit="1" customWidth="1"/>
    <col min="13640" max="13640" width="9.44140625" style="27" bestFit="1" customWidth="1"/>
    <col min="13641" max="13641" width="8.109375" style="27" bestFit="1" customWidth="1"/>
    <col min="13642" max="13642" width="9.44140625" style="27" bestFit="1" customWidth="1"/>
    <col min="13643" max="13643" width="8.109375" style="27" bestFit="1" customWidth="1"/>
    <col min="13644" max="13644" width="9.44140625" style="27" bestFit="1" customWidth="1"/>
    <col min="13645" max="13645" width="8.109375" style="27" bestFit="1" customWidth="1"/>
    <col min="13646" max="13646" width="9.44140625" style="27" bestFit="1" customWidth="1"/>
    <col min="13647" max="13647" width="8.109375" style="27" bestFit="1" customWidth="1"/>
    <col min="13648" max="13648" width="9.109375" style="27"/>
    <col min="13649" max="13649" width="8.109375" style="27" bestFit="1" customWidth="1"/>
    <col min="13650" max="13650" width="9.109375" style="27"/>
    <col min="13651" max="13653" width="8.109375" style="27" bestFit="1" customWidth="1"/>
    <col min="13654" max="13654" width="9.44140625" style="27" bestFit="1" customWidth="1"/>
    <col min="13655" max="13655" width="8.109375" style="27" bestFit="1" customWidth="1"/>
    <col min="13656" max="13656" width="10.33203125" style="27" bestFit="1" customWidth="1"/>
    <col min="13657" max="13824" width="9.109375" style="27"/>
    <col min="13825" max="13825" width="9.5546875" style="27" customWidth="1"/>
    <col min="13826" max="13827" width="6.6640625" style="27" customWidth="1"/>
    <col min="13828" max="13828" width="10.33203125" style="27" customWidth="1"/>
    <col min="13829" max="13829" width="8.33203125" style="27" customWidth="1"/>
    <col min="13830" max="13830" width="8" style="27" customWidth="1"/>
    <col min="13831" max="13831" width="18.33203125" style="27" customWidth="1"/>
    <col min="13832" max="13832" width="7" style="27" customWidth="1"/>
    <col min="13833" max="13833" width="9.109375" style="27" customWidth="1"/>
    <col min="13834" max="13834" width="5.5546875" style="27" customWidth="1"/>
    <col min="13835" max="13835" width="9.44140625" style="27" customWidth="1"/>
    <col min="13836" max="13836" width="4.44140625" style="27" customWidth="1"/>
    <col min="13837" max="13837" width="39.88671875" style="27" customWidth="1"/>
    <col min="13838" max="13838" width="10.88671875" style="27" customWidth="1"/>
    <col min="13839" max="13839" width="10.44140625" style="27" customWidth="1"/>
    <col min="13840" max="13840" width="6.33203125" style="27" customWidth="1"/>
    <col min="13841" max="13841" width="14.88671875" style="27" customWidth="1"/>
    <col min="13842" max="13843" width="11.44140625" style="27" customWidth="1"/>
    <col min="13844" max="13846" width="8" style="27" customWidth="1"/>
    <col min="13847" max="13847" width="33.6640625" style="27" customWidth="1"/>
    <col min="13848" max="13848" width="38.5546875" style="27" customWidth="1"/>
    <col min="13849" max="13849" width="15.109375" style="27" customWidth="1"/>
    <col min="13850" max="13850" width="10.88671875" style="27" customWidth="1"/>
    <col min="13851" max="13852" width="6.88671875" style="27" customWidth="1"/>
    <col min="13853" max="13853" width="15.33203125" style="27" customWidth="1"/>
    <col min="13854" max="13854" width="13.6640625" style="27" customWidth="1"/>
    <col min="13855" max="13855" width="13.33203125" style="27" customWidth="1"/>
    <col min="13856" max="13856" width="15.44140625" style="27" customWidth="1"/>
    <col min="13857" max="13857" width="14.6640625" style="27" customWidth="1"/>
    <col min="13858" max="13858" width="14.5546875" style="27" customWidth="1"/>
    <col min="13859" max="13859" width="12.88671875" style="27" customWidth="1"/>
    <col min="13860" max="13860" width="14.6640625" style="27" customWidth="1"/>
    <col min="13861" max="13861" width="10.88671875" style="27" customWidth="1"/>
    <col min="13862" max="13862" width="15.44140625" style="27" customWidth="1"/>
    <col min="13863" max="13863" width="13" style="27" customWidth="1"/>
    <col min="13864" max="13864" width="13.88671875" style="27" customWidth="1"/>
    <col min="13865" max="13865" width="10.109375" style="27" customWidth="1"/>
    <col min="13866" max="13866" width="14.33203125" style="27" customWidth="1"/>
    <col min="13867" max="13867" width="13.6640625" style="27" customWidth="1"/>
    <col min="13868" max="13868" width="12" style="27" customWidth="1"/>
    <col min="13869" max="13869" width="15.44140625" style="27" customWidth="1"/>
    <col min="13870" max="13870" width="12.109375" style="27" customWidth="1"/>
    <col min="13871" max="13871" width="13.5546875" style="27" customWidth="1"/>
    <col min="13872" max="13872" width="14.5546875" style="27" customWidth="1"/>
    <col min="13873" max="13873" width="14.88671875" style="27" customWidth="1"/>
    <col min="13874" max="13874" width="15.88671875" style="27" customWidth="1"/>
    <col min="13875" max="13875" width="17.33203125" style="27" customWidth="1"/>
    <col min="13876" max="13876" width="15.44140625" style="27" customWidth="1"/>
    <col min="13877" max="13877" width="12.33203125" style="27" customWidth="1"/>
    <col min="13878" max="13878" width="15.5546875" style="27" customWidth="1"/>
    <col min="13879" max="13879" width="19" style="27" customWidth="1"/>
    <col min="13880" max="13880" width="16.109375" style="27" customWidth="1"/>
    <col min="13881" max="13881" width="15" style="27" customWidth="1"/>
    <col min="13882" max="13882" width="13.6640625" style="27" customWidth="1"/>
    <col min="13883" max="13884" width="8" style="27" customWidth="1"/>
    <col min="13885" max="13885" width="11.44140625" style="27" customWidth="1"/>
    <col min="13886" max="13886" width="16.6640625" style="27" customWidth="1"/>
    <col min="13887" max="13887" width="8.44140625" style="27" customWidth="1"/>
    <col min="13888" max="13888" width="8" style="27" customWidth="1"/>
    <col min="13889" max="13889" width="10.33203125" style="27" customWidth="1"/>
    <col min="13890" max="13890" width="8.6640625" style="27" customWidth="1"/>
    <col min="13891" max="13891" width="8" style="27" customWidth="1"/>
    <col min="13892" max="13892" width="10.33203125" style="27" bestFit="1" customWidth="1"/>
    <col min="13893" max="13893" width="8.109375" style="27" bestFit="1" customWidth="1"/>
    <col min="13894" max="13894" width="12.109375" style="27" customWidth="1"/>
    <col min="13895" max="13895" width="8.109375" style="27" bestFit="1" customWidth="1"/>
    <col min="13896" max="13896" width="9.44140625" style="27" bestFit="1" customWidth="1"/>
    <col min="13897" max="13897" width="8.109375" style="27" bestFit="1" customWidth="1"/>
    <col min="13898" max="13898" width="9.44140625" style="27" bestFit="1" customWidth="1"/>
    <col min="13899" max="13899" width="8.109375" style="27" bestFit="1" customWidth="1"/>
    <col min="13900" max="13900" width="9.44140625" style="27" bestFit="1" customWidth="1"/>
    <col min="13901" max="13901" width="8.109375" style="27" bestFit="1" customWidth="1"/>
    <col min="13902" max="13902" width="9.44140625" style="27" bestFit="1" customWidth="1"/>
    <col min="13903" max="13903" width="8.109375" style="27" bestFit="1" customWidth="1"/>
    <col min="13904" max="13904" width="9.109375" style="27"/>
    <col min="13905" max="13905" width="8.109375" style="27" bestFit="1" customWidth="1"/>
    <col min="13906" max="13906" width="9.109375" style="27"/>
    <col min="13907" max="13909" width="8.109375" style="27" bestFit="1" customWidth="1"/>
    <col min="13910" max="13910" width="9.44140625" style="27" bestFit="1" customWidth="1"/>
    <col min="13911" max="13911" width="8.109375" style="27" bestFit="1" customWidth="1"/>
    <col min="13912" max="13912" width="10.33203125" style="27" bestFit="1" customWidth="1"/>
    <col min="13913" max="14080" width="9.109375" style="27"/>
    <col min="14081" max="14081" width="9.5546875" style="27" customWidth="1"/>
    <col min="14082" max="14083" width="6.6640625" style="27" customWidth="1"/>
    <col min="14084" max="14084" width="10.33203125" style="27" customWidth="1"/>
    <col min="14085" max="14085" width="8.33203125" style="27" customWidth="1"/>
    <col min="14086" max="14086" width="8" style="27" customWidth="1"/>
    <col min="14087" max="14087" width="18.33203125" style="27" customWidth="1"/>
    <col min="14088" max="14088" width="7" style="27" customWidth="1"/>
    <col min="14089" max="14089" width="9.109375" style="27" customWidth="1"/>
    <col min="14090" max="14090" width="5.5546875" style="27" customWidth="1"/>
    <col min="14091" max="14091" width="9.44140625" style="27" customWidth="1"/>
    <col min="14092" max="14092" width="4.44140625" style="27" customWidth="1"/>
    <col min="14093" max="14093" width="39.88671875" style="27" customWidth="1"/>
    <col min="14094" max="14094" width="10.88671875" style="27" customWidth="1"/>
    <col min="14095" max="14095" width="10.44140625" style="27" customWidth="1"/>
    <col min="14096" max="14096" width="6.33203125" style="27" customWidth="1"/>
    <col min="14097" max="14097" width="14.88671875" style="27" customWidth="1"/>
    <col min="14098" max="14099" width="11.44140625" style="27" customWidth="1"/>
    <col min="14100" max="14102" width="8" style="27" customWidth="1"/>
    <col min="14103" max="14103" width="33.6640625" style="27" customWidth="1"/>
    <col min="14104" max="14104" width="38.5546875" style="27" customWidth="1"/>
    <col min="14105" max="14105" width="15.109375" style="27" customWidth="1"/>
    <col min="14106" max="14106" width="10.88671875" style="27" customWidth="1"/>
    <col min="14107" max="14108" width="6.88671875" style="27" customWidth="1"/>
    <col min="14109" max="14109" width="15.33203125" style="27" customWidth="1"/>
    <col min="14110" max="14110" width="13.6640625" style="27" customWidth="1"/>
    <col min="14111" max="14111" width="13.33203125" style="27" customWidth="1"/>
    <col min="14112" max="14112" width="15.44140625" style="27" customWidth="1"/>
    <col min="14113" max="14113" width="14.6640625" style="27" customWidth="1"/>
    <col min="14114" max="14114" width="14.5546875" style="27" customWidth="1"/>
    <col min="14115" max="14115" width="12.88671875" style="27" customWidth="1"/>
    <col min="14116" max="14116" width="14.6640625" style="27" customWidth="1"/>
    <col min="14117" max="14117" width="10.88671875" style="27" customWidth="1"/>
    <col min="14118" max="14118" width="15.44140625" style="27" customWidth="1"/>
    <col min="14119" max="14119" width="13" style="27" customWidth="1"/>
    <col min="14120" max="14120" width="13.88671875" style="27" customWidth="1"/>
    <col min="14121" max="14121" width="10.109375" style="27" customWidth="1"/>
    <col min="14122" max="14122" width="14.33203125" style="27" customWidth="1"/>
    <col min="14123" max="14123" width="13.6640625" style="27" customWidth="1"/>
    <col min="14124" max="14124" width="12" style="27" customWidth="1"/>
    <col min="14125" max="14125" width="15.44140625" style="27" customWidth="1"/>
    <col min="14126" max="14126" width="12.109375" style="27" customWidth="1"/>
    <col min="14127" max="14127" width="13.5546875" style="27" customWidth="1"/>
    <col min="14128" max="14128" width="14.5546875" style="27" customWidth="1"/>
    <col min="14129" max="14129" width="14.88671875" style="27" customWidth="1"/>
    <col min="14130" max="14130" width="15.88671875" style="27" customWidth="1"/>
    <col min="14131" max="14131" width="17.33203125" style="27" customWidth="1"/>
    <col min="14132" max="14132" width="15.44140625" style="27" customWidth="1"/>
    <col min="14133" max="14133" width="12.33203125" style="27" customWidth="1"/>
    <col min="14134" max="14134" width="15.5546875" style="27" customWidth="1"/>
    <col min="14135" max="14135" width="19" style="27" customWidth="1"/>
    <col min="14136" max="14136" width="16.109375" style="27" customWidth="1"/>
    <col min="14137" max="14137" width="15" style="27" customWidth="1"/>
    <col min="14138" max="14138" width="13.6640625" style="27" customWidth="1"/>
    <col min="14139" max="14140" width="8" style="27" customWidth="1"/>
    <col min="14141" max="14141" width="11.44140625" style="27" customWidth="1"/>
    <col min="14142" max="14142" width="16.6640625" style="27" customWidth="1"/>
    <col min="14143" max="14143" width="8.44140625" style="27" customWidth="1"/>
    <col min="14144" max="14144" width="8" style="27" customWidth="1"/>
    <col min="14145" max="14145" width="10.33203125" style="27" customWidth="1"/>
    <col min="14146" max="14146" width="8.6640625" style="27" customWidth="1"/>
    <col min="14147" max="14147" width="8" style="27" customWidth="1"/>
    <col min="14148" max="14148" width="10.33203125" style="27" bestFit="1" customWidth="1"/>
    <col min="14149" max="14149" width="8.109375" style="27" bestFit="1" customWidth="1"/>
    <col min="14150" max="14150" width="12.109375" style="27" customWidth="1"/>
    <col min="14151" max="14151" width="8.109375" style="27" bestFit="1" customWidth="1"/>
    <col min="14152" max="14152" width="9.44140625" style="27" bestFit="1" customWidth="1"/>
    <col min="14153" max="14153" width="8.109375" style="27" bestFit="1" customWidth="1"/>
    <col min="14154" max="14154" width="9.44140625" style="27" bestFit="1" customWidth="1"/>
    <col min="14155" max="14155" width="8.109375" style="27" bestFit="1" customWidth="1"/>
    <col min="14156" max="14156" width="9.44140625" style="27" bestFit="1" customWidth="1"/>
    <col min="14157" max="14157" width="8.109375" style="27" bestFit="1" customWidth="1"/>
    <col min="14158" max="14158" width="9.44140625" style="27" bestFit="1" customWidth="1"/>
    <col min="14159" max="14159" width="8.109375" style="27" bestFit="1" customWidth="1"/>
    <col min="14160" max="14160" width="9.109375" style="27"/>
    <col min="14161" max="14161" width="8.109375" style="27" bestFit="1" customWidth="1"/>
    <col min="14162" max="14162" width="9.109375" style="27"/>
    <col min="14163" max="14165" width="8.109375" style="27" bestFit="1" customWidth="1"/>
    <col min="14166" max="14166" width="9.44140625" style="27" bestFit="1" customWidth="1"/>
    <col min="14167" max="14167" width="8.109375" style="27" bestFit="1" customWidth="1"/>
    <col min="14168" max="14168" width="10.33203125" style="27" bestFit="1" customWidth="1"/>
    <col min="14169" max="14336" width="9.109375" style="27"/>
    <col min="14337" max="14337" width="9.5546875" style="27" customWidth="1"/>
    <col min="14338" max="14339" width="6.6640625" style="27" customWidth="1"/>
    <col min="14340" max="14340" width="10.33203125" style="27" customWidth="1"/>
    <col min="14341" max="14341" width="8.33203125" style="27" customWidth="1"/>
    <col min="14342" max="14342" width="8" style="27" customWidth="1"/>
    <col min="14343" max="14343" width="18.33203125" style="27" customWidth="1"/>
    <col min="14344" max="14344" width="7" style="27" customWidth="1"/>
    <col min="14345" max="14345" width="9.109375" style="27" customWidth="1"/>
    <col min="14346" max="14346" width="5.5546875" style="27" customWidth="1"/>
    <col min="14347" max="14347" width="9.44140625" style="27" customWidth="1"/>
    <col min="14348" max="14348" width="4.44140625" style="27" customWidth="1"/>
    <col min="14349" max="14349" width="39.88671875" style="27" customWidth="1"/>
    <col min="14350" max="14350" width="10.88671875" style="27" customWidth="1"/>
    <col min="14351" max="14351" width="10.44140625" style="27" customWidth="1"/>
    <col min="14352" max="14352" width="6.33203125" style="27" customWidth="1"/>
    <col min="14353" max="14353" width="14.88671875" style="27" customWidth="1"/>
    <col min="14354" max="14355" width="11.44140625" style="27" customWidth="1"/>
    <col min="14356" max="14358" width="8" style="27" customWidth="1"/>
    <col min="14359" max="14359" width="33.6640625" style="27" customWidth="1"/>
    <col min="14360" max="14360" width="38.5546875" style="27" customWidth="1"/>
    <col min="14361" max="14361" width="15.109375" style="27" customWidth="1"/>
    <col min="14362" max="14362" width="10.88671875" style="27" customWidth="1"/>
    <col min="14363" max="14364" width="6.88671875" style="27" customWidth="1"/>
    <col min="14365" max="14365" width="15.33203125" style="27" customWidth="1"/>
    <col min="14366" max="14366" width="13.6640625" style="27" customWidth="1"/>
    <col min="14367" max="14367" width="13.33203125" style="27" customWidth="1"/>
    <col min="14368" max="14368" width="15.44140625" style="27" customWidth="1"/>
    <col min="14369" max="14369" width="14.6640625" style="27" customWidth="1"/>
    <col min="14370" max="14370" width="14.5546875" style="27" customWidth="1"/>
    <col min="14371" max="14371" width="12.88671875" style="27" customWidth="1"/>
    <col min="14372" max="14372" width="14.6640625" style="27" customWidth="1"/>
    <col min="14373" max="14373" width="10.88671875" style="27" customWidth="1"/>
    <col min="14374" max="14374" width="15.44140625" style="27" customWidth="1"/>
    <col min="14375" max="14375" width="13" style="27" customWidth="1"/>
    <col min="14376" max="14376" width="13.88671875" style="27" customWidth="1"/>
    <col min="14377" max="14377" width="10.109375" style="27" customWidth="1"/>
    <col min="14378" max="14378" width="14.33203125" style="27" customWidth="1"/>
    <col min="14379" max="14379" width="13.6640625" style="27" customWidth="1"/>
    <col min="14380" max="14380" width="12" style="27" customWidth="1"/>
    <col min="14381" max="14381" width="15.44140625" style="27" customWidth="1"/>
    <col min="14382" max="14382" width="12.109375" style="27" customWidth="1"/>
    <col min="14383" max="14383" width="13.5546875" style="27" customWidth="1"/>
    <col min="14384" max="14384" width="14.5546875" style="27" customWidth="1"/>
    <col min="14385" max="14385" width="14.88671875" style="27" customWidth="1"/>
    <col min="14386" max="14386" width="15.88671875" style="27" customWidth="1"/>
    <col min="14387" max="14387" width="17.33203125" style="27" customWidth="1"/>
    <col min="14388" max="14388" width="15.44140625" style="27" customWidth="1"/>
    <col min="14389" max="14389" width="12.33203125" style="27" customWidth="1"/>
    <col min="14390" max="14390" width="15.5546875" style="27" customWidth="1"/>
    <col min="14391" max="14391" width="19" style="27" customWidth="1"/>
    <col min="14392" max="14392" width="16.109375" style="27" customWidth="1"/>
    <col min="14393" max="14393" width="15" style="27" customWidth="1"/>
    <col min="14394" max="14394" width="13.6640625" style="27" customWidth="1"/>
    <col min="14395" max="14396" width="8" style="27" customWidth="1"/>
    <col min="14397" max="14397" width="11.44140625" style="27" customWidth="1"/>
    <col min="14398" max="14398" width="16.6640625" style="27" customWidth="1"/>
    <col min="14399" max="14399" width="8.44140625" style="27" customWidth="1"/>
    <col min="14400" max="14400" width="8" style="27" customWidth="1"/>
    <col min="14401" max="14401" width="10.33203125" style="27" customWidth="1"/>
    <col min="14402" max="14402" width="8.6640625" style="27" customWidth="1"/>
    <col min="14403" max="14403" width="8" style="27" customWidth="1"/>
    <col min="14404" max="14404" width="10.33203125" style="27" bestFit="1" customWidth="1"/>
    <col min="14405" max="14405" width="8.109375" style="27" bestFit="1" customWidth="1"/>
    <col min="14406" max="14406" width="12.109375" style="27" customWidth="1"/>
    <col min="14407" max="14407" width="8.109375" style="27" bestFit="1" customWidth="1"/>
    <col min="14408" max="14408" width="9.44140625" style="27" bestFit="1" customWidth="1"/>
    <col min="14409" max="14409" width="8.109375" style="27" bestFit="1" customWidth="1"/>
    <col min="14410" max="14410" width="9.44140625" style="27" bestFit="1" customWidth="1"/>
    <col min="14411" max="14411" width="8.109375" style="27" bestFit="1" customWidth="1"/>
    <col min="14412" max="14412" width="9.44140625" style="27" bestFit="1" customWidth="1"/>
    <col min="14413" max="14413" width="8.109375" style="27" bestFit="1" customWidth="1"/>
    <col min="14414" max="14414" width="9.44140625" style="27" bestFit="1" customWidth="1"/>
    <col min="14415" max="14415" width="8.109375" style="27" bestFit="1" customWidth="1"/>
    <col min="14416" max="14416" width="9.109375" style="27"/>
    <col min="14417" max="14417" width="8.109375" style="27" bestFit="1" customWidth="1"/>
    <col min="14418" max="14418" width="9.109375" style="27"/>
    <col min="14419" max="14421" width="8.109375" style="27" bestFit="1" customWidth="1"/>
    <col min="14422" max="14422" width="9.44140625" style="27" bestFit="1" customWidth="1"/>
    <col min="14423" max="14423" width="8.109375" style="27" bestFit="1" customWidth="1"/>
    <col min="14424" max="14424" width="10.33203125" style="27" bestFit="1" customWidth="1"/>
    <col min="14425" max="14592" width="9.109375" style="27"/>
    <col min="14593" max="14593" width="9.5546875" style="27" customWidth="1"/>
    <col min="14594" max="14595" width="6.6640625" style="27" customWidth="1"/>
    <col min="14596" max="14596" width="10.33203125" style="27" customWidth="1"/>
    <col min="14597" max="14597" width="8.33203125" style="27" customWidth="1"/>
    <col min="14598" max="14598" width="8" style="27" customWidth="1"/>
    <col min="14599" max="14599" width="18.33203125" style="27" customWidth="1"/>
    <col min="14600" max="14600" width="7" style="27" customWidth="1"/>
    <col min="14601" max="14601" width="9.109375" style="27" customWidth="1"/>
    <col min="14602" max="14602" width="5.5546875" style="27" customWidth="1"/>
    <col min="14603" max="14603" width="9.44140625" style="27" customWidth="1"/>
    <col min="14604" max="14604" width="4.44140625" style="27" customWidth="1"/>
    <col min="14605" max="14605" width="39.88671875" style="27" customWidth="1"/>
    <col min="14606" max="14606" width="10.88671875" style="27" customWidth="1"/>
    <col min="14607" max="14607" width="10.44140625" style="27" customWidth="1"/>
    <col min="14608" max="14608" width="6.33203125" style="27" customWidth="1"/>
    <col min="14609" max="14609" width="14.88671875" style="27" customWidth="1"/>
    <col min="14610" max="14611" width="11.44140625" style="27" customWidth="1"/>
    <col min="14612" max="14614" width="8" style="27" customWidth="1"/>
    <col min="14615" max="14615" width="33.6640625" style="27" customWidth="1"/>
    <col min="14616" max="14616" width="38.5546875" style="27" customWidth="1"/>
    <col min="14617" max="14617" width="15.109375" style="27" customWidth="1"/>
    <col min="14618" max="14618" width="10.88671875" style="27" customWidth="1"/>
    <col min="14619" max="14620" width="6.88671875" style="27" customWidth="1"/>
    <col min="14621" max="14621" width="15.33203125" style="27" customWidth="1"/>
    <col min="14622" max="14622" width="13.6640625" style="27" customWidth="1"/>
    <col min="14623" max="14623" width="13.33203125" style="27" customWidth="1"/>
    <col min="14624" max="14624" width="15.44140625" style="27" customWidth="1"/>
    <col min="14625" max="14625" width="14.6640625" style="27" customWidth="1"/>
    <col min="14626" max="14626" width="14.5546875" style="27" customWidth="1"/>
    <col min="14627" max="14627" width="12.88671875" style="27" customWidth="1"/>
    <col min="14628" max="14628" width="14.6640625" style="27" customWidth="1"/>
    <col min="14629" max="14629" width="10.88671875" style="27" customWidth="1"/>
    <col min="14630" max="14630" width="15.44140625" style="27" customWidth="1"/>
    <col min="14631" max="14631" width="13" style="27" customWidth="1"/>
    <col min="14632" max="14632" width="13.88671875" style="27" customWidth="1"/>
    <col min="14633" max="14633" width="10.109375" style="27" customWidth="1"/>
    <col min="14634" max="14634" width="14.33203125" style="27" customWidth="1"/>
    <col min="14635" max="14635" width="13.6640625" style="27" customWidth="1"/>
    <col min="14636" max="14636" width="12" style="27" customWidth="1"/>
    <col min="14637" max="14637" width="15.44140625" style="27" customWidth="1"/>
    <col min="14638" max="14638" width="12.109375" style="27" customWidth="1"/>
    <col min="14639" max="14639" width="13.5546875" style="27" customWidth="1"/>
    <col min="14640" max="14640" width="14.5546875" style="27" customWidth="1"/>
    <col min="14641" max="14641" width="14.88671875" style="27" customWidth="1"/>
    <col min="14642" max="14642" width="15.88671875" style="27" customWidth="1"/>
    <col min="14643" max="14643" width="17.33203125" style="27" customWidth="1"/>
    <col min="14644" max="14644" width="15.44140625" style="27" customWidth="1"/>
    <col min="14645" max="14645" width="12.33203125" style="27" customWidth="1"/>
    <col min="14646" max="14646" width="15.5546875" style="27" customWidth="1"/>
    <col min="14647" max="14647" width="19" style="27" customWidth="1"/>
    <col min="14648" max="14648" width="16.109375" style="27" customWidth="1"/>
    <col min="14649" max="14649" width="15" style="27" customWidth="1"/>
    <col min="14650" max="14650" width="13.6640625" style="27" customWidth="1"/>
    <col min="14651" max="14652" width="8" style="27" customWidth="1"/>
    <col min="14653" max="14653" width="11.44140625" style="27" customWidth="1"/>
    <col min="14654" max="14654" width="16.6640625" style="27" customWidth="1"/>
    <col min="14655" max="14655" width="8.44140625" style="27" customWidth="1"/>
    <col min="14656" max="14656" width="8" style="27" customWidth="1"/>
    <col min="14657" max="14657" width="10.33203125" style="27" customWidth="1"/>
    <col min="14658" max="14658" width="8.6640625" style="27" customWidth="1"/>
    <col min="14659" max="14659" width="8" style="27" customWidth="1"/>
    <col min="14660" max="14660" width="10.33203125" style="27" bestFit="1" customWidth="1"/>
    <col min="14661" max="14661" width="8.109375" style="27" bestFit="1" customWidth="1"/>
    <col min="14662" max="14662" width="12.109375" style="27" customWidth="1"/>
    <col min="14663" max="14663" width="8.109375" style="27" bestFit="1" customWidth="1"/>
    <col min="14664" max="14664" width="9.44140625" style="27" bestFit="1" customWidth="1"/>
    <col min="14665" max="14665" width="8.109375" style="27" bestFit="1" customWidth="1"/>
    <col min="14666" max="14666" width="9.44140625" style="27" bestFit="1" customWidth="1"/>
    <col min="14667" max="14667" width="8.109375" style="27" bestFit="1" customWidth="1"/>
    <col min="14668" max="14668" width="9.44140625" style="27" bestFit="1" customWidth="1"/>
    <col min="14669" max="14669" width="8.109375" style="27" bestFit="1" customWidth="1"/>
    <col min="14670" max="14670" width="9.44140625" style="27" bestFit="1" customWidth="1"/>
    <col min="14671" max="14671" width="8.109375" style="27" bestFit="1" customWidth="1"/>
    <col min="14672" max="14672" width="9.109375" style="27"/>
    <col min="14673" max="14673" width="8.109375" style="27" bestFit="1" customWidth="1"/>
    <col min="14674" max="14674" width="9.109375" style="27"/>
    <col min="14675" max="14677" width="8.109375" style="27" bestFit="1" customWidth="1"/>
    <col min="14678" max="14678" width="9.44140625" style="27" bestFit="1" customWidth="1"/>
    <col min="14679" max="14679" width="8.109375" style="27" bestFit="1" customWidth="1"/>
    <col min="14680" max="14680" width="10.33203125" style="27" bestFit="1" customWidth="1"/>
    <col min="14681" max="14848" width="9.109375" style="27"/>
    <col min="14849" max="14849" width="9.5546875" style="27" customWidth="1"/>
    <col min="14850" max="14851" width="6.6640625" style="27" customWidth="1"/>
    <col min="14852" max="14852" width="10.33203125" style="27" customWidth="1"/>
    <col min="14853" max="14853" width="8.33203125" style="27" customWidth="1"/>
    <col min="14854" max="14854" width="8" style="27" customWidth="1"/>
    <col min="14855" max="14855" width="18.33203125" style="27" customWidth="1"/>
    <col min="14856" max="14856" width="7" style="27" customWidth="1"/>
    <col min="14857" max="14857" width="9.109375" style="27" customWidth="1"/>
    <col min="14858" max="14858" width="5.5546875" style="27" customWidth="1"/>
    <col min="14859" max="14859" width="9.44140625" style="27" customWidth="1"/>
    <col min="14860" max="14860" width="4.44140625" style="27" customWidth="1"/>
    <col min="14861" max="14861" width="39.88671875" style="27" customWidth="1"/>
    <col min="14862" max="14862" width="10.88671875" style="27" customWidth="1"/>
    <col min="14863" max="14863" width="10.44140625" style="27" customWidth="1"/>
    <col min="14864" max="14864" width="6.33203125" style="27" customWidth="1"/>
    <col min="14865" max="14865" width="14.88671875" style="27" customWidth="1"/>
    <col min="14866" max="14867" width="11.44140625" style="27" customWidth="1"/>
    <col min="14868" max="14870" width="8" style="27" customWidth="1"/>
    <col min="14871" max="14871" width="33.6640625" style="27" customWidth="1"/>
    <col min="14872" max="14872" width="38.5546875" style="27" customWidth="1"/>
    <col min="14873" max="14873" width="15.109375" style="27" customWidth="1"/>
    <col min="14874" max="14874" width="10.88671875" style="27" customWidth="1"/>
    <col min="14875" max="14876" width="6.88671875" style="27" customWidth="1"/>
    <col min="14877" max="14877" width="15.33203125" style="27" customWidth="1"/>
    <col min="14878" max="14878" width="13.6640625" style="27" customWidth="1"/>
    <col min="14879" max="14879" width="13.33203125" style="27" customWidth="1"/>
    <col min="14880" max="14880" width="15.44140625" style="27" customWidth="1"/>
    <col min="14881" max="14881" width="14.6640625" style="27" customWidth="1"/>
    <col min="14882" max="14882" width="14.5546875" style="27" customWidth="1"/>
    <col min="14883" max="14883" width="12.88671875" style="27" customWidth="1"/>
    <col min="14884" max="14884" width="14.6640625" style="27" customWidth="1"/>
    <col min="14885" max="14885" width="10.88671875" style="27" customWidth="1"/>
    <col min="14886" max="14886" width="15.44140625" style="27" customWidth="1"/>
    <col min="14887" max="14887" width="13" style="27" customWidth="1"/>
    <col min="14888" max="14888" width="13.88671875" style="27" customWidth="1"/>
    <col min="14889" max="14889" width="10.109375" style="27" customWidth="1"/>
    <col min="14890" max="14890" width="14.33203125" style="27" customWidth="1"/>
    <col min="14891" max="14891" width="13.6640625" style="27" customWidth="1"/>
    <col min="14892" max="14892" width="12" style="27" customWidth="1"/>
    <col min="14893" max="14893" width="15.44140625" style="27" customWidth="1"/>
    <col min="14894" max="14894" width="12.109375" style="27" customWidth="1"/>
    <col min="14895" max="14895" width="13.5546875" style="27" customWidth="1"/>
    <col min="14896" max="14896" width="14.5546875" style="27" customWidth="1"/>
    <col min="14897" max="14897" width="14.88671875" style="27" customWidth="1"/>
    <col min="14898" max="14898" width="15.88671875" style="27" customWidth="1"/>
    <col min="14899" max="14899" width="17.33203125" style="27" customWidth="1"/>
    <col min="14900" max="14900" width="15.44140625" style="27" customWidth="1"/>
    <col min="14901" max="14901" width="12.33203125" style="27" customWidth="1"/>
    <col min="14902" max="14902" width="15.5546875" style="27" customWidth="1"/>
    <col min="14903" max="14903" width="19" style="27" customWidth="1"/>
    <col min="14904" max="14904" width="16.109375" style="27" customWidth="1"/>
    <col min="14905" max="14905" width="15" style="27" customWidth="1"/>
    <col min="14906" max="14906" width="13.6640625" style="27" customWidth="1"/>
    <col min="14907" max="14908" width="8" style="27" customWidth="1"/>
    <col min="14909" max="14909" width="11.44140625" style="27" customWidth="1"/>
    <col min="14910" max="14910" width="16.6640625" style="27" customWidth="1"/>
    <col min="14911" max="14911" width="8.44140625" style="27" customWidth="1"/>
    <col min="14912" max="14912" width="8" style="27" customWidth="1"/>
    <col min="14913" max="14913" width="10.33203125" style="27" customWidth="1"/>
    <col min="14914" max="14914" width="8.6640625" style="27" customWidth="1"/>
    <col min="14915" max="14915" width="8" style="27" customWidth="1"/>
    <col min="14916" max="14916" width="10.33203125" style="27" bestFit="1" customWidth="1"/>
    <col min="14917" max="14917" width="8.109375" style="27" bestFit="1" customWidth="1"/>
    <col min="14918" max="14918" width="12.109375" style="27" customWidth="1"/>
    <col min="14919" max="14919" width="8.109375" style="27" bestFit="1" customWidth="1"/>
    <col min="14920" max="14920" width="9.44140625" style="27" bestFit="1" customWidth="1"/>
    <col min="14921" max="14921" width="8.109375" style="27" bestFit="1" customWidth="1"/>
    <col min="14922" max="14922" width="9.44140625" style="27" bestFit="1" customWidth="1"/>
    <col min="14923" max="14923" width="8.109375" style="27" bestFit="1" customWidth="1"/>
    <col min="14924" max="14924" width="9.44140625" style="27" bestFit="1" customWidth="1"/>
    <col min="14925" max="14925" width="8.109375" style="27" bestFit="1" customWidth="1"/>
    <col min="14926" max="14926" width="9.44140625" style="27" bestFit="1" customWidth="1"/>
    <col min="14927" max="14927" width="8.109375" style="27" bestFit="1" customWidth="1"/>
    <col min="14928" max="14928" width="9.109375" style="27"/>
    <col min="14929" max="14929" width="8.109375" style="27" bestFit="1" customWidth="1"/>
    <col min="14930" max="14930" width="9.109375" style="27"/>
    <col min="14931" max="14933" width="8.109375" style="27" bestFit="1" customWidth="1"/>
    <col min="14934" max="14934" width="9.44140625" style="27" bestFit="1" customWidth="1"/>
    <col min="14935" max="14935" width="8.109375" style="27" bestFit="1" customWidth="1"/>
    <col min="14936" max="14936" width="10.33203125" style="27" bestFit="1" customWidth="1"/>
    <col min="14937" max="15104" width="9.109375" style="27"/>
    <col min="15105" max="15105" width="9.5546875" style="27" customWidth="1"/>
    <col min="15106" max="15107" width="6.6640625" style="27" customWidth="1"/>
    <col min="15108" max="15108" width="10.33203125" style="27" customWidth="1"/>
    <col min="15109" max="15109" width="8.33203125" style="27" customWidth="1"/>
    <col min="15110" max="15110" width="8" style="27" customWidth="1"/>
    <col min="15111" max="15111" width="18.33203125" style="27" customWidth="1"/>
    <col min="15112" max="15112" width="7" style="27" customWidth="1"/>
    <col min="15113" max="15113" width="9.109375" style="27" customWidth="1"/>
    <col min="15114" max="15114" width="5.5546875" style="27" customWidth="1"/>
    <col min="15115" max="15115" width="9.44140625" style="27" customWidth="1"/>
    <col min="15116" max="15116" width="4.44140625" style="27" customWidth="1"/>
    <col min="15117" max="15117" width="39.88671875" style="27" customWidth="1"/>
    <col min="15118" max="15118" width="10.88671875" style="27" customWidth="1"/>
    <col min="15119" max="15119" width="10.44140625" style="27" customWidth="1"/>
    <col min="15120" max="15120" width="6.33203125" style="27" customWidth="1"/>
    <col min="15121" max="15121" width="14.88671875" style="27" customWidth="1"/>
    <col min="15122" max="15123" width="11.44140625" style="27" customWidth="1"/>
    <col min="15124" max="15126" width="8" style="27" customWidth="1"/>
    <col min="15127" max="15127" width="33.6640625" style="27" customWidth="1"/>
    <col min="15128" max="15128" width="38.5546875" style="27" customWidth="1"/>
    <col min="15129" max="15129" width="15.109375" style="27" customWidth="1"/>
    <col min="15130" max="15130" width="10.88671875" style="27" customWidth="1"/>
    <col min="15131" max="15132" width="6.88671875" style="27" customWidth="1"/>
    <col min="15133" max="15133" width="15.33203125" style="27" customWidth="1"/>
    <col min="15134" max="15134" width="13.6640625" style="27" customWidth="1"/>
    <col min="15135" max="15135" width="13.33203125" style="27" customWidth="1"/>
    <col min="15136" max="15136" width="15.44140625" style="27" customWidth="1"/>
    <col min="15137" max="15137" width="14.6640625" style="27" customWidth="1"/>
    <col min="15138" max="15138" width="14.5546875" style="27" customWidth="1"/>
    <col min="15139" max="15139" width="12.88671875" style="27" customWidth="1"/>
    <col min="15140" max="15140" width="14.6640625" style="27" customWidth="1"/>
    <col min="15141" max="15141" width="10.88671875" style="27" customWidth="1"/>
    <col min="15142" max="15142" width="15.44140625" style="27" customWidth="1"/>
    <col min="15143" max="15143" width="13" style="27" customWidth="1"/>
    <col min="15144" max="15144" width="13.88671875" style="27" customWidth="1"/>
    <col min="15145" max="15145" width="10.109375" style="27" customWidth="1"/>
    <col min="15146" max="15146" width="14.33203125" style="27" customWidth="1"/>
    <col min="15147" max="15147" width="13.6640625" style="27" customWidth="1"/>
    <col min="15148" max="15148" width="12" style="27" customWidth="1"/>
    <col min="15149" max="15149" width="15.44140625" style="27" customWidth="1"/>
    <col min="15150" max="15150" width="12.109375" style="27" customWidth="1"/>
    <col min="15151" max="15151" width="13.5546875" style="27" customWidth="1"/>
    <col min="15152" max="15152" width="14.5546875" style="27" customWidth="1"/>
    <col min="15153" max="15153" width="14.88671875" style="27" customWidth="1"/>
    <col min="15154" max="15154" width="15.88671875" style="27" customWidth="1"/>
    <col min="15155" max="15155" width="17.33203125" style="27" customWidth="1"/>
    <col min="15156" max="15156" width="15.44140625" style="27" customWidth="1"/>
    <col min="15157" max="15157" width="12.33203125" style="27" customWidth="1"/>
    <col min="15158" max="15158" width="15.5546875" style="27" customWidth="1"/>
    <col min="15159" max="15159" width="19" style="27" customWidth="1"/>
    <col min="15160" max="15160" width="16.109375" style="27" customWidth="1"/>
    <col min="15161" max="15161" width="15" style="27" customWidth="1"/>
    <col min="15162" max="15162" width="13.6640625" style="27" customWidth="1"/>
    <col min="15163" max="15164" width="8" style="27" customWidth="1"/>
    <col min="15165" max="15165" width="11.44140625" style="27" customWidth="1"/>
    <col min="15166" max="15166" width="16.6640625" style="27" customWidth="1"/>
    <col min="15167" max="15167" width="8.44140625" style="27" customWidth="1"/>
    <col min="15168" max="15168" width="8" style="27" customWidth="1"/>
    <col min="15169" max="15169" width="10.33203125" style="27" customWidth="1"/>
    <col min="15170" max="15170" width="8.6640625" style="27" customWidth="1"/>
    <col min="15171" max="15171" width="8" style="27" customWidth="1"/>
    <col min="15172" max="15172" width="10.33203125" style="27" bestFit="1" customWidth="1"/>
    <col min="15173" max="15173" width="8.109375" style="27" bestFit="1" customWidth="1"/>
    <col min="15174" max="15174" width="12.109375" style="27" customWidth="1"/>
    <col min="15175" max="15175" width="8.109375" style="27" bestFit="1" customWidth="1"/>
    <col min="15176" max="15176" width="9.44140625" style="27" bestFit="1" customWidth="1"/>
    <col min="15177" max="15177" width="8.109375" style="27" bestFit="1" customWidth="1"/>
    <col min="15178" max="15178" width="9.44140625" style="27" bestFit="1" customWidth="1"/>
    <col min="15179" max="15179" width="8.109375" style="27" bestFit="1" customWidth="1"/>
    <col min="15180" max="15180" width="9.44140625" style="27" bestFit="1" customWidth="1"/>
    <col min="15181" max="15181" width="8.109375" style="27" bestFit="1" customWidth="1"/>
    <col min="15182" max="15182" width="9.44140625" style="27" bestFit="1" customWidth="1"/>
    <col min="15183" max="15183" width="8.109375" style="27" bestFit="1" customWidth="1"/>
    <col min="15184" max="15184" width="9.109375" style="27"/>
    <col min="15185" max="15185" width="8.109375" style="27" bestFit="1" customWidth="1"/>
    <col min="15186" max="15186" width="9.109375" style="27"/>
    <col min="15187" max="15189" width="8.109375" style="27" bestFit="1" customWidth="1"/>
    <col min="15190" max="15190" width="9.44140625" style="27" bestFit="1" customWidth="1"/>
    <col min="15191" max="15191" width="8.109375" style="27" bestFit="1" customWidth="1"/>
    <col min="15192" max="15192" width="10.33203125" style="27" bestFit="1" customWidth="1"/>
    <col min="15193" max="15360" width="9.109375" style="27"/>
    <col min="15361" max="15361" width="9.5546875" style="27" customWidth="1"/>
    <col min="15362" max="15363" width="6.6640625" style="27" customWidth="1"/>
    <col min="15364" max="15364" width="10.33203125" style="27" customWidth="1"/>
    <col min="15365" max="15365" width="8.33203125" style="27" customWidth="1"/>
    <col min="15366" max="15366" width="8" style="27" customWidth="1"/>
    <col min="15367" max="15367" width="18.33203125" style="27" customWidth="1"/>
    <col min="15368" max="15368" width="7" style="27" customWidth="1"/>
    <col min="15369" max="15369" width="9.109375" style="27" customWidth="1"/>
    <col min="15370" max="15370" width="5.5546875" style="27" customWidth="1"/>
    <col min="15371" max="15371" width="9.44140625" style="27" customWidth="1"/>
    <col min="15372" max="15372" width="4.44140625" style="27" customWidth="1"/>
    <col min="15373" max="15373" width="39.88671875" style="27" customWidth="1"/>
    <col min="15374" max="15374" width="10.88671875" style="27" customWidth="1"/>
    <col min="15375" max="15375" width="10.44140625" style="27" customWidth="1"/>
    <col min="15376" max="15376" width="6.33203125" style="27" customWidth="1"/>
    <col min="15377" max="15377" width="14.88671875" style="27" customWidth="1"/>
    <col min="15378" max="15379" width="11.44140625" style="27" customWidth="1"/>
    <col min="15380" max="15382" width="8" style="27" customWidth="1"/>
    <col min="15383" max="15383" width="33.6640625" style="27" customWidth="1"/>
    <col min="15384" max="15384" width="38.5546875" style="27" customWidth="1"/>
    <col min="15385" max="15385" width="15.109375" style="27" customWidth="1"/>
    <col min="15386" max="15386" width="10.88671875" style="27" customWidth="1"/>
    <col min="15387" max="15388" width="6.88671875" style="27" customWidth="1"/>
    <col min="15389" max="15389" width="15.33203125" style="27" customWidth="1"/>
    <col min="15390" max="15390" width="13.6640625" style="27" customWidth="1"/>
    <col min="15391" max="15391" width="13.33203125" style="27" customWidth="1"/>
    <col min="15392" max="15392" width="15.44140625" style="27" customWidth="1"/>
    <col min="15393" max="15393" width="14.6640625" style="27" customWidth="1"/>
    <col min="15394" max="15394" width="14.5546875" style="27" customWidth="1"/>
    <col min="15395" max="15395" width="12.88671875" style="27" customWidth="1"/>
    <col min="15396" max="15396" width="14.6640625" style="27" customWidth="1"/>
    <col min="15397" max="15397" width="10.88671875" style="27" customWidth="1"/>
    <col min="15398" max="15398" width="15.44140625" style="27" customWidth="1"/>
    <col min="15399" max="15399" width="13" style="27" customWidth="1"/>
    <col min="15400" max="15400" width="13.88671875" style="27" customWidth="1"/>
    <col min="15401" max="15401" width="10.109375" style="27" customWidth="1"/>
    <col min="15402" max="15402" width="14.33203125" style="27" customWidth="1"/>
    <col min="15403" max="15403" width="13.6640625" style="27" customWidth="1"/>
    <col min="15404" max="15404" width="12" style="27" customWidth="1"/>
    <col min="15405" max="15405" width="15.44140625" style="27" customWidth="1"/>
    <col min="15406" max="15406" width="12.109375" style="27" customWidth="1"/>
    <col min="15407" max="15407" width="13.5546875" style="27" customWidth="1"/>
    <col min="15408" max="15408" width="14.5546875" style="27" customWidth="1"/>
    <col min="15409" max="15409" width="14.88671875" style="27" customWidth="1"/>
    <col min="15410" max="15410" width="15.88671875" style="27" customWidth="1"/>
    <col min="15411" max="15411" width="17.33203125" style="27" customWidth="1"/>
    <col min="15412" max="15412" width="15.44140625" style="27" customWidth="1"/>
    <col min="15413" max="15413" width="12.33203125" style="27" customWidth="1"/>
    <col min="15414" max="15414" width="15.5546875" style="27" customWidth="1"/>
    <col min="15415" max="15415" width="19" style="27" customWidth="1"/>
    <col min="15416" max="15416" width="16.109375" style="27" customWidth="1"/>
    <col min="15417" max="15417" width="15" style="27" customWidth="1"/>
    <col min="15418" max="15418" width="13.6640625" style="27" customWidth="1"/>
    <col min="15419" max="15420" width="8" style="27" customWidth="1"/>
    <col min="15421" max="15421" width="11.44140625" style="27" customWidth="1"/>
    <col min="15422" max="15422" width="16.6640625" style="27" customWidth="1"/>
    <col min="15423" max="15423" width="8.44140625" style="27" customWidth="1"/>
    <col min="15424" max="15424" width="8" style="27" customWidth="1"/>
    <col min="15425" max="15425" width="10.33203125" style="27" customWidth="1"/>
    <col min="15426" max="15426" width="8.6640625" style="27" customWidth="1"/>
    <col min="15427" max="15427" width="8" style="27" customWidth="1"/>
    <col min="15428" max="15428" width="10.33203125" style="27" bestFit="1" customWidth="1"/>
    <col min="15429" max="15429" width="8.109375" style="27" bestFit="1" customWidth="1"/>
    <col min="15430" max="15430" width="12.109375" style="27" customWidth="1"/>
    <col min="15431" max="15431" width="8.109375" style="27" bestFit="1" customWidth="1"/>
    <col min="15432" max="15432" width="9.44140625" style="27" bestFit="1" customWidth="1"/>
    <col min="15433" max="15433" width="8.109375" style="27" bestFit="1" customWidth="1"/>
    <col min="15434" max="15434" width="9.44140625" style="27" bestFit="1" customWidth="1"/>
    <col min="15435" max="15435" width="8.109375" style="27" bestFit="1" customWidth="1"/>
    <col min="15436" max="15436" width="9.44140625" style="27" bestFit="1" customWidth="1"/>
    <col min="15437" max="15437" width="8.109375" style="27" bestFit="1" customWidth="1"/>
    <col min="15438" max="15438" width="9.44140625" style="27" bestFit="1" customWidth="1"/>
    <col min="15439" max="15439" width="8.109375" style="27" bestFit="1" customWidth="1"/>
    <col min="15440" max="15440" width="9.109375" style="27"/>
    <col min="15441" max="15441" width="8.109375" style="27" bestFit="1" customWidth="1"/>
    <col min="15442" max="15442" width="9.109375" style="27"/>
    <col min="15443" max="15445" width="8.109375" style="27" bestFit="1" customWidth="1"/>
    <col min="15446" max="15446" width="9.44140625" style="27" bestFit="1" customWidth="1"/>
    <col min="15447" max="15447" width="8.109375" style="27" bestFit="1" customWidth="1"/>
    <col min="15448" max="15448" width="10.33203125" style="27" bestFit="1" customWidth="1"/>
    <col min="15449" max="15616" width="9.109375" style="27"/>
    <col min="15617" max="15617" width="9.5546875" style="27" customWidth="1"/>
    <col min="15618" max="15619" width="6.6640625" style="27" customWidth="1"/>
    <col min="15620" max="15620" width="10.33203125" style="27" customWidth="1"/>
    <col min="15621" max="15621" width="8.33203125" style="27" customWidth="1"/>
    <col min="15622" max="15622" width="8" style="27" customWidth="1"/>
    <col min="15623" max="15623" width="18.33203125" style="27" customWidth="1"/>
    <col min="15624" max="15624" width="7" style="27" customWidth="1"/>
    <col min="15625" max="15625" width="9.109375" style="27" customWidth="1"/>
    <col min="15626" max="15626" width="5.5546875" style="27" customWidth="1"/>
    <col min="15627" max="15627" width="9.44140625" style="27" customWidth="1"/>
    <col min="15628" max="15628" width="4.44140625" style="27" customWidth="1"/>
    <col min="15629" max="15629" width="39.88671875" style="27" customWidth="1"/>
    <col min="15630" max="15630" width="10.88671875" style="27" customWidth="1"/>
    <col min="15631" max="15631" width="10.44140625" style="27" customWidth="1"/>
    <col min="15632" max="15632" width="6.33203125" style="27" customWidth="1"/>
    <col min="15633" max="15633" width="14.88671875" style="27" customWidth="1"/>
    <col min="15634" max="15635" width="11.44140625" style="27" customWidth="1"/>
    <col min="15636" max="15638" width="8" style="27" customWidth="1"/>
    <col min="15639" max="15639" width="33.6640625" style="27" customWidth="1"/>
    <col min="15640" max="15640" width="38.5546875" style="27" customWidth="1"/>
    <col min="15641" max="15641" width="15.109375" style="27" customWidth="1"/>
    <col min="15642" max="15642" width="10.88671875" style="27" customWidth="1"/>
    <col min="15643" max="15644" width="6.88671875" style="27" customWidth="1"/>
    <col min="15645" max="15645" width="15.33203125" style="27" customWidth="1"/>
    <col min="15646" max="15646" width="13.6640625" style="27" customWidth="1"/>
    <col min="15647" max="15647" width="13.33203125" style="27" customWidth="1"/>
    <col min="15648" max="15648" width="15.44140625" style="27" customWidth="1"/>
    <col min="15649" max="15649" width="14.6640625" style="27" customWidth="1"/>
    <col min="15650" max="15650" width="14.5546875" style="27" customWidth="1"/>
    <col min="15651" max="15651" width="12.88671875" style="27" customWidth="1"/>
    <col min="15652" max="15652" width="14.6640625" style="27" customWidth="1"/>
    <col min="15653" max="15653" width="10.88671875" style="27" customWidth="1"/>
    <col min="15654" max="15654" width="15.44140625" style="27" customWidth="1"/>
    <col min="15655" max="15655" width="13" style="27" customWidth="1"/>
    <col min="15656" max="15656" width="13.88671875" style="27" customWidth="1"/>
    <col min="15657" max="15657" width="10.109375" style="27" customWidth="1"/>
    <col min="15658" max="15658" width="14.33203125" style="27" customWidth="1"/>
    <col min="15659" max="15659" width="13.6640625" style="27" customWidth="1"/>
    <col min="15660" max="15660" width="12" style="27" customWidth="1"/>
    <col min="15661" max="15661" width="15.44140625" style="27" customWidth="1"/>
    <col min="15662" max="15662" width="12.109375" style="27" customWidth="1"/>
    <col min="15663" max="15663" width="13.5546875" style="27" customWidth="1"/>
    <col min="15664" max="15664" width="14.5546875" style="27" customWidth="1"/>
    <col min="15665" max="15665" width="14.88671875" style="27" customWidth="1"/>
    <col min="15666" max="15666" width="15.88671875" style="27" customWidth="1"/>
    <col min="15667" max="15667" width="17.33203125" style="27" customWidth="1"/>
    <col min="15668" max="15668" width="15.44140625" style="27" customWidth="1"/>
    <col min="15669" max="15669" width="12.33203125" style="27" customWidth="1"/>
    <col min="15670" max="15670" width="15.5546875" style="27" customWidth="1"/>
    <col min="15671" max="15671" width="19" style="27" customWidth="1"/>
    <col min="15672" max="15672" width="16.109375" style="27" customWidth="1"/>
    <col min="15673" max="15673" width="15" style="27" customWidth="1"/>
    <col min="15674" max="15674" width="13.6640625" style="27" customWidth="1"/>
    <col min="15675" max="15676" width="8" style="27" customWidth="1"/>
    <col min="15677" max="15677" width="11.44140625" style="27" customWidth="1"/>
    <col min="15678" max="15678" width="16.6640625" style="27" customWidth="1"/>
    <col min="15679" max="15679" width="8.44140625" style="27" customWidth="1"/>
    <col min="15680" max="15680" width="8" style="27" customWidth="1"/>
    <col min="15681" max="15681" width="10.33203125" style="27" customWidth="1"/>
    <col min="15682" max="15682" width="8.6640625" style="27" customWidth="1"/>
    <col min="15683" max="15683" width="8" style="27" customWidth="1"/>
    <col min="15684" max="15684" width="10.33203125" style="27" bestFit="1" customWidth="1"/>
    <col min="15685" max="15685" width="8.109375" style="27" bestFit="1" customWidth="1"/>
    <col min="15686" max="15686" width="12.109375" style="27" customWidth="1"/>
    <col min="15687" max="15687" width="8.109375" style="27" bestFit="1" customWidth="1"/>
    <col min="15688" max="15688" width="9.44140625" style="27" bestFit="1" customWidth="1"/>
    <col min="15689" max="15689" width="8.109375" style="27" bestFit="1" customWidth="1"/>
    <col min="15690" max="15690" width="9.44140625" style="27" bestFit="1" customWidth="1"/>
    <col min="15691" max="15691" width="8.109375" style="27" bestFit="1" customWidth="1"/>
    <col min="15692" max="15692" width="9.44140625" style="27" bestFit="1" customWidth="1"/>
    <col min="15693" max="15693" width="8.109375" style="27" bestFit="1" customWidth="1"/>
    <col min="15694" max="15694" width="9.44140625" style="27" bestFit="1" customWidth="1"/>
    <col min="15695" max="15695" width="8.109375" style="27" bestFit="1" customWidth="1"/>
    <col min="15696" max="15696" width="9.109375" style="27"/>
    <col min="15697" max="15697" width="8.109375" style="27" bestFit="1" customWidth="1"/>
    <col min="15698" max="15698" width="9.109375" style="27"/>
    <col min="15699" max="15701" width="8.109375" style="27" bestFit="1" customWidth="1"/>
    <col min="15702" max="15702" width="9.44140625" style="27" bestFit="1" customWidth="1"/>
    <col min="15703" max="15703" width="8.109375" style="27" bestFit="1" customWidth="1"/>
    <col min="15704" max="15704" width="10.33203125" style="27" bestFit="1" customWidth="1"/>
    <col min="15705" max="15872" width="9.109375" style="27"/>
    <col min="15873" max="15873" width="9.5546875" style="27" customWidth="1"/>
    <col min="15874" max="15875" width="6.6640625" style="27" customWidth="1"/>
    <col min="15876" max="15876" width="10.33203125" style="27" customWidth="1"/>
    <col min="15877" max="15877" width="8.33203125" style="27" customWidth="1"/>
    <col min="15878" max="15878" width="8" style="27" customWidth="1"/>
    <col min="15879" max="15879" width="18.33203125" style="27" customWidth="1"/>
    <col min="15880" max="15880" width="7" style="27" customWidth="1"/>
    <col min="15881" max="15881" width="9.109375" style="27" customWidth="1"/>
    <col min="15882" max="15882" width="5.5546875" style="27" customWidth="1"/>
    <col min="15883" max="15883" width="9.44140625" style="27" customWidth="1"/>
    <col min="15884" max="15884" width="4.44140625" style="27" customWidth="1"/>
    <col min="15885" max="15885" width="39.88671875" style="27" customWidth="1"/>
    <col min="15886" max="15886" width="10.88671875" style="27" customWidth="1"/>
    <col min="15887" max="15887" width="10.44140625" style="27" customWidth="1"/>
    <col min="15888" max="15888" width="6.33203125" style="27" customWidth="1"/>
    <col min="15889" max="15889" width="14.88671875" style="27" customWidth="1"/>
    <col min="15890" max="15891" width="11.44140625" style="27" customWidth="1"/>
    <col min="15892" max="15894" width="8" style="27" customWidth="1"/>
    <col min="15895" max="15895" width="33.6640625" style="27" customWidth="1"/>
    <col min="15896" max="15896" width="38.5546875" style="27" customWidth="1"/>
    <col min="15897" max="15897" width="15.109375" style="27" customWidth="1"/>
    <col min="15898" max="15898" width="10.88671875" style="27" customWidth="1"/>
    <col min="15899" max="15900" width="6.88671875" style="27" customWidth="1"/>
    <col min="15901" max="15901" width="15.33203125" style="27" customWidth="1"/>
    <col min="15902" max="15902" width="13.6640625" style="27" customWidth="1"/>
    <col min="15903" max="15903" width="13.33203125" style="27" customWidth="1"/>
    <col min="15904" max="15904" width="15.44140625" style="27" customWidth="1"/>
    <col min="15905" max="15905" width="14.6640625" style="27" customWidth="1"/>
    <col min="15906" max="15906" width="14.5546875" style="27" customWidth="1"/>
    <col min="15907" max="15907" width="12.88671875" style="27" customWidth="1"/>
    <col min="15908" max="15908" width="14.6640625" style="27" customWidth="1"/>
    <col min="15909" max="15909" width="10.88671875" style="27" customWidth="1"/>
    <col min="15910" max="15910" width="15.44140625" style="27" customWidth="1"/>
    <col min="15911" max="15911" width="13" style="27" customWidth="1"/>
    <col min="15912" max="15912" width="13.88671875" style="27" customWidth="1"/>
    <col min="15913" max="15913" width="10.109375" style="27" customWidth="1"/>
    <col min="15914" max="15914" width="14.33203125" style="27" customWidth="1"/>
    <col min="15915" max="15915" width="13.6640625" style="27" customWidth="1"/>
    <col min="15916" max="15916" width="12" style="27" customWidth="1"/>
    <col min="15917" max="15917" width="15.44140625" style="27" customWidth="1"/>
    <col min="15918" max="15918" width="12.109375" style="27" customWidth="1"/>
    <col min="15919" max="15919" width="13.5546875" style="27" customWidth="1"/>
    <col min="15920" max="15920" width="14.5546875" style="27" customWidth="1"/>
    <col min="15921" max="15921" width="14.88671875" style="27" customWidth="1"/>
    <col min="15922" max="15922" width="15.88671875" style="27" customWidth="1"/>
    <col min="15923" max="15923" width="17.33203125" style="27" customWidth="1"/>
    <col min="15924" max="15924" width="15.44140625" style="27" customWidth="1"/>
    <col min="15925" max="15925" width="12.33203125" style="27" customWidth="1"/>
    <col min="15926" max="15926" width="15.5546875" style="27" customWidth="1"/>
    <col min="15927" max="15927" width="19" style="27" customWidth="1"/>
    <col min="15928" max="15928" width="16.109375" style="27" customWidth="1"/>
    <col min="15929" max="15929" width="15" style="27" customWidth="1"/>
    <col min="15930" max="15930" width="13.6640625" style="27" customWidth="1"/>
    <col min="15931" max="15932" width="8" style="27" customWidth="1"/>
    <col min="15933" max="15933" width="11.44140625" style="27" customWidth="1"/>
    <col min="15934" max="15934" width="16.6640625" style="27" customWidth="1"/>
    <col min="15935" max="15935" width="8.44140625" style="27" customWidth="1"/>
    <col min="15936" max="15936" width="8" style="27" customWidth="1"/>
    <col min="15937" max="15937" width="10.33203125" style="27" customWidth="1"/>
    <col min="15938" max="15938" width="8.6640625" style="27" customWidth="1"/>
    <col min="15939" max="15939" width="8" style="27" customWidth="1"/>
    <col min="15940" max="15940" width="10.33203125" style="27" bestFit="1" customWidth="1"/>
    <col min="15941" max="15941" width="8.109375" style="27" bestFit="1" customWidth="1"/>
    <col min="15942" max="15942" width="12.109375" style="27" customWidth="1"/>
    <col min="15943" max="15943" width="8.109375" style="27" bestFit="1" customWidth="1"/>
    <col min="15944" max="15944" width="9.44140625" style="27" bestFit="1" customWidth="1"/>
    <col min="15945" max="15945" width="8.109375" style="27" bestFit="1" customWidth="1"/>
    <col min="15946" max="15946" width="9.44140625" style="27" bestFit="1" customWidth="1"/>
    <col min="15947" max="15947" width="8.109375" style="27" bestFit="1" customWidth="1"/>
    <col min="15948" max="15948" width="9.44140625" style="27" bestFit="1" customWidth="1"/>
    <col min="15949" max="15949" width="8.109375" style="27" bestFit="1" customWidth="1"/>
    <col min="15950" max="15950" width="9.44140625" style="27" bestFit="1" customWidth="1"/>
    <col min="15951" max="15951" width="8.109375" style="27" bestFit="1" customWidth="1"/>
    <col min="15952" max="15952" width="9.109375" style="27"/>
    <col min="15953" max="15953" width="8.109375" style="27" bestFit="1" customWidth="1"/>
    <col min="15954" max="15954" width="9.109375" style="27"/>
    <col min="15955" max="15957" width="8.109375" style="27" bestFit="1" customWidth="1"/>
    <col min="15958" max="15958" width="9.44140625" style="27" bestFit="1" customWidth="1"/>
    <col min="15959" max="15959" width="8.109375" style="27" bestFit="1" customWidth="1"/>
    <col min="15960" max="15960" width="10.33203125" style="27" bestFit="1" customWidth="1"/>
    <col min="15961" max="16128" width="9.109375" style="27"/>
    <col min="16129" max="16129" width="9.5546875" style="27" customWidth="1"/>
    <col min="16130" max="16131" width="6.6640625" style="27" customWidth="1"/>
    <col min="16132" max="16132" width="10.33203125" style="27" customWidth="1"/>
    <col min="16133" max="16133" width="8.33203125" style="27" customWidth="1"/>
    <col min="16134" max="16134" width="8" style="27" customWidth="1"/>
    <col min="16135" max="16135" width="18.33203125" style="27" customWidth="1"/>
    <col min="16136" max="16136" width="7" style="27" customWidth="1"/>
    <col min="16137" max="16137" width="9.109375" style="27" customWidth="1"/>
    <col min="16138" max="16138" width="5.5546875" style="27" customWidth="1"/>
    <col min="16139" max="16139" width="9.44140625" style="27" customWidth="1"/>
    <col min="16140" max="16140" width="4.44140625" style="27" customWidth="1"/>
    <col min="16141" max="16141" width="39.88671875" style="27" customWidth="1"/>
    <col min="16142" max="16142" width="10.88671875" style="27" customWidth="1"/>
    <col min="16143" max="16143" width="10.44140625" style="27" customWidth="1"/>
    <col min="16144" max="16144" width="6.33203125" style="27" customWidth="1"/>
    <col min="16145" max="16145" width="14.88671875" style="27" customWidth="1"/>
    <col min="16146" max="16147" width="11.44140625" style="27" customWidth="1"/>
    <col min="16148" max="16150" width="8" style="27" customWidth="1"/>
    <col min="16151" max="16151" width="33.6640625" style="27" customWidth="1"/>
    <col min="16152" max="16152" width="38.5546875" style="27" customWidth="1"/>
    <col min="16153" max="16153" width="15.109375" style="27" customWidth="1"/>
    <col min="16154" max="16154" width="10.88671875" style="27" customWidth="1"/>
    <col min="16155" max="16156" width="6.88671875" style="27" customWidth="1"/>
    <col min="16157" max="16157" width="15.33203125" style="27" customWidth="1"/>
    <col min="16158" max="16158" width="13.6640625" style="27" customWidth="1"/>
    <col min="16159" max="16159" width="13.33203125" style="27" customWidth="1"/>
    <col min="16160" max="16160" width="15.44140625" style="27" customWidth="1"/>
    <col min="16161" max="16161" width="14.6640625" style="27" customWidth="1"/>
    <col min="16162" max="16162" width="14.5546875" style="27" customWidth="1"/>
    <col min="16163" max="16163" width="12.88671875" style="27" customWidth="1"/>
    <col min="16164" max="16164" width="14.6640625" style="27" customWidth="1"/>
    <col min="16165" max="16165" width="10.88671875" style="27" customWidth="1"/>
    <col min="16166" max="16166" width="15.44140625" style="27" customWidth="1"/>
    <col min="16167" max="16167" width="13" style="27" customWidth="1"/>
    <col min="16168" max="16168" width="13.88671875" style="27" customWidth="1"/>
    <col min="16169" max="16169" width="10.109375" style="27" customWidth="1"/>
    <col min="16170" max="16170" width="14.33203125" style="27" customWidth="1"/>
    <col min="16171" max="16171" width="13.6640625" style="27" customWidth="1"/>
    <col min="16172" max="16172" width="12" style="27" customWidth="1"/>
    <col min="16173" max="16173" width="15.44140625" style="27" customWidth="1"/>
    <col min="16174" max="16174" width="12.109375" style="27" customWidth="1"/>
    <col min="16175" max="16175" width="13.5546875" style="27" customWidth="1"/>
    <col min="16176" max="16176" width="14.5546875" style="27" customWidth="1"/>
    <col min="16177" max="16177" width="14.88671875" style="27" customWidth="1"/>
    <col min="16178" max="16178" width="15.88671875" style="27" customWidth="1"/>
    <col min="16179" max="16179" width="17.33203125" style="27" customWidth="1"/>
    <col min="16180" max="16180" width="15.44140625" style="27" customWidth="1"/>
    <col min="16181" max="16181" width="12.33203125" style="27" customWidth="1"/>
    <col min="16182" max="16182" width="15.5546875" style="27" customWidth="1"/>
    <col min="16183" max="16183" width="19" style="27" customWidth="1"/>
    <col min="16184" max="16184" width="16.109375" style="27" customWidth="1"/>
    <col min="16185" max="16185" width="15" style="27" customWidth="1"/>
    <col min="16186" max="16186" width="13.6640625" style="27" customWidth="1"/>
    <col min="16187" max="16188" width="8" style="27" customWidth="1"/>
    <col min="16189" max="16189" width="11.44140625" style="27" customWidth="1"/>
    <col min="16190" max="16190" width="16.6640625" style="27" customWidth="1"/>
    <col min="16191" max="16191" width="8.44140625" style="27" customWidth="1"/>
    <col min="16192" max="16192" width="8" style="27" customWidth="1"/>
    <col min="16193" max="16193" width="10.33203125" style="27" customWidth="1"/>
    <col min="16194" max="16194" width="8.6640625" style="27" customWidth="1"/>
    <col min="16195" max="16195" width="8" style="27" customWidth="1"/>
    <col min="16196" max="16196" width="10.33203125" style="27" bestFit="1" customWidth="1"/>
    <col min="16197" max="16197" width="8.109375" style="27" bestFit="1" customWidth="1"/>
    <col min="16198" max="16198" width="12.109375" style="27" customWidth="1"/>
    <col min="16199" max="16199" width="8.109375" style="27" bestFit="1" customWidth="1"/>
    <col min="16200" max="16200" width="9.44140625" style="27" bestFit="1" customWidth="1"/>
    <col min="16201" max="16201" width="8.109375" style="27" bestFit="1" customWidth="1"/>
    <col min="16202" max="16202" width="9.44140625" style="27" bestFit="1" customWidth="1"/>
    <col min="16203" max="16203" width="8.109375" style="27" bestFit="1" customWidth="1"/>
    <col min="16204" max="16204" width="9.44140625" style="27" bestFit="1" customWidth="1"/>
    <col min="16205" max="16205" width="8.109375" style="27" bestFit="1" customWidth="1"/>
    <col min="16206" max="16206" width="9.44140625" style="27" bestFit="1" customWidth="1"/>
    <col min="16207" max="16207" width="8.109375" style="27" bestFit="1" customWidth="1"/>
    <col min="16208" max="16208" width="9.109375" style="27"/>
    <col min="16209" max="16209" width="8.109375" style="27" bestFit="1" customWidth="1"/>
    <col min="16210" max="16210" width="9.109375" style="27"/>
    <col min="16211" max="16213" width="8.109375" style="27" bestFit="1" customWidth="1"/>
    <col min="16214" max="16214" width="9.44140625" style="27" bestFit="1" customWidth="1"/>
    <col min="16215" max="16215" width="8.109375" style="27" bestFit="1" customWidth="1"/>
    <col min="16216" max="16216" width="10.33203125" style="27" bestFit="1" customWidth="1"/>
    <col min="16217" max="16384" width="9.109375" style="27"/>
  </cols>
  <sheetData>
    <row r="1" spans="1:88" ht="41.4" x14ac:dyDescent="0.3">
      <c r="B1" s="260" t="s">
        <v>174</v>
      </c>
      <c r="C1" s="261"/>
      <c r="D1" s="261"/>
      <c r="E1" s="261"/>
      <c r="F1" s="261"/>
      <c r="G1" s="261"/>
      <c r="H1" s="261"/>
      <c r="I1" s="261"/>
      <c r="J1" s="262"/>
      <c r="L1" s="25"/>
      <c r="M1" s="32"/>
      <c r="N1" s="33" t="s">
        <v>175</v>
      </c>
      <c r="O1" s="34" t="s">
        <v>176</v>
      </c>
      <c r="P1" s="34" t="s">
        <v>177</v>
      </c>
      <c r="Q1" s="35" t="s">
        <v>178</v>
      </c>
      <c r="R1" s="36" t="s">
        <v>179</v>
      </c>
      <c r="S1" s="37" t="s">
        <v>180</v>
      </c>
      <c r="U1" s="31"/>
      <c r="W1" s="38"/>
      <c r="X1" s="38"/>
      <c r="AA1" s="39" t="s">
        <v>87</v>
      </c>
      <c r="AB1" s="40" t="s">
        <v>181</v>
      </c>
      <c r="AC1" s="41" t="s">
        <v>63</v>
      </c>
      <c r="AD1" s="40" t="s">
        <v>64</v>
      </c>
      <c r="AE1" s="42" t="s">
        <v>65</v>
      </c>
      <c r="AF1" s="40" t="s">
        <v>66</v>
      </c>
      <c r="AG1" s="40" t="s">
        <v>67</v>
      </c>
      <c r="AH1" s="41" t="s">
        <v>68</v>
      </c>
      <c r="AI1" s="40" t="s">
        <v>69</v>
      </c>
      <c r="AJ1" s="40" t="s">
        <v>70</v>
      </c>
      <c r="AK1" s="40" t="s">
        <v>71</v>
      </c>
      <c r="AL1" s="41" t="s">
        <v>72</v>
      </c>
      <c r="AM1" s="40" t="s">
        <v>73</v>
      </c>
      <c r="AN1" s="40" t="s">
        <v>74</v>
      </c>
      <c r="AO1" s="40" t="s">
        <v>75</v>
      </c>
      <c r="AP1" s="41" t="s">
        <v>76</v>
      </c>
      <c r="AQ1" s="40" t="s">
        <v>77</v>
      </c>
      <c r="AR1" s="40" t="s">
        <v>78</v>
      </c>
      <c r="AS1" s="40" t="s">
        <v>79</v>
      </c>
      <c r="AT1" s="40" t="s">
        <v>80</v>
      </c>
      <c r="AU1" s="41" t="s">
        <v>81</v>
      </c>
      <c r="AV1" s="40" t="s">
        <v>82</v>
      </c>
      <c r="AW1" s="40" t="s">
        <v>83</v>
      </c>
      <c r="AX1" s="41" t="s">
        <v>84</v>
      </c>
      <c r="AY1" s="38" t="s">
        <v>182</v>
      </c>
      <c r="AZ1" s="43" t="s">
        <v>79</v>
      </c>
      <c r="BA1" s="44" t="s">
        <v>183</v>
      </c>
      <c r="BC1" s="45" t="s">
        <v>184</v>
      </c>
      <c r="BD1" s="46" t="s">
        <v>176</v>
      </c>
      <c r="BE1" s="47"/>
      <c r="BF1" s="48"/>
      <c r="BG1" s="47"/>
      <c r="BH1" s="47"/>
      <c r="BI1" s="47"/>
      <c r="BJ1" s="47"/>
      <c r="BK1" s="47"/>
      <c r="BL1" s="49"/>
      <c r="BO1" s="29"/>
    </row>
    <row r="2" spans="1:88" x14ac:dyDescent="0.3">
      <c r="B2" s="263"/>
      <c r="C2" s="264"/>
      <c r="D2" s="264"/>
      <c r="E2" s="264"/>
      <c r="F2" s="264"/>
      <c r="G2" s="264"/>
      <c r="H2" s="264"/>
      <c r="I2" s="264"/>
      <c r="J2" s="265"/>
      <c r="K2" s="138"/>
      <c r="L2" s="25"/>
      <c r="N2" s="50">
        <v>196.1</v>
      </c>
      <c r="O2" s="51">
        <v>123.8</v>
      </c>
      <c r="P2" s="52">
        <f>N2+O2</f>
        <v>319.89999999999998</v>
      </c>
      <c r="Q2" s="53">
        <f>AF2+AN2+AS2</f>
        <v>0</v>
      </c>
      <c r="R2" s="54">
        <f>AF2+AN2</f>
        <v>0</v>
      </c>
      <c r="S2" s="55">
        <f>AS2</f>
        <v>0</v>
      </c>
      <c r="U2" s="31"/>
      <c r="W2" s="56"/>
      <c r="X2" s="56"/>
      <c r="Y2" s="24"/>
      <c r="AA2" s="57">
        <v>2012</v>
      </c>
      <c r="AB2" s="57">
        <f>COUNTIF($H$9:$H$9,AA2)</f>
        <v>0</v>
      </c>
      <c r="AC2" s="58">
        <f>SUMIF($H$9:$H$9,AA2,AC$9:AC$9)</f>
        <v>0</v>
      </c>
      <c r="AD2" s="58">
        <f>SUMIF($H$9:$H$9,AA2,AD$9:AD$9)</f>
        <v>0</v>
      </c>
      <c r="AE2" s="58">
        <f>SUMIF($H$9:$H$9,AA2,AE$9:AE$9)</f>
        <v>0</v>
      </c>
      <c r="AF2" s="58">
        <f>SUMIF($H$9:$H$9,AA2,AF$9:AF$9)</f>
        <v>0</v>
      </c>
      <c r="AG2" s="58">
        <f>SUMIF($H$9:$H$9,AA2,AG$9:AG$9)</f>
        <v>0</v>
      </c>
      <c r="AH2" s="58">
        <f>SUMIF($H$9:$H$9,AA2,AH$9:AH$9)</f>
        <v>0</v>
      </c>
      <c r="AI2" s="58">
        <f>SUMIF($H$9:$H$9,AA2,AI$9:AI$9)</f>
        <v>0</v>
      </c>
      <c r="AJ2" s="58">
        <f>SUMIF($H$9:$H$9,AA2,AJ$9:AJ$9)</f>
        <v>0</v>
      </c>
      <c r="AK2" s="58">
        <f>SUMIF($H$9:$H$9,AA2,AK$9:AK$9)</f>
        <v>0</v>
      </c>
      <c r="AL2" s="58">
        <f>SUMIF($H$9:$H$9,AA2,AL$9:AL$9)</f>
        <v>0</v>
      </c>
      <c r="AM2" s="58">
        <f>SUMIF($H$9:$H$9,AA2,AM$9:AM$9)</f>
        <v>0</v>
      </c>
      <c r="AN2" s="58">
        <f>SUMIF($H$9:$H$9,AA2,AN$9:AN$9)</f>
        <v>0</v>
      </c>
      <c r="AO2" s="58">
        <f>SUMIF($H$9:$H$9,AA2,AO$9:AO$9)</f>
        <v>0</v>
      </c>
      <c r="AP2" s="58">
        <f>SUMIF($H$9:$H$9,AA2,AP$9:AP$9)</f>
        <v>0</v>
      </c>
      <c r="AQ2" s="58">
        <f t="shared" ref="AQ2:AR6" si="0">SUMIF($H$9:$H$9,AA2,AQ$9:AQ$9)</f>
        <v>0</v>
      </c>
      <c r="AR2" s="58">
        <f t="shared" si="0"/>
        <v>0</v>
      </c>
      <c r="AS2" s="58">
        <f>SUMIF($H$9:$H$9,AA2,AS$9:AS$9)</f>
        <v>0</v>
      </c>
      <c r="AT2" s="58">
        <f>SUMIF($H$9:$H$9,AA2,AT$9:AT$9)</f>
        <v>0</v>
      </c>
      <c r="AU2" s="58">
        <f>SUMIF($H$9:$H$9,AA2,AU$9:AU$9)</f>
        <v>0</v>
      </c>
      <c r="AV2" s="58">
        <f>SUMIF($H$9:$H$9,AA2,AV$9:AV$9)</f>
        <v>0</v>
      </c>
      <c r="AW2" s="58">
        <f>SUMIF($H$9:$H$9,AA2,AW$9:AW$9)</f>
        <v>0</v>
      </c>
      <c r="AX2" s="58">
        <f>SUMIF($H$9:$H$9,AA2,AX$9:AX$9)</f>
        <v>0</v>
      </c>
      <c r="AY2" s="59">
        <f>AF2+AN2</f>
        <v>0</v>
      </c>
      <c r="AZ2" s="60">
        <f>SUM(AU2)</f>
        <v>0</v>
      </c>
      <c r="BA2" s="61">
        <v>312.24400000000003</v>
      </c>
      <c r="BB2" s="62"/>
      <c r="BC2" s="63">
        <v>196.1</v>
      </c>
      <c r="BD2" s="64">
        <v>123.8</v>
      </c>
      <c r="BE2" s="65" t="s">
        <v>185</v>
      </c>
      <c r="BF2" s="48"/>
      <c r="BG2" s="47"/>
      <c r="BH2" s="47"/>
      <c r="BI2" s="47"/>
      <c r="BJ2" s="47"/>
      <c r="BK2" s="48"/>
      <c r="BL2" s="49"/>
      <c r="BO2" s="29"/>
    </row>
    <row r="3" spans="1:88" x14ac:dyDescent="0.3">
      <c r="B3" s="266"/>
      <c r="C3" s="267"/>
      <c r="D3" s="267"/>
      <c r="E3" s="267"/>
      <c r="F3" s="267"/>
      <c r="G3" s="267"/>
      <c r="H3" s="267"/>
      <c r="I3" s="267"/>
      <c r="J3" s="265"/>
      <c r="L3" s="25"/>
      <c r="M3" s="66"/>
      <c r="N3" s="67">
        <v>231</v>
      </c>
      <c r="O3" s="68">
        <v>142.30000000000001</v>
      </c>
      <c r="P3" s="52">
        <f>N3+O3</f>
        <v>373.3</v>
      </c>
      <c r="Q3" s="53">
        <f>AF3+AN3+AS3</f>
        <v>0</v>
      </c>
      <c r="R3" s="54">
        <f>AF3+AN3</f>
        <v>0</v>
      </c>
      <c r="S3" s="55">
        <f>AS3</f>
        <v>0</v>
      </c>
      <c r="W3" s="56"/>
      <c r="X3" s="56"/>
      <c r="Y3" s="24"/>
      <c r="AA3" s="57">
        <v>2013</v>
      </c>
      <c r="AB3" s="57">
        <f>COUNTIF($H$9:$H$9,AA3)</f>
        <v>0</v>
      </c>
      <c r="AC3" s="58">
        <f>SUMIF($H$9:$H$9,AA3,AC$9:AC$9)</f>
        <v>0</v>
      </c>
      <c r="AD3" s="58">
        <f>SUMIF($H$9:$H$9,AA3,AD$9:AD$9)</f>
        <v>0</v>
      </c>
      <c r="AE3" s="58">
        <f>SUMIF($H$9:$H$9,AA3,AE$9:AE$9)</f>
        <v>0</v>
      </c>
      <c r="AF3" s="58">
        <f>SUMIF($H$9:$H$9,AA3,AF$9:AF$9)</f>
        <v>0</v>
      </c>
      <c r="AG3" s="58">
        <f>SUMIF($H$9:$H$9,AA3,AG$9:AG$9)</f>
        <v>0</v>
      </c>
      <c r="AH3" s="58">
        <f>SUMIF($H$9:$H$9,AA3,AH$9:AH$9)</f>
        <v>0</v>
      </c>
      <c r="AI3" s="58">
        <f>SUMIF($H$9:$H$9,AA3,AI$9:AI$9)</f>
        <v>0</v>
      </c>
      <c r="AJ3" s="58">
        <f>SUMIF($H$9:$H$9,AA3,AJ$9:AJ$9)</f>
        <v>0</v>
      </c>
      <c r="AK3" s="58">
        <f>SUMIF($H$9:$H$9,AA3,AK$9:AK$9)</f>
        <v>0</v>
      </c>
      <c r="AL3" s="58">
        <f>SUMIF($H$9:$H$9,AA3,AL$9:AL$9)</f>
        <v>0</v>
      </c>
      <c r="AM3" s="58">
        <f>SUMIF($H$9:$H$9,AA3,AM$9:AM$9)</f>
        <v>0</v>
      </c>
      <c r="AN3" s="58">
        <f>SUMIF($H$9:$H$9,AA3,AN$9:AN$9)</f>
        <v>0</v>
      </c>
      <c r="AO3" s="58">
        <f>SUMIF($H$9:$H$9,AA3,AO$9:AO$9)</f>
        <v>0</v>
      </c>
      <c r="AP3" s="58">
        <f>SUMIF($H$9:$H$9,AA3,AP$9:AP$9)</f>
        <v>0</v>
      </c>
      <c r="AQ3" s="58">
        <f t="shared" si="0"/>
        <v>0</v>
      </c>
      <c r="AR3" s="58">
        <f t="shared" si="0"/>
        <v>0</v>
      </c>
      <c r="AS3" s="58">
        <f>SUMIF($H$9:$H$9,AA3,AS$9:AS$9)</f>
        <v>0</v>
      </c>
      <c r="AT3" s="58">
        <f>SUMIF($H$9:$H$9,AA3,AT$9:AT$9)</f>
        <v>0</v>
      </c>
      <c r="AU3" s="58">
        <f>SUMIF($H$9:$H$9,AA3,AU$9:AU$9)</f>
        <v>0</v>
      </c>
      <c r="AV3" s="58">
        <f>SUMIF($H$9:$H$9,AA3,AV$9:AV$9)</f>
        <v>0</v>
      </c>
      <c r="AW3" s="58">
        <f>SUMIF($H$9:$H$9,AA3,AW$9:AW$9)</f>
        <v>0</v>
      </c>
      <c r="AX3" s="58">
        <f>SUMIF($H$9:$H$9,AA3,AX$9:AX$9)</f>
        <v>0</v>
      </c>
      <c r="AY3" s="59">
        <f>AF3+AN3</f>
        <v>0</v>
      </c>
      <c r="AZ3" s="60">
        <f>SUM(AU3)</f>
        <v>0</v>
      </c>
      <c r="BA3" s="61">
        <v>346.44600000000003</v>
      </c>
      <c r="BB3" s="62"/>
      <c r="BC3" s="63">
        <v>231</v>
      </c>
      <c r="BD3" s="64">
        <v>142.30000000000001</v>
      </c>
      <c r="BE3" s="65" t="s">
        <v>186</v>
      </c>
      <c r="BF3" s="48"/>
      <c r="BG3" s="47"/>
      <c r="BH3" s="47"/>
      <c r="BI3" s="47"/>
      <c r="BJ3" s="47"/>
      <c r="BK3" s="48"/>
      <c r="BL3" s="49"/>
      <c r="BO3" s="29"/>
    </row>
    <row r="4" spans="1:88" x14ac:dyDescent="0.3">
      <c r="B4" s="266"/>
      <c r="C4" s="267"/>
      <c r="D4" s="267"/>
      <c r="E4" s="267"/>
      <c r="F4" s="267"/>
      <c r="G4" s="267"/>
      <c r="H4" s="267"/>
      <c r="I4" s="267"/>
      <c r="J4" s="265"/>
      <c r="K4" s="138"/>
      <c r="L4" s="31"/>
      <c r="M4" s="66"/>
      <c r="N4" s="67">
        <v>236.2</v>
      </c>
      <c r="O4" s="68">
        <v>115.7</v>
      </c>
      <c r="P4" s="52">
        <f>N4+O4</f>
        <v>351.9</v>
      </c>
      <c r="Q4" s="53">
        <f>AF4+AN4+AS4</f>
        <v>0</v>
      </c>
      <c r="R4" s="54">
        <f>AF4+AN4</f>
        <v>0</v>
      </c>
      <c r="S4" s="55">
        <f>AS4</f>
        <v>0</v>
      </c>
      <c r="W4" s="56"/>
      <c r="X4" s="56"/>
      <c r="Y4" s="24"/>
      <c r="AA4" s="57">
        <v>2014</v>
      </c>
      <c r="AB4" s="57">
        <f>COUNTIF($H$9:$H$9,AA4)</f>
        <v>0</v>
      </c>
      <c r="AC4" s="58">
        <f>SUMIF($H$9:$H$9,AA4,AC$9:AC$9)</f>
        <v>0</v>
      </c>
      <c r="AD4" s="58">
        <f>SUMIF($H$9:$H$9,AA4,AD$9:AD$9)</f>
        <v>0</v>
      </c>
      <c r="AE4" s="58">
        <f>SUMIF($H$9:$H$9,AA4,AE$9:AE$9)</f>
        <v>0</v>
      </c>
      <c r="AF4" s="58">
        <f>SUMIF($H$9:$H$9,AA4,AF$9:AF$9)</f>
        <v>0</v>
      </c>
      <c r="AG4" s="58">
        <f>SUMIF($H$9:$H$9,AA4,AG$9:AG$9)</f>
        <v>0</v>
      </c>
      <c r="AH4" s="58">
        <f>SUMIF($H$9:$H$9,AA4,AH$9:AH$9)</f>
        <v>0</v>
      </c>
      <c r="AI4" s="58">
        <f>SUMIF($H$9:$H$9,AA4,AI$9:AI$9)</f>
        <v>0</v>
      </c>
      <c r="AJ4" s="58">
        <f>SUMIF($H$9:$H$9,AA4,AJ$9:AJ$9)</f>
        <v>0</v>
      </c>
      <c r="AK4" s="58">
        <f>SUMIF($H$9:$H$9,AA4,AK$9:AK$9)</f>
        <v>0</v>
      </c>
      <c r="AL4" s="58">
        <f>SUMIF($H$9:$H$9,AA4,AL$9:AL$9)</f>
        <v>0</v>
      </c>
      <c r="AM4" s="58">
        <f>SUMIF($H$9:$H$9,AA4,AM$9:AM$9)</f>
        <v>0</v>
      </c>
      <c r="AN4" s="58">
        <f>SUMIF($H$9:$H$9,AA4,AN$9:AN$9)</f>
        <v>0</v>
      </c>
      <c r="AO4" s="58">
        <f>SUMIF($H$9:$H$9,AA4,AO$9:AO$9)</f>
        <v>0</v>
      </c>
      <c r="AP4" s="58">
        <f>SUMIF($H$9:$H$9,AA4,AP$9:AP$9)</f>
        <v>0</v>
      </c>
      <c r="AQ4" s="58">
        <f t="shared" si="0"/>
        <v>0</v>
      </c>
      <c r="AR4" s="58">
        <f t="shared" si="0"/>
        <v>0</v>
      </c>
      <c r="AS4" s="58">
        <f>SUMIF($H$9:$H$9,AA4,AS$9:AS$9)</f>
        <v>0</v>
      </c>
      <c r="AT4" s="58">
        <f>SUMIF($H$9:$H$9,AA4,AT$9:AT$9)</f>
        <v>0</v>
      </c>
      <c r="AU4" s="58">
        <f>SUMIF($H$9:$H$9,AA4,AU$9:AU$9)</f>
        <v>0</v>
      </c>
      <c r="AV4" s="58">
        <f>SUMIF($H$9:$H$9,AA4,AV$9:AV$9)</f>
        <v>0</v>
      </c>
      <c r="AW4" s="58">
        <f>SUMIF($H$9:$H$9,AA4,AW$9:AW$9)</f>
        <v>0</v>
      </c>
      <c r="AX4" s="58">
        <f>SUMIF($H$9:$H$9,AA4,AX$9:AX$9)</f>
        <v>0</v>
      </c>
      <c r="AY4" s="59">
        <f>AF4+AN4</f>
        <v>0</v>
      </c>
      <c r="AZ4" s="60">
        <f>SUM(AU4)</f>
        <v>0</v>
      </c>
      <c r="BA4" s="61">
        <v>349.15499999999997</v>
      </c>
      <c r="BB4" s="62"/>
      <c r="BC4" s="63">
        <v>234.2</v>
      </c>
      <c r="BD4" s="64">
        <v>115.7</v>
      </c>
      <c r="BE4" s="65" t="s">
        <v>187</v>
      </c>
      <c r="BF4" s="48"/>
      <c r="BG4" s="47"/>
      <c r="BH4" s="47"/>
      <c r="BI4" s="47"/>
      <c r="BJ4" s="47"/>
      <c r="BK4" s="48"/>
      <c r="BL4" s="49"/>
      <c r="BO4" s="29"/>
    </row>
    <row r="5" spans="1:88" x14ac:dyDescent="0.3">
      <c r="B5" s="266"/>
      <c r="C5" s="267"/>
      <c r="D5" s="267"/>
      <c r="E5" s="267"/>
      <c r="F5" s="267"/>
      <c r="G5" s="267"/>
      <c r="H5" s="267"/>
      <c r="I5" s="267"/>
      <c r="J5" s="265"/>
      <c r="K5" s="138"/>
      <c r="M5" s="69"/>
      <c r="N5" s="67">
        <v>208.9</v>
      </c>
      <c r="O5" s="68">
        <v>122.3</v>
      </c>
      <c r="P5" s="52">
        <f>N5+O5</f>
        <v>331.2</v>
      </c>
      <c r="Q5" s="53">
        <f>AF5+AN5+AS5</f>
        <v>0</v>
      </c>
      <c r="R5" s="54">
        <f>AF5+AN5</f>
        <v>0</v>
      </c>
      <c r="S5" s="55">
        <f>AS5</f>
        <v>0</v>
      </c>
      <c r="T5" s="70"/>
      <c r="W5" s="56"/>
      <c r="X5" s="56"/>
      <c r="Y5" s="24"/>
      <c r="AA5" s="57">
        <v>2015</v>
      </c>
      <c r="AB5" s="57">
        <f>COUNTIF($H$9:$H$9,AA5)</f>
        <v>0</v>
      </c>
      <c r="AC5" s="58">
        <f>SUMIF($H$9:$H$9,AA5,AC$9:AC$9)</f>
        <v>0</v>
      </c>
      <c r="AD5" s="58">
        <f>SUMIF($H$9:$H$9,AA5,AD$9:AD$9)</f>
        <v>0</v>
      </c>
      <c r="AE5" s="58">
        <f>SUMIF($H$9:$H$9,AA5,AE$9:AE$9)</f>
        <v>0</v>
      </c>
      <c r="AF5" s="58">
        <f>SUMIF($H$9:$H$9,AA5,AF$9:AF$9)</f>
        <v>0</v>
      </c>
      <c r="AG5" s="58">
        <f>SUMIF($H$9:$H$9,AA5,AG$9:AG$9)</f>
        <v>0</v>
      </c>
      <c r="AH5" s="58">
        <f>SUMIF($H$9:$H$9,AA5,AH$9:AH$9)</f>
        <v>0</v>
      </c>
      <c r="AI5" s="58">
        <f>SUMIF($H$9:$H$9,AA5,AI$9:AI$9)</f>
        <v>0</v>
      </c>
      <c r="AJ5" s="58">
        <f>SUMIF($H$9:$H$9,AA5,AJ$9:AJ$9)</f>
        <v>0</v>
      </c>
      <c r="AK5" s="58">
        <f>SUMIF($H$9:$H$9,AA5,AK$9:AK$9)</f>
        <v>0</v>
      </c>
      <c r="AL5" s="58">
        <f>SUMIF($H$9:$H$9,AA5,AL$9:AL$9)</f>
        <v>0</v>
      </c>
      <c r="AM5" s="58">
        <f>SUMIF($H$9:$H$9,AA5,AM$9:AM$9)</f>
        <v>0</v>
      </c>
      <c r="AN5" s="58">
        <f>SUMIF($H$9:$H$9,AA5,AN$9:AN$9)</f>
        <v>0</v>
      </c>
      <c r="AO5" s="58">
        <f>SUMIF($H$9:$H$9,AA5,AO$9:AO$9)</f>
        <v>0</v>
      </c>
      <c r="AP5" s="58">
        <f>SUMIF($H$9:$H$9,AA5,AP$9:AP$9)</f>
        <v>0</v>
      </c>
      <c r="AQ5" s="58">
        <f t="shared" si="0"/>
        <v>0</v>
      </c>
      <c r="AR5" s="58">
        <f t="shared" si="0"/>
        <v>0</v>
      </c>
      <c r="AS5" s="58">
        <f>SUMIF($H$9:$H$9,AA5,AS$9:AS$9)</f>
        <v>0</v>
      </c>
      <c r="AT5" s="58">
        <f>SUMIF($H$9:$H$9,AA5,AT$9:AT$9)</f>
        <v>0</v>
      </c>
      <c r="AU5" s="58">
        <f>SUMIF($H$9:$H$9,AA5,AU$9:AU$9)</f>
        <v>0</v>
      </c>
      <c r="AV5" s="58">
        <f>SUMIF($H$9:$H$9,AA5,AV$9:AV$9)</f>
        <v>0</v>
      </c>
      <c r="AW5" s="58">
        <f>SUMIF($H$9:$H$9,AA5,AW$9:AW$9)</f>
        <v>0</v>
      </c>
      <c r="AX5" s="58">
        <f>SUMIF($H$9:$H$9,AA5,AX$9:AX$9)</f>
        <v>0</v>
      </c>
      <c r="AY5" s="59">
        <f>AF5+AN5</f>
        <v>0</v>
      </c>
      <c r="AZ5" s="60">
        <f>SUM(AU5)</f>
        <v>0</v>
      </c>
      <c r="BA5" s="61">
        <v>340.14600000000002</v>
      </c>
      <c r="BB5" s="62"/>
      <c r="BC5" s="63">
        <v>210.9</v>
      </c>
      <c r="BD5" s="64">
        <v>126.3</v>
      </c>
      <c r="BE5" s="65" t="s">
        <v>188</v>
      </c>
      <c r="BF5" s="48"/>
      <c r="BG5" s="47"/>
      <c r="BH5" s="47"/>
      <c r="BI5" s="47"/>
      <c r="BJ5" s="47"/>
      <c r="BK5" s="48"/>
      <c r="BL5" s="49"/>
      <c r="BO5" s="29"/>
    </row>
    <row r="6" spans="1:88" ht="14.4" thickBot="1" x14ac:dyDescent="0.35">
      <c r="B6" s="268"/>
      <c r="C6" s="269"/>
      <c r="D6" s="269"/>
      <c r="E6" s="269"/>
      <c r="F6" s="269"/>
      <c r="G6" s="269"/>
      <c r="H6" s="269"/>
      <c r="I6" s="269"/>
      <c r="J6" s="270"/>
      <c r="K6" s="66"/>
      <c r="L6" s="31"/>
      <c r="M6" s="66"/>
      <c r="N6" s="71">
        <v>185.3</v>
      </c>
      <c r="O6" s="72">
        <v>117</v>
      </c>
      <c r="P6" s="73">
        <f>N6+O6</f>
        <v>302.3</v>
      </c>
      <c r="Q6" s="74">
        <f>AF6+AN6+AS6</f>
        <v>0</v>
      </c>
      <c r="R6" s="75">
        <f>AF6+AN6</f>
        <v>0</v>
      </c>
      <c r="S6" s="76">
        <f>AS6</f>
        <v>0</v>
      </c>
      <c r="U6" s="31"/>
      <c r="AA6" s="52">
        <v>2016</v>
      </c>
      <c r="AB6" s="52">
        <f>COUNTIF($H$9:$H$9,AA6)</f>
        <v>0</v>
      </c>
      <c r="AC6" s="53">
        <f>SUMIF($H$9:$H$9,AA6,AC$9:AC$9)</f>
        <v>0</v>
      </c>
      <c r="AD6" s="53">
        <f>SUMIF($H$9:$H$9,AA6,AD$9:AD$9)</f>
        <v>0</v>
      </c>
      <c r="AE6" s="58">
        <f>SUMIF($H$9:$H$9,AA6,AE$9:AE$9)</f>
        <v>0</v>
      </c>
      <c r="AF6" s="58">
        <f>SUMIF($H$9:$H$9,AA6,AF$9:AF$9)</f>
        <v>0</v>
      </c>
      <c r="AG6" s="53">
        <f>SUMIF($H$9:$H$9,AA6,AG$9:AG$9)</f>
        <v>0</v>
      </c>
      <c r="AH6" s="53">
        <f>SUMIF($H$9:$H$9,AA6,AH$9:AH$9)</f>
        <v>0</v>
      </c>
      <c r="AI6" s="53">
        <f>SUMIF($H$9:$H$9,AA6,AI$9:AI$9)</f>
        <v>0</v>
      </c>
      <c r="AJ6" s="58">
        <f>SUMIF($H$9:$H$9,AA6,AJ$9:AJ$9)</f>
        <v>0</v>
      </c>
      <c r="AK6" s="53">
        <f>SUMIF($H$9:$H$9,AA6,AK$9:AK$9)</f>
        <v>0</v>
      </c>
      <c r="AL6" s="53">
        <f>SUMIF($H$9:$H$9,AA6,AL$9:AL$9)</f>
        <v>0</v>
      </c>
      <c r="AM6" s="53">
        <f>SUMIF($H$9:$H$9,AA6,AM$9:AM$9)</f>
        <v>0</v>
      </c>
      <c r="AN6" s="58">
        <f>SUMIF($H$9:$H$9,AA6,AN$9:AN$9)</f>
        <v>0</v>
      </c>
      <c r="AO6" s="53">
        <f>SUMIF($H$9:$H$9,AA6,AO$9:AO$9)</f>
        <v>0</v>
      </c>
      <c r="AP6" s="53">
        <f>SUMIF($H$9:$H$9,AA6,AP$9:AP$9)</f>
        <v>0</v>
      </c>
      <c r="AQ6" s="53">
        <f t="shared" si="0"/>
        <v>0</v>
      </c>
      <c r="AR6" s="53">
        <f t="shared" si="0"/>
        <v>0</v>
      </c>
      <c r="AS6" s="58">
        <f>SUMIF($H$9:$H$9,AA6,AS$9:AS$9)</f>
        <v>0</v>
      </c>
      <c r="AT6" s="53">
        <f>SUMIF($H$9:$H$9,AA6,AT$9:AT$9)</f>
        <v>0</v>
      </c>
      <c r="AU6" s="53">
        <f>SUMIF($H$9:$H$9,AA6,AU$9:AU$9)</f>
        <v>0</v>
      </c>
      <c r="AV6" s="53">
        <f>SUMIF($H$9:$H$9,AA6,AV$9:AV$9)</f>
        <v>0</v>
      </c>
      <c r="AW6" s="53">
        <f>SUMIF($H$9:$H$9,AA6,AW$9:AW$9)</f>
        <v>0</v>
      </c>
      <c r="AX6" s="53">
        <f>SUMIF($H$9:$H$9,AA6,AX$9:AX$9)</f>
        <v>0</v>
      </c>
      <c r="AY6" s="59">
        <f>AF6+AN6</f>
        <v>0</v>
      </c>
      <c r="AZ6" s="60">
        <f>SUM(AU6)</f>
        <v>0</v>
      </c>
      <c r="BA6" s="61"/>
      <c r="BB6" s="62"/>
      <c r="BC6" s="63">
        <v>185.3</v>
      </c>
      <c r="BD6" s="64">
        <v>117</v>
      </c>
      <c r="BE6" s="77" t="s">
        <v>189</v>
      </c>
      <c r="BF6" s="48"/>
      <c r="BG6" s="47"/>
      <c r="BH6" s="47"/>
      <c r="BI6" s="47"/>
      <c r="BJ6" s="47"/>
      <c r="BK6" s="47"/>
      <c r="BL6" s="49"/>
      <c r="BO6" s="29"/>
    </row>
    <row r="7" spans="1:88" ht="12.75" customHeight="1" x14ac:dyDescent="0.3">
      <c r="K7" s="31"/>
      <c r="BO7" s="271" t="s">
        <v>0</v>
      </c>
      <c r="BP7" s="272"/>
      <c r="BQ7" s="271" t="s">
        <v>3</v>
      </c>
      <c r="BR7" s="272"/>
      <c r="BS7" s="258" t="s">
        <v>6</v>
      </c>
      <c r="BT7" s="259"/>
      <c r="BU7" s="271" t="s">
        <v>8</v>
      </c>
      <c r="BV7" s="272"/>
      <c r="BW7" s="258" t="s">
        <v>11</v>
      </c>
      <c r="BX7" s="259"/>
      <c r="BY7" s="258" t="s">
        <v>13</v>
      </c>
      <c r="BZ7" s="259"/>
      <c r="CA7" s="258" t="s">
        <v>15</v>
      </c>
      <c r="CB7" s="259"/>
      <c r="CC7" s="258" t="s">
        <v>16</v>
      </c>
      <c r="CD7" s="259"/>
      <c r="CE7" s="258" t="s">
        <v>17</v>
      </c>
      <c r="CF7" s="259"/>
      <c r="CG7" s="258" t="s">
        <v>18</v>
      </c>
      <c r="CH7" s="259"/>
      <c r="CI7" s="258" t="s">
        <v>96</v>
      </c>
      <c r="CJ7" s="259"/>
    </row>
    <row r="8" spans="1:88" s="90" customFormat="1" ht="98.25" customHeight="1" x14ac:dyDescent="0.3">
      <c r="A8" s="80" t="s">
        <v>41</v>
      </c>
      <c r="B8" s="80" t="s">
        <v>42</v>
      </c>
      <c r="C8" s="80" t="s">
        <v>43</v>
      </c>
      <c r="D8" s="80" t="s">
        <v>44</v>
      </c>
      <c r="E8" s="80" t="s">
        <v>45</v>
      </c>
      <c r="F8" s="81" t="s">
        <v>46</v>
      </c>
      <c r="G8" s="80" t="s">
        <v>47</v>
      </c>
      <c r="H8" s="80" t="s">
        <v>48</v>
      </c>
      <c r="I8" s="82" t="s">
        <v>190</v>
      </c>
      <c r="J8" s="80" t="s">
        <v>49</v>
      </c>
      <c r="K8" s="80" t="s">
        <v>191</v>
      </c>
      <c r="L8" s="80" t="s">
        <v>50</v>
      </c>
      <c r="M8" s="80" t="s">
        <v>51</v>
      </c>
      <c r="N8" s="80" t="s">
        <v>52</v>
      </c>
      <c r="O8" s="80" t="s">
        <v>53</v>
      </c>
      <c r="P8" s="83" t="s">
        <v>54</v>
      </c>
      <c r="Q8" s="80" t="s">
        <v>55</v>
      </c>
      <c r="R8" s="80" t="s">
        <v>192</v>
      </c>
      <c r="S8" s="80" t="s">
        <v>56</v>
      </c>
      <c r="T8" s="84" t="s">
        <v>57</v>
      </c>
      <c r="U8" s="82" t="s">
        <v>193</v>
      </c>
      <c r="V8" s="82" t="s">
        <v>194</v>
      </c>
      <c r="W8" s="80" t="s">
        <v>58</v>
      </c>
      <c r="X8" s="80" t="s">
        <v>59</v>
      </c>
      <c r="Y8" s="81" t="s">
        <v>195</v>
      </c>
      <c r="Z8" s="80" t="s">
        <v>60</v>
      </c>
      <c r="AA8" s="80" t="s">
        <v>61</v>
      </c>
      <c r="AB8" s="80" t="s">
        <v>62</v>
      </c>
      <c r="AC8" s="85" t="s">
        <v>63</v>
      </c>
      <c r="AD8" s="80" t="s">
        <v>196</v>
      </c>
      <c r="AE8" s="86" t="s">
        <v>197</v>
      </c>
      <c r="AF8" s="80" t="s">
        <v>66</v>
      </c>
      <c r="AG8" s="80" t="s">
        <v>67</v>
      </c>
      <c r="AH8" s="81" t="s">
        <v>198</v>
      </c>
      <c r="AI8" s="80" t="s">
        <v>199</v>
      </c>
      <c r="AJ8" s="80" t="s">
        <v>70</v>
      </c>
      <c r="AK8" s="80" t="s">
        <v>200</v>
      </c>
      <c r="AL8" s="81" t="s">
        <v>201</v>
      </c>
      <c r="AM8" s="80" t="s">
        <v>202</v>
      </c>
      <c r="AN8" s="80" t="s">
        <v>74</v>
      </c>
      <c r="AO8" s="80" t="s">
        <v>203</v>
      </c>
      <c r="AP8" s="81" t="s">
        <v>204</v>
      </c>
      <c r="AQ8" s="80" t="s">
        <v>77</v>
      </c>
      <c r="AR8" s="80" t="s">
        <v>78</v>
      </c>
      <c r="AS8" s="80" t="s">
        <v>205</v>
      </c>
      <c r="AT8" s="80" t="s">
        <v>206</v>
      </c>
      <c r="AU8" s="81" t="s">
        <v>207</v>
      </c>
      <c r="AV8" s="80" t="s">
        <v>82</v>
      </c>
      <c r="AW8" s="80" t="s">
        <v>83</v>
      </c>
      <c r="AX8" s="81" t="s">
        <v>84</v>
      </c>
      <c r="AY8" s="80" t="s">
        <v>85</v>
      </c>
      <c r="AZ8" s="80" t="s">
        <v>86</v>
      </c>
      <c r="BA8" s="80" t="s">
        <v>208</v>
      </c>
      <c r="BB8" s="80" t="s">
        <v>88</v>
      </c>
      <c r="BC8" s="80" t="s">
        <v>89</v>
      </c>
      <c r="BD8" s="87" t="s">
        <v>90</v>
      </c>
      <c r="BE8" s="88" t="s">
        <v>91</v>
      </c>
      <c r="BF8" s="88" t="s">
        <v>92</v>
      </c>
      <c r="BG8" s="87" t="s">
        <v>209</v>
      </c>
      <c r="BH8" s="87" t="s">
        <v>210</v>
      </c>
      <c r="BI8" s="87" t="s">
        <v>211</v>
      </c>
      <c r="BJ8" s="87" t="s">
        <v>94</v>
      </c>
      <c r="BK8" s="89" t="s">
        <v>212</v>
      </c>
      <c r="BL8" s="87" t="s">
        <v>213</v>
      </c>
      <c r="BM8" s="87" t="s">
        <v>214</v>
      </c>
      <c r="BN8" s="87" t="s">
        <v>215</v>
      </c>
      <c r="BO8" s="139" t="s">
        <v>2</v>
      </c>
      <c r="BP8" s="140" t="s">
        <v>1</v>
      </c>
      <c r="BQ8" s="139" t="s">
        <v>5</v>
      </c>
      <c r="BR8" s="140" t="s">
        <v>4</v>
      </c>
      <c r="BS8" s="139" t="s">
        <v>7</v>
      </c>
      <c r="BT8" s="140" t="s">
        <v>1424</v>
      </c>
      <c r="BU8" s="139" t="s">
        <v>10</v>
      </c>
      <c r="BV8" s="140" t="s">
        <v>9</v>
      </c>
      <c r="BW8" s="139" t="s">
        <v>12</v>
      </c>
      <c r="BX8" s="140" t="s">
        <v>1425</v>
      </c>
      <c r="BY8" s="139" t="s">
        <v>14</v>
      </c>
      <c r="BZ8" s="140" t="s">
        <v>1426</v>
      </c>
      <c r="CA8" s="139" t="s">
        <v>21</v>
      </c>
      <c r="CB8" s="140" t="s">
        <v>1427</v>
      </c>
      <c r="CC8" s="139" t="s">
        <v>22</v>
      </c>
      <c r="CD8" s="140" t="s">
        <v>1428</v>
      </c>
      <c r="CE8" s="139" t="s">
        <v>23</v>
      </c>
      <c r="CF8" s="140" t="s">
        <v>1429</v>
      </c>
      <c r="CG8" s="139" t="s">
        <v>24</v>
      </c>
      <c r="CH8" s="140" t="s">
        <v>1430</v>
      </c>
      <c r="CI8" s="140" t="s">
        <v>20</v>
      </c>
      <c r="CJ8" s="140" t="s">
        <v>19</v>
      </c>
    </row>
    <row r="9" spans="1:88" s="95" customFormat="1" x14ac:dyDescent="0.3">
      <c r="A9" s="91"/>
      <c r="B9" s="91"/>
      <c r="C9" s="91"/>
      <c r="D9" s="91"/>
      <c r="E9" s="91"/>
      <c r="F9" s="92" t="str">
        <f>TRIM(D9)&amp;" "&amp;TRIM(E9)</f>
        <v xml:space="preserve"> </v>
      </c>
      <c r="G9" s="93"/>
      <c r="H9" s="91"/>
      <c r="I9" s="47"/>
      <c r="J9" s="91"/>
      <c r="K9" s="94"/>
      <c r="L9" s="91"/>
      <c r="N9" s="49"/>
      <c r="O9" s="49"/>
      <c r="P9" s="96"/>
      <c r="Q9" s="93"/>
      <c r="R9" s="93"/>
      <c r="S9" s="91"/>
      <c r="T9" s="141" t="str">
        <f>TRIM(U9)&amp;" "&amp;TRIM(V9)</f>
        <v xml:space="preserve"> </v>
      </c>
      <c r="U9" s="49"/>
      <c r="V9" s="49"/>
      <c r="W9" s="49"/>
      <c r="X9" s="49"/>
      <c r="Y9" s="119" t="str">
        <f>TRIM(Z9)&amp;" "&amp;(AA9)&amp;" "&amp;(AB9)</f>
        <v xml:space="preserve">  </v>
      </c>
      <c r="Z9" s="98"/>
      <c r="AA9" s="98"/>
      <c r="AB9" s="98"/>
      <c r="AC9" s="99"/>
      <c r="AD9" s="100"/>
      <c r="AE9" s="101"/>
      <c r="AF9" s="100"/>
      <c r="AG9" s="100"/>
      <c r="AH9" s="99"/>
      <c r="AI9" s="103"/>
      <c r="AJ9" s="104"/>
      <c r="AK9" s="104"/>
      <c r="AL9" s="102"/>
      <c r="AM9" s="103"/>
      <c r="AN9" s="105"/>
      <c r="AO9" s="105"/>
      <c r="AP9" s="102">
        <f>SUM(AM9:AO9)</f>
        <v>0</v>
      </c>
      <c r="AQ9" s="103">
        <v>0</v>
      </c>
      <c r="AR9" s="104">
        <v>0</v>
      </c>
      <c r="AS9" s="104">
        <v>0</v>
      </c>
      <c r="AT9" s="104">
        <v>0</v>
      </c>
      <c r="AU9" s="102">
        <f>SUM(AS9:AT9)</f>
        <v>0</v>
      </c>
      <c r="AV9" s="104">
        <v>0</v>
      </c>
      <c r="AW9" s="104">
        <v>0</v>
      </c>
      <c r="AX9" s="102"/>
      <c r="BB9" s="106"/>
      <c r="BD9" s="107"/>
      <c r="BE9" s="108"/>
      <c r="BF9" s="108"/>
      <c r="BG9" s="97"/>
      <c r="BH9" s="97"/>
      <c r="BI9" s="97"/>
      <c r="BJ9" s="109"/>
      <c r="BK9" s="110"/>
      <c r="BL9" s="97"/>
      <c r="BM9" s="97"/>
      <c r="BN9" s="97"/>
      <c r="BO9" s="142"/>
      <c r="BP9" s="143">
        <f>BO9*AX9</f>
        <v>0</v>
      </c>
      <c r="BQ9" s="142"/>
      <c r="BR9" s="143">
        <f>BQ9*AX9</f>
        <v>0</v>
      </c>
      <c r="BS9" s="132"/>
      <c r="BT9" s="143">
        <f>BS9*AX9</f>
        <v>0</v>
      </c>
      <c r="BU9" s="132"/>
      <c r="BV9" s="143">
        <f>BU9*AX9</f>
        <v>0</v>
      </c>
      <c r="BW9" s="132"/>
      <c r="BX9" s="143">
        <f>BW9*AX9</f>
        <v>0</v>
      </c>
      <c r="BY9" s="132"/>
      <c r="BZ9" s="143">
        <f>BY9*AX9</f>
        <v>0</v>
      </c>
      <c r="CA9" s="132"/>
      <c r="CB9" s="143">
        <f>CA9*AX9</f>
        <v>0</v>
      </c>
      <c r="CC9" s="132"/>
      <c r="CD9" s="143">
        <f>CC9*AX9</f>
        <v>0</v>
      </c>
      <c r="CE9" s="132"/>
      <c r="CF9" s="143">
        <f>CE9*AX9</f>
        <v>0</v>
      </c>
      <c r="CG9" s="132"/>
      <c r="CH9" s="143">
        <f>CG9*AX9</f>
        <v>0</v>
      </c>
      <c r="CI9" s="132">
        <f>SUM(BO9,BQ9,BS9,BU9,BW9,BY9,CA9,CC9,CE9,CG9)</f>
        <v>0</v>
      </c>
      <c r="CJ9" s="143">
        <f>SUM(BP9,BR9,BT9,BV9,BX9,BZ9,CB9,CD9,CF9,CH9)</f>
        <v>0</v>
      </c>
    </row>
    <row r="10" spans="1:88" s="66" customFormat="1" x14ac:dyDescent="0.3">
      <c r="A10" s="91"/>
      <c r="B10" s="91"/>
      <c r="C10" s="91"/>
      <c r="D10" s="91"/>
      <c r="E10" s="91"/>
      <c r="F10" s="92"/>
      <c r="G10" s="93"/>
      <c r="H10" s="91"/>
      <c r="I10" s="47"/>
      <c r="J10" s="91"/>
      <c r="K10" s="94"/>
      <c r="L10" s="91"/>
      <c r="M10" s="95"/>
      <c r="N10" s="49"/>
      <c r="O10" s="49"/>
      <c r="P10" s="96"/>
      <c r="Q10" s="93"/>
      <c r="R10" s="93"/>
      <c r="S10" s="91"/>
      <c r="T10" s="141"/>
      <c r="U10" s="49"/>
      <c r="V10" s="49"/>
      <c r="W10" s="49"/>
      <c r="X10" s="49"/>
      <c r="Y10" s="119"/>
      <c r="Z10" s="98"/>
      <c r="AA10" s="98"/>
      <c r="AB10" s="98"/>
      <c r="AC10" s="99"/>
      <c r="AD10" s="100"/>
      <c r="AE10" s="101"/>
      <c r="AF10" s="111"/>
      <c r="AG10" s="100"/>
      <c r="AH10" s="99"/>
      <c r="AI10" s="103"/>
      <c r="AJ10" s="104"/>
      <c r="AK10" s="104"/>
      <c r="AL10" s="102"/>
      <c r="AM10" s="103"/>
      <c r="AN10" s="105"/>
      <c r="AO10" s="105"/>
      <c r="AP10" s="102"/>
      <c r="AQ10" s="103"/>
      <c r="AR10" s="104"/>
      <c r="AS10" s="104"/>
      <c r="AT10" s="104"/>
      <c r="AU10" s="102"/>
      <c r="AV10" s="104"/>
      <c r="AW10" s="104"/>
      <c r="AX10" s="102"/>
      <c r="AY10" s="95"/>
      <c r="AZ10" s="95"/>
      <c r="BB10" s="106"/>
      <c r="BD10" s="112"/>
      <c r="BE10" s="108"/>
      <c r="BF10" s="108"/>
      <c r="BG10" s="97"/>
      <c r="BH10" s="97"/>
      <c r="BI10" s="97"/>
      <c r="BJ10" s="112"/>
      <c r="BK10" s="110"/>
      <c r="BL10" s="97"/>
      <c r="BM10" s="97"/>
      <c r="BN10" s="97"/>
      <c r="BO10" s="144"/>
      <c r="BP10" s="143">
        <f t="shared" ref="BP10:BP73" si="1">BO10*AX10</f>
        <v>0</v>
      </c>
      <c r="BQ10" s="144"/>
      <c r="BR10" s="143">
        <f t="shared" ref="BR10:BR73" si="2">BQ10*AX10</f>
        <v>0</v>
      </c>
      <c r="BS10" s="145"/>
      <c r="BT10" s="146">
        <f t="shared" ref="BT10:BT73" si="3">BS10*AX10</f>
        <v>0</v>
      </c>
      <c r="BU10" s="145"/>
      <c r="BV10" s="143">
        <f t="shared" ref="BV10:BV73" si="4">BU10*AX10</f>
        <v>0</v>
      </c>
      <c r="BW10" s="145"/>
      <c r="BX10" s="146">
        <f t="shared" ref="BX10:BX73" si="5">BW10*AX10</f>
        <v>0</v>
      </c>
      <c r="BY10" s="145"/>
      <c r="BZ10" s="146">
        <f t="shared" ref="BZ10:BZ73" si="6">BY10*AX10</f>
        <v>0</v>
      </c>
      <c r="CA10" s="145"/>
      <c r="CB10" s="146">
        <f t="shared" ref="CB10:CB73" si="7">CA10*AX10</f>
        <v>0</v>
      </c>
      <c r="CC10" s="145"/>
      <c r="CD10" s="143">
        <f t="shared" ref="CD10:CD73" si="8">CC10*AX10</f>
        <v>0</v>
      </c>
      <c r="CE10" s="145"/>
      <c r="CF10" s="143">
        <f t="shared" ref="CF10:CF73" si="9">CE10*AX10</f>
        <v>0</v>
      </c>
      <c r="CG10" s="132"/>
      <c r="CH10" s="143">
        <f t="shared" ref="CH10:CH73" si="10">CG10*AX10</f>
        <v>0</v>
      </c>
      <c r="CI10" s="132">
        <f t="shared" ref="CI10:CJ73" si="11">SUM(BO10,BQ10,BS10,BU10,BW10,BY10,CA10,CC10,CE10,CG10)</f>
        <v>0</v>
      </c>
      <c r="CJ10" s="143">
        <f t="shared" si="11"/>
        <v>0</v>
      </c>
    </row>
    <row r="11" spans="1:88" s="66" customFormat="1" x14ac:dyDescent="0.3">
      <c r="A11" s="91"/>
      <c r="B11" s="91"/>
      <c r="C11" s="91"/>
      <c r="D11" s="91"/>
      <c r="E11" s="91"/>
      <c r="F11" s="92"/>
      <c r="G11" s="93"/>
      <c r="H11" s="91"/>
      <c r="I11" s="47"/>
      <c r="J11" s="91"/>
      <c r="K11" s="94"/>
      <c r="L11" s="91"/>
      <c r="M11" s="95"/>
      <c r="N11" s="49"/>
      <c r="O11" s="49"/>
      <c r="P11" s="96"/>
      <c r="Q11" s="93"/>
      <c r="R11" s="93"/>
      <c r="S11" s="91"/>
      <c r="T11" s="141"/>
      <c r="U11" s="49"/>
      <c r="V11" s="49"/>
      <c r="W11" s="49"/>
      <c r="X11" s="49"/>
      <c r="Y11" s="119"/>
      <c r="Z11" s="98"/>
      <c r="AA11" s="98"/>
      <c r="AB11" s="98"/>
      <c r="AC11" s="99"/>
      <c r="AD11" s="100"/>
      <c r="AE11" s="101"/>
      <c r="AF11" s="111"/>
      <c r="AG11" s="100"/>
      <c r="AH11" s="99"/>
      <c r="AI11" s="103"/>
      <c r="AJ11" s="104"/>
      <c r="AK11" s="104"/>
      <c r="AL11" s="102"/>
      <c r="AM11" s="103"/>
      <c r="AN11" s="105"/>
      <c r="AO11" s="105"/>
      <c r="AP11" s="102"/>
      <c r="AQ11" s="103"/>
      <c r="AR11" s="104"/>
      <c r="AS11" s="104"/>
      <c r="AT11" s="104"/>
      <c r="AU11" s="102"/>
      <c r="AV11" s="104"/>
      <c r="AW11" s="104"/>
      <c r="AX11" s="102"/>
      <c r="AY11" s="95"/>
      <c r="AZ11" s="95"/>
      <c r="BB11" s="106"/>
      <c r="BD11" s="115" t="s">
        <v>93</v>
      </c>
      <c r="BE11" s="115"/>
      <c r="BF11" s="115"/>
      <c r="BG11" s="115"/>
      <c r="BH11" s="115"/>
      <c r="BI11" s="115"/>
      <c r="BJ11" s="115" t="s">
        <v>216</v>
      </c>
      <c r="BK11" s="110"/>
      <c r="BL11" s="97"/>
      <c r="BM11" s="97"/>
      <c r="BN11" s="97"/>
      <c r="BO11" s="142"/>
      <c r="BP11" s="143">
        <f t="shared" si="1"/>
        <v>0</v>
      </c>
      <c r="BQ11" s="142"/>
      <c r="BR11" s="143">
        <f t="shared" si="2"/>
        <v>0</v>
      </c>
      <c r="BS11" s="132"/>
      <c r="BT11" s="146">
        <f t="shared" si="3"/>
        <v>0</v>
      </c>
      <c r="BU11" s="132"/>
      <c r="BV11" s="143">
        <f t="shared" si="4"/>
        <v>0</v>
      </c>
      <c r="BW11" s="132"/>
      <c r="BX11" s="146">
        <f t="shared" si="5"/>
        <v>0</v>
      </c>
      <c r="BY11" s="132"/>
      <c r="BZ11" s="146">
        <f t="shared" si="6"/>
        <v>0</v>
      </c>
      <c r="CA11" s="132"/>
      <c r="CB11" s="146">
        <f t="shared" si="7"/>
        <v>0</v>
      </c>
      <c r="CC11" s="132"/>
      <c r="CD11" s="143">
        <f t="shared" si="8"/>
        <v>0</v>
      </c>
      <c r="CE11" s="132"/>
      <c r="CF11" s="143">
        <f t="shared" si="9"/>
        <v>0</v>
      </c>
      <c r="CG11" s="132"/>
      <c r="CH11" s="143">
        <f t="shared" si="10"/>
        <v>0</v>
      </c>
      <c r="CI11" s="132">
        <f t="shared" si="11"/>
        <v>0</v>
      </c>
      <c r="CJ11" s="143">
        <f t="shared" si="11"/>
        <v>0</v>
      </c>
    </row>
    <row r="12" spans="1:88" s="66" customFormat="1" x14ac:dyDescent="0.3">
      <c r="A12" s="113"/>
      <c r="B12" s="113">
        <v>1</v>
      </c>
      <c r="C12" s="113"/>
      <c r="D12" s="114" t="s">
        <v>217</v>
      </c>
      <c r="E12" s="113"/>
      <c r="F12" s="31"/>
      <c r="G12" s="115"/>
      <c r="H12" s="113">
        <v>2009</v>
      </c>
      <c r="I12" s="29"/>
      <c r="J12" s="113" t="s">
        <v>218</v>
      </c>
      <c r="K12" s="113"/>
      <c r="L12" s="113">
        <v>1</v>
      </c>
      <c r="N12" s="31"/>
      <c r="O12" s="31"/>
      <c r="P12" s="116"/>
      <c r="Q12" s="115" t="s">
        <v>93</v>
      </c>
      <c r="R12" s="117" t="s">
        <v>219</v>
      </c>
      <c r="S12" s="118" t="s">
        <v>220</v>
      </c>
      <c r="T12" s="141"/>
      <c r="U12" s="31"/>
      <c r="V12" s="31"/>
      <c r="W12" s="114" t="s">
        <v>221</v>
      </c>
      <c r="X12" s="119" t="s">
        <v>222</v>
      </c>
      <c r="Y12" s="119" t="s">
        <v>223</v>
      </c>
      <c r="AE12" s="120"/>
      <c r="AH12" s="99"/>
      <c r="BB12" s="121"/>
      <c r="BD12" s="115" t="s">
        <v>224</v>
      </c>
      <c r="BE12" s="115"/>
      <c r="BF12" s="115"/>
      <c r="BG12" s="115"/>
      <c r="BH12" s="115"/>
      <c r="BI12" s="115"/>
      <c r="BJ12" s="115" t="s">
        <v>225</v>
      </c>
      <c r="BK12" s="110"/>
      <c r="BL12" s="97"/>
      <c r="BM12" s="97"/>
      <c r="BN12" s="97"/>
      <c r="BO12" s="142"/>
      <c r="BP12" s="143">
        <f t="shared" si="1"/>
        <v>0</v>
      </c>
      <c r="BQ12" s="142"/>
      <c r="BR12" s="143">
        <f t="shared" si="2"/>
        <v>0</v>
      </c>
      <c r="BS12" s="132"/>
      <c r="BT12" s="146">
        <f t="shared" si="3"/>
        <v>0</v>
      </c>
      <c r="BU12" s="132"/>
      <c r="BV12" s="143">
        <f t="shared" si="4"/>
        <v>0</v>
      </c>
      <c r="BW12" s="132"/>
      <c r="BX12" s="146">
        <f t="shared" si="5"/>
        <v>0</v>
      </c>
      <c r="BY12" s="132"/>
      <c r="BZ12" s="146">
        <f t="shared" si="6"/>
        <v>0</v>
      </c>
      <c r="CA12" s="132"/>
      <c r="CB12" s="146">
        <f t="shared" si="7"/>
        <v>0</v>
      </c>
      <c r="CC12" s="132"/>
      <c r="CD12" s="143">
        <f t="shared" si="8"/>
        <v>0</v>
      </c>
      <c r="CE12" s="132"/>
      <c r="CF12" s="143">
        <f t="shared" si="9"/>
        <v>0</v>
      </c>
      <c r="CG12" s="132"/>
      <c r="CH12" s="143">
        <f t="shared" si="10"/>
        <v>0</v>
      </c>
      <c r="CI12" s="132">
        <f t="shared" si="11"/>
        <v>0</v>
      </c>
      <c r="CJ12" s="143">
        <f t="shared" si="11"/>
        <v>0</v>
      </c>
    </row>
    <row r="13" spans="1:88" s="66" customFormat="1" x14ac:dyDescent="0.3">
      <c r="A13" s="113"/>
      <c r="B13" s="113">
        <v>2</v>
      </c>
      <c r="C13" s="113"/>
      <c r="D13" s="114" t="s">
        <v>226</v>
      </c>
      <c r="E13" s="113"/>
      <c r="F13" s="31"/>
      <c r="G13" s="115"/>
      <c r="H13" s="113">
        <v>2010</v>
      </c>
      <c r="I13" s="29"/>
      <c r="J13" s="113" t="s">
        <v>227</v>
      </c>
      <c r="K13" s="113"/>
      <c r="L13" s="113">
        <v>2</v>
      </c>
      <c r="N13" s="31"/>
      <c r="O13" s="31"/>
      <c r="P13" s="116"/>
      <c r="Q13" s="115" t="s">
        <v>228</v>
      </c>
      <c r="R13" s="117" t="s">
        <v>229</v>
      </c>
      <c r="S13" s="118" t="s">
        <v>230</v>
      </c>
      <c r="T13" s="141"/>
      <c r="U13" s="31"/>
      <c r="V13" s="31"/>
      <c r="W13" s="114" t="s">
        <v>231</v>
      </c>
      <c r="X13" s="119" t="s">
        <v>232</v>
      </c>
      <c r="Y13" s="119" t="s">
        <v>1431</v>
      </c>
      <c r="AE13" s="120"/>
      <c r="AH13" s="99"/>
      <c r="BB13" s="121"/>
      <c r="BD13" s="115" t="s">
        <v>234</v>
      </c>
      <c r="BE13" s="115"/>
      <c r="BF13" s="115"/>
      <c r="BG13" s="115"/>
      <c r="BH13" s="115"/>
      <c r="BI13" s="115"/>
      <c r="BJ13" s="115" t="s">
        <v>235</v>
      </c>
      <c r="BK13" s="110"/>
      <c r="BL13" s="97"/>
      <c r="BM13" s="97"/>
      <c r="BN13" s="97"/>
      <c r="BO13" s="142"/>
      <c r="BP13" s="143">
        <f t="shared" si="1"/>
        <v>0</v>
      </c>
      <c r="BQ13" s="142"/>
      <c r="BR13" s="143">
        <f t="shared" si="2"/>
        <v>0</v>
      </c>
      <c r="BS13" s="132"/>
      <c r="BT13" s="146">
        <f t="shared" si="3"/>
        <v>0</v>
      </c>
      <c r="BU13" s="132"/>
      <c r="BV13" s="143">
        <f t="shared" si="4"/>
        <v>0</v>
      </c>
      <c r="BW13" s="132"/>
      <c r="BX13" s="146">
        <f t="shared" si="5"/>
        <v>0</v>
      </c>
      <c r="BY13" s="132"/>
      <c r="BZ13" s="146">
        <f t="shared" si="6"/>
        <v>0</v>
      </c>
      <c r="CA13" s="132"/>
      <c r="CB13" s="146">
        <f t="shared" si="7"/>
        <v>0</v>
      </c>
      <c r="CC13" s="132"/>
      <c r="CD13" s="143">
        <f t="shared" si="8"/>
        <v>0</v>
      </c>
      <c r="CE13" s="132"/>
      <c r="CF13" s="143">
        <f t="shared" si="9"/>
        <v>0</v>
      </c>
      <c r="CG13" s="132"/>
      <c r="CH13" s="143">
        <f t="shared" si="10"/>
        <v>0</v>
      </c>
      <c r="CI13" s="132">
        <f t="shared" si="11"/>
        <v>0</v>
      </c>
      <c r="CJ13" s="143">
        <f t="shared" si="11"/>
        <v>0</v>
      </c>
    </row>
    <row r="14" spans="1:88" s="66" customFormat="1" x14ac:dyDescent="0.3">
      <c r="A14" s="113"/>
      <c r="B14" s="113">
        <v>3</v>
      </c>
      <c r="C14" s="113"/>
      <c r="D14" s="114" t="s">
        <v>244</v>
      </c>
      <c r="E14" s="113"/>
      <c r="F14" s="31"/>
      <c r="G14" s="115"/>
      <c r="H14" s="113">
        <v>2011</v>
      </c>
      <c r="I14" s="29"/>
      <c r="J14" s="113" t="s">
        <v>236</v>
      </c>
      <c r="K14" s="113"/>
      <c r="L14" s="113">
        <v>3</v>
      </c>
      <c r="N14" s="31"/>
      <c r="O14" s="31"/>
      <c r="P14" s="116"/>
      <c r="Q14" s="115" t="s">
        <v>237</v>
      </c>
      <c r="R14" s="117" t="s">
        <v>238</v>
      </c>
      <c r="S14" s="118" t="s">
        <v>239</v>
      </c>
      <c r="T14" s="141"/>
      <c r="U14" s="31"/>
      <c r="V14" s="31"/>
      <c r="W14" s="114" t="s">
        <v>240</v>
      </c>
      <c r="X14" s="119" t="s">
        <v>241</v>
      </c>
      <c r="Y14" s="119" t="s">
        <v>233</v>
      </c>
      <c r="AE14" s="120"/>
      <c r="AH14" s="99"/>
      <c r="BB14" s="121"/>
      <c r="BD14" s="115" t="s">
        <v>242</v>
      </c>
      <c r="BE14" s="115"/>
      <c r="BF14" s="115"/>
      <c r="BG14" s="115"/>
      <c r="BH14" s="115"/>
      <c r="BI14" s="115"/>
      <c r="BJ14" s="115" t="s">
        <v>243</v>
      </c>
      <c r="BK14" s="110"/>
      <c r="BL14" s="97"/>
      <c r="BM14" s="97"/>
      <c r="BN14" s="97"/>
      <c r="BO14" s="142"/>
      <c r="BP14" s="143">
        <f t="shared" si="1"/>
        <v>0</v>
      </c>
      <c r="BQ14" s="142"/>
      <c r="BR14" s="143">
        <f t="shared" si="2"/>
        <v>0</v>
      </c>
      <c r="BS14" s="132"/>
      <c r="BT14" s="146">
        <f t="shared" si="3"/>
        <v>0</v>
      </c>
      <c r="BU14" s="132"/>
      <c r="BV14" s="143">
        <f t="shared" si="4"/>
        <v>0</v>
      </c>
      <c r="BW14" s="132"/>
      <c r="BX14" s="146">
        <f t="shared" si="5"/>
        <v>0</v>
      </c>
      <c r="BY14" s="132"/>
      <c r="BZ14" s="146">
        <f t="shared" si="6"/>
        <v>0</v>
      </c>
      <c r="CA14" s="132"/>
      <c r="CB14" s="146">
        <f t="shared" si="7"/>
        <v>0</v>
      </c>
      <c r="CC14" s="132"/>
      <c r="CD14" s="143">
        <f t="shared" si="8"/>
        <v>0</v>
      </c>
      <c r="CE14" s="132"/>
      <c r="CF14" s="143">
        <f t="shared" si="9"/>
        <v>0</v>
      </c>
      <c r="CG14" s="132"/>
      <c r="CH14" s="143">
        <f t="shared" si="10"/>
        <v>0</v>
      </c>
      <c r="CI14" s="132">
        <f t="shared" si="11"/>
        <v>0</v>
      </c>
      <c r="CJ14" s="143">
        <f t="shared" si="11"/>
        <v>0</v>
      </c>
    </row>
    <row r="15" spans="1:88" s="66" customFormat="1" x14ac:dyDescent="0.3">
      <c r="A15" s="113"/>
      <c r="B15" s="113">
        <v>4</v>
      </c>
      <c r="C15" s="113"/>
      <c r="D15" s="114" t="s">
        <v>252</v>
      </c>
      <c r="E15" s="113"/>
      <c r="F15" s="31"/>
      <c r="G15" s="115"/>
      <c r="H15" s="113">
        <v>2012</v>
      </c>
      <c r="I15" s="29"/>
      <c r="J15" s="113"/>
      <c r="K15" s="113"/>
      <c r="L15" s="113">
        <v>4</v>
      </c>
      <c r="N15" s="31"/>
      <c r="O15" s="31"/>
      <c r="P15" s="116"/>
      <c r="Q15" s="115" t="s">
        <v>245</v>
      </c>
      <c r="R15" s="117" t="s">
        <v>246</v>
      </c>
      <c r="S15" s="122" t="s">
        <v>247</v>
      </c>
      <c r="T15" s="141"/>
      <c r="U15" s="31"/>
      <c r="V15" s="31"/>
      <c r="W15" s="114" t="s">
        <v>248</v>
      </c>
      <c r="X15" s="119" t="s">
        <v>249</v>
      </c>
      <c r="Y15" s="119" t="s">
        <v>196</v>
      </c>
      <c r="AE15" s="120"/>
      <c r="AH15" s="99"/>
      <c r="BB15" s="121"/>
      <c r="BD15" s="115" t="s">
        <v>250</v>
      </c>
      <c r="BE15" s="115"/>
      <c r="BF15" s="115"/>
      <c r="BG15" s="115"/>
      <c r="BH15" s="115"/>
      <c r="BI15" s="115"/>
      <c r="BJ15" s="115" t="s">
        <v>251</v>
      </c>
      <c r="BK15" s="110"/>
      <c r="BL15" s="97"/>
      <c r="BM15" s="97"/>
      <c r="BN15" s="97"/>
      <c r="BO15" s="142"/>
      <c r="BP15" s="143">
        <f t="shared" si="1"/>
        <v>0</v>
      </c>
      <c r="BQ15" s="142"/>
      <c r="BR15" s="143">
        <f t="shared" si="2"/>
        <v>0</v>
      </c>
      <c r="BS15" s="132"/>
      <c r="BT15" s="146">
        <f t="shared" si="3"/>
        <v>0</v>
      </c>
      <c r="BU15" s="132"/>
      <c r="BV15" s="143">
        <f t="shared" si="4"/>
        <v>0</v>
      </c>
      <c r="BW15" s="132"/>
      <c r="BX15" s="146">
        <f t="shared" si="5"/>
        <v>0</v>
      </c>
      <c r="BY15" s="132"/>
      <c r="BZ15" s="146">
        <f t="shared" si="6"/>
        <v>0</v>
      </c>
      <c r="CA15" s="132"/>
      <c r="CB15" s="146">
        <f t="shared" si="7"/>
        <v>0</v>
      </c>
      <c r="CC15" s="132"/>
      <c r="CD15" s="143">
        <f t="shared" si="8"/>
        <v>0</v>
      </c>
      <c r="CE15" s="132"/>
      <c r="CF15" s="143">
        <f t="shared" si="9"/>
        <v>0</v>
      </c>
      <c r="CG15" s="132"/>
      <c r="CH15" s="143">
        <f t="shared" si="10"/>
        <v>0</v>
      </c>
      <c r="CI15" s="132">
        <f t="shared" si="11"/>
        <v>0</v>
      </c>
      <c r="CJ15" s="143">
        <f t="shared" si="11"/>
        <v>0</v>
      </c>
    </row>
    <row r="16" spans="1:88" s="66" customFormat="1" x14ac:dyDescent="0.3">
      <c r="A16" s="113"/>
      <c r="B16" s="113">
        <v>6</v>
      </c>
      <c r="C16" s="113"/>
      <c r="D16" s="114" t="s">
        <v>265</v>
      </c>
      <c r="E16" s="113"/>
      <c r="F16" s="31"/>
      <c r="G16" s="115"/>
      <c r="H16" s="113">
        <v>2013</v>
      </c>
      <c r="I16" s="29"/>
      <c r="J16" s="113"/>
      <c r="K16" s="113"/>
      <c r="L16" s="113">
        <v>5</v>
      </c>
      <c r="N16" s="31"/>
      <c r="O16" s="31"/>
      <c r="P16" s="116"/>
      <c r="Q16" s="115" t="s">
        <v>219</v>
      </c>
      <c r="R16" s="117" t="s">
        <v>253</v>
      </c>
      <c r="S16" s="122" t="s">
        <v>254</v>
      </c>
      <c r="T16" s="141"/>
      <c r="U16" s="31"/>
      <c r="V16" s="31"/>
      <c r="W16" s="114" t="s">
        <v>255</v>
      </c>
      <c r="X16" s="119" t="s">
        <v>256</v>
      </c>
      <c r="Y16" s="119" t="s">
        <v>257</v>
      </c>
      <c r="AE16" s="120"/>
      <c r="AH16" s="99"/>
      <c r="BB16" s="121"/>
      <c r="BD16" s="115" t="s">
        <v>258</v>
      </c>
      <c r="BE16" s="115"/>
      <c r="BF16" s="115"/>
      <c r="BG16" s="115"/>
      <c r="BH16" s="115"/>
      <c r="BI16" s="115"/>
      <c r="BJ16" s="115" t="s">
        <v>259</v>
      </c>
      <c r="BK16" s="110"/>
      <c r="BL16" s="97"/>
      <c r="BM16" s="97"/>
      <c r="BN16" s="97"/>
      <c r="BO16" s="142"/>
      <c r="BP16" s="143">
        <f t="shared" si="1"/>
        <v>0</v>
      </c>
      <c r="BQ16" s="142"/>
      <c r="BR16" s="143">
        <f t="shared" si="2"/>
        <v>0</v>
      </c>
      <c r="BS16" s="132"/>
      <c r="BT16" s="146">
        <f t="shared" si="3"/>
        <v>0</v>
      </c>
      <c r="BU16" s="132"/>
      <c r="BV16" s="143">
        <f t="shared" si="4"/>
        <v>0</v>
      </c>
      <c r="BW16" s="132"/>
      <c r="BX16" s="146">
        <f t="shared" si="5"/>
        <v>0</v>
      </c>
      <c r="BY16" s="132"/>
      <c r="BZ16" s="146">
        <f t="shared" si="6"/>
        <v>0</v>
      </c>
      <c r="CA16" s="132"/>
      <c r="CB16" s="146">
        <f t="shared" si="7"/>
        <v>0</v>
      </c>
      <c r="CC16" s="132"/>
      <c r="CD16" s="143">
        <f t="shared" si="8"/>
        <v>0</v>
      </c>
      <c r="CE16" s="132"/>
      <c r="CF16" s="143">
        <f t="shared" si="9"/>
        <v>0</v>
      </c>
      <c r="CG16" s="132"/>
      <c r="CH16" s="143">
        <f t="shared" si="10"/>
        <v>0</v>
      </c>
      <c r="CI16" s="132">
        <f t="shared" si="11"/>
        <v>0</v>
      </c>
      <c r="CJ16" s="143">
        <f t="shared" si="11"/>
        <v>0</v>
      </c>
    </row>
    <row r="17" spans="1:88" s="66" customFormat="1" x14ac:dyDescent="0.3">
      <c r="A17" s="113"/>
      <c r="B17" s="113">
        <v>7</v>
      </c>
      <c r="C17" s="113"/>
      <c r="D17" s="114" t="s">
        <v>275</v>
      </c>
      <c r="E17" s="113"/>
      <c r="F17" s="31"/>
      <c r="G17" s="115"/>
      <c r="H17" s="113">
        <v>2014</v>
      </c>
      <c r="I17" s="29"/>
      <c r="J17" s="113"/>
      <c r="K17" s="113"/>
      <c r="L17" s="113">
        <v>6</v>
      </c>
      <c r="N17" s="31"/>
      <c r="O17" s="31"/>
      <c r="P17" s="116"/>
      <c r="Q17" s="115" t="s">
        <v>261</v>
      </c>
      <c r="R17" s="117" t="s">
        <v>262</v>
      </c>
      <c r="S17" s="118" t="s">
        <v>217</v>
      </c>
      <c r="T17" s="141"/>
      <c r="U17" s="31"/>
      <c r="V17" s="31"/>
      <c r="W17" s="114" t="s">
        <v>263</v>
      </c>
      <c r="X17" s="119" t="s">
        <v>264</v>
      </c>
      <c r="Y17" s="119" t="s">
        <v>265</v>
      </c>
      <c r="AE17" s="120"/>
      <c r="AH17" s="99"/>
      <c r="BB17" s="121"/>
      <c r="BD17" s="115" t="s">
        <v>266</v>
      </c>
      <c r="BE17" s="115"/>
      <c r="BF17" s="115"/>
      <c r="BG17" s="115"/>
      <c r="BH17" s="115"/>
      <c r="BI17" s="115"/>
      <c r="BJ17" s="115" t="s">
        <v>267</v>
      </c>
      <c r="BK17" s="110"/>
      <c r="BL17" s="97"/>
      <c r="BM17" s="97"/>
      <c r="BN17" s="97"/>
      <c r="BO17" s="142"/>
      <c r="BP17" s="143">
        <f t="shared" si="1"/>
        <v>0</v>
      </c>
      <c r="BQ17" s="142"/>
      <c r="BR17" s="143">
        <f t="shared" si="2"/>
        <v>0</v>
      </c>
      <c r="BS17" s="132"/>
      <c r="BT17" s="146">
        <f t="shared" si="3"/>
        <v>0</v>
      </c>
      <c r="BU17" s="132"/>
      <c r="BV17" s="143">
        <f t="shared" si="4"/>
        <v>0</v>
      </c>
      <c r="BW17" s="132"/>
      <c r="BX17" s="146">
        <f t="shared" si="5"/>
        <v>0</v>
      </c>
      <c r="BY17" s="132"/>
      <c r="BZ17" s="146">
        <f t="shared" si="6"/>
        <v>0</v>
      </c>
      <c r="CA17" s="132"/>
      <c r="CB17" s="146">
        <f t="shared" si="7"/>
        <v>0</v>
      </c>
      <c r="CC17" s="132"/>
      <c r="CD17" s="143">
        <f t="shared" si="8"/>
        <v>0</v>
      </c>
      <c r="CE17" s="132"/>
      <c r="CF17" s="143">
        <f t="shared" si="9"/>
        <v>0</v>
      </c>
      <c r="CG17" s="132"/>
      <c r="CH17" s="143">
        <f t="shared" si="10"/>
        <v>0</v>
      </c>
      <c r="CI17" s="132">
        <f t="shared" si="11"/>
        <v>0</v>
      </c>
      <c r="CJ17" s="143">
        <f t="shared" si="11"/>
        <v>0</v>
      </c>
    </row>
    <row r="18" spans="1:88" s="66" customFormat="1" x14ac:dyDescent="0.3">
      <c r="A18" s="113"/>
      <c r="B18" s="113">
        <v>8</v>
      </c>
      <c r="C18" s="113"/>
      <c r="D18" s="114" t="s">
        <v>285</v>
      </c>
      <c r="E18" s="113"/>
      <c r="F18" s="31"/>
      <c r="G18" s="115"/>
      <c r="H18" s="113">
        <v>2015</v>
      </c>
      <c r="I18" s="29"/>
      <c r="J18" s="113"/>
      <c r="K18" s="113"/>
      <c r="L18" s="113">
        <v>7</v>
      </c>
      <c r="N18" s="31"/>
      <c r="O18" s="31"/>
      <c r="P18" s="116"/>
      <c r="Q18" s="115" t="s">
        <v>268</v>
      </c>
      <c r="R18" s="117" t="s">
        <v>269</v>
      </c>
      <c r="S18" s="118" t="s">
        <v>270</v>
      </c>
      <c r="T18" s="141"/>
      <c r="U18" s="31"/>
      <c r="V18" s="31"/>
      <c r="W18" s="114" t="s">
        <v>271</v>
      </c>
      <c r="X18" s="119" t="s">
        <v>272</v>
      </c>
      <c r="Y18" s="119" t="s">
        <v>77</v>
      </c>
      <c r="AE18" s="120"/>
      <c r="AH18" s="99"/>
      <c r="BB18" s="121"/>
      <c r="BD18" s="115" t="s">
        <v>273</v>
      </c>
      <c r="BE18" s="115"/>
      <c r="BF18" s="115"/>
      <c r="BG18" s="115"/>
      <c r="BH18" s="115"/>
      <c r="BI18" s="115"/>
      <c r="BJ18" s="115" t="s">
        <v>274</v>
      </c>
      <c r="BK18" s="110"/>
      <c r="BL18" s="97"/>
      <c r="BM18" s="97"/>
      <c r="BN18" s="97"/>
      <c r="BO18" s="142"/>
      <c r="BP18" s="143">
        <f t="shared" si="1"/>
        <v>0</v>
      </c>
      <c r="BQ18" s="142"/>
      <c r="BR18" s="143">
        <f t="shared" si="2"/>
        <v>0</v>
      </c>
      <c r="BS18" s="132"/>
      <c r="BT18" s="146">
        <f t="shared" si="3"/>
        <v>0</v>
      </c>
      <c r="BU18" s="132"/>
      <c r="BV18" s="143">
        <f t="shared" si="4"/>
        <v>0</v>
      </c>
      <c r="BW18" s="132"/>
      <c r="BX18" s="146">
        <f t="shared" si="5"/>
        <v>0</v>
      </c>
      <c r="BY18" s="132"/>
      <c r="BZ18" s="146">
        <f t="shared" si="6"/>
        <v>0</v>
      </c>
      <c r="CA18" s="132"/>
      <c r="CB18" s="146">
        <f t="shared" si="7"/>
        <v>0</v>
      </c>
      <c r="CC18" s="132"/>
      <c r="CD18" s="143">
        <f t="shared" si="8"/>
        <v>0</v>
      </c>
      <c r="CE18" s="132"/>
      <c r="CF18" s="143">
        <f t="shared" si="9"/>
        <v>0</v>
      </c>
      <c r="CG18" s="132"/>
      <c r="CH18" s="143">
        <f t="shared" si="10"/>
        <v>0</v>
      </c>
      <c r="CI18" s="132">
        <f t="shared" si="11"/>
        <v>0</v>
      </c>
      <c r="CJ18" s="143">
        <f t="shared" si="11"/>
        <v>0</v>
      </c>
    </row>
    <row r="19" spans="1:88" s="66" customFormat="1" ht="41.4" x14ac:dyDescent="0.3">
      <c r="A19" s="113"/>
      <c r="B19" s="113" t="s">
        <v>173</v>
      </c>
      <c r="C19" s="113"/>
      <c r="D19" s="114" t="s">
        <v>1432</v>
      </c>
      <c r="E19" s="113"/>
      <c r="F19" s="31"/>
      <c r="G19" s="115"/>
      <c r="H19" s="113">
        <v>2016</v>
      </c>
      <c r="I19" s="29"/>
      <c r="J19" s="113"/>
      <c r="K19" s="113"/>
      <c r="L19" s="113">
        <v>8</v>
      </c>
      <c r="N19" s="31"/>
      <c r="O19" s="31"/>
      <c r="P19" s="116"/>
      <c r="Q19" s="117" t="s">
        <v>276</v>
      </c>
      <c r="R19" s="117" t="s">
        <v>277</v>
      </c>
      <c r="S19" s="118" t="s">
        <v>278</v>
      </c>
      <c r="T19" s="141"/>
      <c r="U19" s="31"/>
      <c r="V19" s="31"/>
      <c r="W19" s="114" t="s">
        <v>279</v>
      </c>
      <c r="X19" s="119" t="s">
        <v>280</v>
      </c>
      <c r="Y19" s="119" t="s">
        <v>281</v>
      </c>
      <c r="AE19" s="120"/>
      <c r="AH19" s="99"/>
      <c r="BB19" s="121"/>
      <c r="BD19" s="115" t="s">
        <v>282</v>
      </c>
      <c r="BE19" s="115"/>
      <c r="BF19" s="115"/>
      <c r="BG19" s="115"/>
      <c r="BH19" s="115"/>
      <c r="BI19" s="115"/>
      <c r="BJ19" s="115" t="s">
        <v>283</v>
      </c>
      <c r="BK19" s="110"/>
      <c r="BL19" s="97"/>
      <c r="BM19" s="97"/>
      <c r="BN19" s="97"/>
      <c r="BO19" s="142"/>
      <c r="BP19" s="143">
        <f t="shared" si="1"/>
        <v>0</v>
      </c>
      <c r="BQ19" s="142"/>
      <c r="BR19" s="143">
        <f t="shared" si="2"/>
        <v>0</v>
      </c>
      <c r="BS19" s="132"/>
      <c r="BT19" s="146">
        <f t="shared" si="3"/>
        <v>0</v>
      </c>
      <c r="BU19" s="132"/>
      <c r="BV19" s="143">
        <f t="shared" si="4"/>
        <v>0</v>
      </c>
      <c r="BW19" s="132"/>
      <c r="BX19" s="146">
        <f t="shared" si="5"/>
        <v>0</v>
      </c>
      <c r="BY19" s="132"/>
      <c r="BZ19" s="146">
        <f t="shared" si="6"/>
        <v>0</v>
      </c>
      <c r="CA19" s="132"/>
      <c r="CB19" s="146">
        <f t="shared" si="7"/>
        <v>0</v>
      </c>
      <c r="CC19" s="132"/>
      <c r="CD19" s="143">
        <f t="shared" si="8"/>
        <v>0</v>
      </c>
      <c r="CE19" s="132"/>
      <c r="CF19" s="143">
        <f t="shared" si="9"/>
        <v>0</v>
      </c>
      <c r="CG19" s="132"/>
      <c r="CH19" s="143">
        <f t="shared" si="10"/>
        <v>0</v>
      </c>
      <c r="CI19" s="132">
        <f t="shared" si="11"/>
        <v>0</v>
      </c>
      <c r="CJ19" s="143">
        <f t="shared" si="11"/>
        <v>0</v>
      </c>
    </row>
    <row r="20" spans="1:88" s="66" customFormat="1" x14ac:dyDescent="0.3">
      <c r="A20" s="113"/>
      <c r="B20" s="113" t="s">
        <v>284</v>
      </c>
      <c r="C20" s="113"/>
      <c r="D20" s="123" t="s">
        <v>306</v>
      </c>
      <c r="E20" s="113"/>
      <c r="F20" s="31"/>
      <c r="G20" s="115"/>
      <c r="H20" s="113">
        <v>2017</v>
      </c>
      <c r="I20" s="29"/>
      <c r="J20" s="113"/>
      <c r="K20" s="113"/>
      <c r="L20" s="113"/>
      <c r="N20" s="31"/>
      <c r="O20" s="31"/>
      <c r="P20" s="116"/>
      <c r="Q20" s="117" t="s">
        <v>286</v>
      </c>
      <c r="R20" s="117" t="s">
        <v>287</v>
      </c>
      <c r="S20" s="118" t="s">
        <v>288</v>
      </c>
      <c r="T20" s="141"/>
      <c r="U20" s="31"/>
      <c r="V20" s="31"/>
      <c r="W20" s="114" t="s">
        <v>289</v>
      </c>
      <c r="X20" s="119" t="s">
        <v>290</v>
      </c>
      <c r="Y20" s="119" t="s">
        <v>291</v>
      </c>
      <c r="AE20" s="120"/>
      <c r="AH20" s="99"/>
      <c r="BB20" s="121"/>
      <c r="BD20" s="115" t="s">
        <v>292</v>
      </c>
      <c r="BE20" s="115"/>
      <c r="BF20" s="115"/>
      <c r="BG20" s="115"/>
      <c r="BH20" s="115"/>
      <c r="BI20" s="115"/>
      <c r="BJ20" s="115"/>
      <c r="BK20" s="110"/>
      <c r="BL20" s="97"/>
      <c r="BM20" s="97"/>
      <c r="BN20" s="97"/>
      <c r="BO20" s="142"/>
      <c r="BP20" s="143">
        <f t="shared" si="1"/>
        <v>0</v>
      </c>
      <c r="BQ20" s="142"/>
      <c r="BR20" s="143">
        <f t="shared" si="2"/>
        <v>0</v>
      </c>
      <c r="BS20" s="132"/>
      <c r="BT20" s="146">
        <f t="shared" si="3"/>
        <v>0</v>
      </c>
      <c r="BU20" s="132"/>
      <c r="BV20" s="143">
        <f t="shared" si="4"/>
        <v>0</v>
      </c>
      <c r="BW20" s="132"/>
      <c r="BX20" s="146">
        <f t="shared" si="5"/>
        <v>0</v>
      </c>
      <c r="BY20" s="132"/>
      <c r="BZ20" s="146">
        <f t="shared" si="6"/>
        <v>0</v>
      </c>
      <c r="CA20" s="132"/>
      <c r="CB20" s="146">
        <f t="shared" si="7"/>
        <v>0</v>
      </c>
      <c r="CC20" s="132"/>
      <c r="CD20" s="143">
        <f t="shared" si="8"/>
        <v>0</v>
      </c>
      <c r="CE20" s="132"/>
      <c r="CF20" s="143">
        <f t="shared" si="9"/>
        <v>0</v>
      </c>
      <c r="CG20" s="132"/>
      <c r="CH20" s="143">
        <f t="shared" si="10"/>
        <v>0</v>
      </c>
      <c r="CI20" s="132">
        <f t="shared" si="11"/>
        <v>0</v>
      </c>
      <c r="CJ20" s="143">
        <f t="shared" si="11"/>
        <v>0</v>
      </c>
    </row>
    <row r="21" spans="1:88" s="66" customFormat="1" x14ac:dyDescent="0.3">
      <c r="A21" s="113"/>
      <c r="B21" s="113"/>
      <c r="C21" s="113"/>
      <c r="D21" s="114" t="s">
        <v>312</v>
      </c>
      <c r="E21" s="113"/>
      <c r="F21" s="31"/>
      <c r="G21" s="115"/>
      <c r="H21" s="113">
        <v>2018</v>
      </c>
      <c r="I21" s="29"/>
      <c r="J21" s="113"/>
      <c r="K21" s="113"/>
      <c r="L21" s="113"/>
      <c r="N21" s="31"/>
      <c r="O21" s="31"/>
      <c r="P21" s="116"/>
      <c r="Q21" s="117" t="s">
        <v>293</v>
      </c>
      <c r="R21" s="117" t="s">
        <v>294</v>
      </c>
      <c r="S21" s="118" t="s">
        <v>295</v>
      </c>
      <c r="T21" s="141"/>
      <c r="U21" s="31"/>
      <c r="V21" s="31"/>
      <c r="W21" s="114" t="s">
        <v>296</v>
      </c>
      <c r="X21" s="119" t="s">
        <v>297</v>
      </c>
      <c r="Y21" s="119" t="s">
        <v>304</v>
      </c>
      <c r="AE21" s="120"/>
      <c r="AH21" s="99"/>
      <c r="BB21" s="121"/>
      <c r="BD21" s="115" t="s">
        <v>298</v>
      </c>
      <c r="BE21" s="115"/>
      <c r="BF21" s="115"/>
      <c r="BG21" s="115"/>
      <c r="BH21" s="115"/>
      <c r="BI21" s="115"/>
      <c r="BJ21" s="115"/>
      <c r="BK21" s="110"/>
      <c r="BL21" s="97"/>
      <c r="BM21" s="97"/>
      <c r="BN21" s="97"/>
      <c r="BO21" s="142"/>
      <c r="BP21" s="143">
        <f t="shared" si="1"/>
        <v>0</v>
      </c>
      <c r="BQ21" s="142"/>
      <c r="BR21" s="143">
        <f t="shared" si="2"/>
        <v>0</v>
      </c>
      <c r="BS21" s="132"/>
      <c r="BT21" s="146">
        <f t="shared" si="3"/>
        <v>0</v>
      </c>
      <c r="BU21" s="132"/>
      <c r="BV21" s="143">
        <f t="shared" si="4"/>
        <v>0</v>
      </c>
      <c r="BW21" s="132"/>
      <c r="BX21" s="146">
        <f t="shared" si="5"/>
        <v>0</v>
      </c>
      <c r="BY21" s="132"/>
      <c r="BZ21" s="146">
        <f t="shared" si="6"/>
        <v>0</v>
      </c>
      <c r="CA21" s="132"/>
      <c r="CB21" s="146">
        <f t="shared" si="7"/>
        <v>0</v>
      </c>
      <c r="CC21" s="132"/>
      <c r="CD21" s="143">
        <f t="shared" si="8"/>
        <v>0</v>
      </c>
      <c r="CE21" s="132"/>
      <c r="CF21" s="143">
        <f t="shared" si="9"/>
        <v>0</v>
      </c>
      <c r="CG21" s="132"/>
      <c r="CH21" s="143">
        <f t="shared" si="10"/>
        <v>0</v>
      </c>
      <c r="CI21" s="132">
        <f t="shared" si="11"/>
        <v>0</v>
      </c>
      <c r="CJ21" s="143">
        <f t="shared" si="11"/>
        <v>0</v>
      </c>
    </row>
    <row r="22" spans="1:88" s="66" customFormat="1" x14ac:dyDescent="0.3">
      <c r="D22" s="114" t="s">
        <v>320</v>
      </c>
      <c r="E22" s="113"/>
      <c r="F22" s="31"/>
      <c r="G22" s="115"/>
      <c r="H22" s="113">
        <v>2019</v>
      </c>
      <c r="I22" s="29"/>
      <c r="J22" s="113"/>
      <c r="K22" s="113"/>
      <c r="L22" s="113"/>
      <c r="N22" s="31"/>
      <c r="O22" s="31"/>
      <c r="P22" s="116"/>
      <c r="Q22" s="117" t="s">
        <v>299</v>
      </c>
      <c r="R22" s="117" t="s">
        <v>300</v>
      </c>
      <c r="S22" s="122" t="s">
        <v>301</v>
      </c>
      <c r="T22" s="141"/>
      <c r="U22" s="31"/>
      <c r="V22" s="31"/>
      <c r="W22" s="114" t="s">
        <v>302</v>
      </c>
      <c r="X22" s="119" t="s">
        <v>303</v>
      </c>
      <c r="Y22" s="119" t="s">
        <v>1433</v>
      </c>
      <c r="AH22" s="99"/>
      <c r="BB22" s="121"/>
      <c r="BD22" s="115" t="s">
        <v>305</v>
      </c>
      <c r="BE22" s="115"/>
      <c r="BF22" s="115"/>
      <c r="BG22" s="115"/>
      <c r="BH22" s="115"/>
      <c r="BI22" s="115"/>
      <c r="BJ22" s="115"/>
      <c r="BK22" s="110"/>
      <c r="BL22" s="97"/>
      <c r="BM22" s="97"/>
      <c r="BN22" s="97"/>
      <c r="BO22" s="142"/>
      <c r="BP22" s="143">
        <f t="shared" si="1"/>
        <v>0</v>
      </c>
      <c r="BQ22" s="142"/>
      <c r="BR22" s="143">
        <f t="shared" si="2"/>
        <v>0</v>
      </c>
      <c r="BS22" s="132"/>
      <c r="BT22" s="146">
        <f t="shared" si="3"/>
        <v>0</v>
      </c>
      <c r="BU22" s="132"/>
      <c r="BV22" s="143">
        <f t="shared" si="4"/>
        <v>0</v>
      </c>
      <c r="BW22" s="132"/>
      <c r="BX22" s="146">
        <f t="shared" si="5"/>
        <v>0</v>
      </c>
      <c r="BY22" s="132"/>
      <c r="BZ22" s="146">
        <f t="shared" si="6"/>
        <v>0</v>
      </c>
      <c r="CA22" s="132"/>
      <c r="CB22" s="146">
        <f t="shared" si="7"/>
        <v>0</v>
      </c>
      <c r="CC22" s="132"/>
      <c r="CD22" s="143">
        <f t="shared" si="8"/>
        <v>0</v>
      </c>
      <c r="CE22" s="132"/>
      <c r="CF22" s="143">
        <f t="shared" si="9"/>
        <v>0</v>
      </c>
      <c r="CG22" s="132"/>
      <c r="CH22" s="143">
        <f t="shared" si="10"/>
        <v>0</v>
      </c>
      <c r="CI22" s="132">
        <f t="shared" si="11"/>
        <v>0</v>
      </c>
      <c r="CJ22" s="143">
        <f t="shared" si="11"/>
        <v>0</v>
      </c>
    </row>
    <row r="23" spans="1:88" s="66" customFormat="1" x14ac:dyDescent="0.3">
      <c r="D23" s="114" t="s">
        <v>325</v>
      </c>
      <c r="E23" s="113"/>
      <c r="F23" s="31"/>
      <c r="G23" s="115"/>
      <c r="H23" s="113">
        <v>2020</v>
      </c>
      <c r="I23" s="29"/>
      <c r="J23" s="113"/>
      <c r="K23" s="113"/>
      <c r="L23" s="113"/>
      <c r="N23" s="31"/>
      <c r="O23" s="31"/>
      <c r="P23" s="116"/>
      <c r="Q23" s="117" t="s">
        <v>307</v>
      </c>
      <c r="R23" s="117" t="s">
        <v>308</v>
      </c>
      <c r="S23" s="118" t="s">
        <v>309</v>
      </c>
      <c r="T23" s="141"/>
      <c r="U23" s="31"/>
      <c r="V23" s="31"/>
      <c r="W23" s="124" t="s">
        <v>316</v>
      </c>
      <c r="X23" s="119" t="s">
        <v>310</v>
      </c>
      <c r="Y23" s="119" t="s">
        <v>318</v>
      </c>
      <c r="AH23" s="99"/>
      <c r="BB23" s="121"/>
      <c r="BD23" s="115" t="s">
        <v>311</v>
      </c>
      <c r="BE23" s="115"/>
      <c r="BF23" s="115"/>
      <c r="BG23" s="115"/>
      <c r="BH23" s="115"/>
      <c r="BI23" s="115"/>
      <c r="BJ23" s="115"/>
      <c r="BK23" s="110"/>
      <c r="BL23" s="97"/>
      <c r="BM23" s="97"/>
      <c r="BN23" s="97"/>
      <c r="BO23" s="142"/>
      <c r="BP23" s="143">
        <f t="shared" si="1"/>
        <v>0</v>
      </c>
      <c r="BQ23" s="142"/>
      <c r="BR23" s="143">
        <f t="shared" si="2"/>
        <v>0</v>
      </c>
      <c r="BS23" s="132"/>
      <c r="BT23" s="146">
        <f t="shared" si="3"/>
        <v>0</v>
      </c>
      <c r="BU23" s="132"/>
      <c r="BV23" s="143">
        <f t="shared" si="4"/>
        <v>0</v>
      </c>
      <c r="BW23" s="132"/>
      <c r="BX23" s="146">
        <f t="shared" si="5"/>
        <v>0</v>
      </c>
      <c r="BY23" s="132"/>
      <c r="BZ23" s="146">
        <f t="shared" si="6"/>
        <v>0</v>
      </c>
      <c r="CA23" s="132"/>
      <c r="CB23" s="146">
        <f t="shared" si="7"/>
        <v>0</v>
      </c>
      <c r="CC23" s="132"/>
      <c r="CD23" s="143">
        <f t="shared" si="8"/>
        <v>0</v>
      </c>
      <c r="CE23" s="132"/>
      <c r="CF23" s="143">
        <f t="shared" si="9"/>
        <v>0</v>
      </c>
      <c r="CG23" s="132"/>
      <c r="CH23" s="143">
        <f t="shared" si="10"/>
        <v>0</v>
      </c>
      <c r="CI23" s="132">
        <f t="shared" si="11"/>
        <v>0</v>
      </c>
      <c r="CJ23" s="143">
        <f t="shared" si="11"/>
        <v>0</v>
      </c>
    </row>
    <row r="24" spans="1:88" s="66" customFormat="1" x14ac:dyDescent="0.3">
      <c r="D24" s="114" t="s">
        <v>338</v>
      </c>
      <c r="E24" s="113"/>
      <c r="F24" s="31"/>
      <c r="G24" s="115"/>
      <c r="H24" s="113">
        <v>2021</v>
      </c>
      <c r="I24" s="29"/>
      <c r="J24" s="113"/>
      <c r="K24" s="113"/>
      <c r="L24" s="113"/>
      <c r="N24" s="31"/>
      <c r="O24" s="31"/>
      <c r="P24" s="116"/>
      <c r="Q24" s="117" t="s">
        <v>313</v>
      </c>
      <c r="R24" s="117" t="s">
        <v>314</v>
      </c>
      <c r="S24" s="118" t="s">
        <v>315</v>
      </c>
      <c r="T24" s="141"/>
      <c r="U24" s="31"/>
      <c r="V24" s="31"/>
      <c r="W24" s="114" t="s">
        <v>374</v>
      </c>
      <c r="X24" s="119" t="s">
        <v>317</v>
      </c>
      <c r="Y24" s="119" t="s">
        <v>1434</v>
      </c>
      <c r="AH24" s="99"/>
      <c r="BB24" s="121"/>
      <c r="BD24" s="115" t="s">
        <v>319</v>
      </c>
      <c r="BE24" s="115"/>
      <c r="BF24" s="115"/>
      <c r="BG24" s="115"/>
      <c r="BH24" s="115"/>
      <c r="BI24" s="115"/>
      <c r="BJ24" s="115"/>
      <c r="BK24" s="110"/>
      <c r="BL24" s="97"/>
      <c r="BM24" s="97"/>
      <c r="BN24" s="97"/>
      <c r="BO24" s="142"/>
      <c r="BP24" s="143">
        <f t="shared" si="1"/>
        <v>0</v>
      </c>
      <c r="BQ24" s="142"/>
      <c r="BR24" s="143">
        <f t="shared" si="2"/>
        <v>0</v>
      </c>
      <c r="BS24" s="132"/>
      <c r="BT24" s="146">
        <f t="shared" si="3"/>
        <v>0</v>
      </c>
      <c r="BU24" s="132"/>
      <c r="BV24" s="143">
        <f t="shared" si="4"/>
        <v>0</v>
      </c>
      <c r="BW24" s="132"/>
      <c r="BX24" s="146">
        <f t="shared" si="5"/>
        <v>0</v>
      </c>
      <c r="BY24" s="132"/>
      <c r="BZ24" s="146">
        <f t="shared" si="6"/>
        <v>0</v>
      </c>
      <c r="CA24" s="132"/>
      <c r="CB24" s="146">
        <f t="shared" si="7"/>
        <v>0</v>
      </c>
      <c r="CC24" s="132"/>
      <c r="CD24" s="143">
        <f t="shared" si="8"/>
        <v>0</v>
      </c>
      <c r="CE24" s="132"/>
      <c r="CF24" s="143">
        <f t="shared" si="9"/>
        <v>0</v>
      </c>
      <c r="CG24" s="132"/>
      <c r="CH24" s="143">
        <f t="shared" si="10"/>
        <v>0</v>
      </c>
      <c r="CI24" s="132">
        <f t="shared" si="11"/>
        <v>0</v>
      </c>
      <c r="CJ24" s="143">
        <f t="shared" si="11"/>
        <v>0</v>
      </c>
    </row>
    <row r="25" spans="1:88" s="66" customFormat="1" x14ac:dyDescent="0.3">
      <c r="D25" s="114" t="s">
        <v>351</v>
      </c>
      <c r="E25" s="113"/>
      <c r="F25" s="31"/>
      <c r="G25" s="115"/>
      <c r="H25" s="113">
        <v>2022</v>
      </c>
      <c r="I25" s="29"/>
      <c r="J25" s="113"/>
      <c r="K25" s="113"/>
      <c r="L25" s="113"/>
      <c r="N25" s="31"/>
      <c r="O25" s="31"/>
      <c r="P25" s="116"/>
      <c r="Q25" s="117" t="s">
        <v>321</v>
      </c>
      <c r="R25" s="117" t="s">
        <v>322</v>
      </c>
      <c r="S25" s="118" t="s">
        <v>260</v>
      </c>
      <c r="T25" s="141"/>
      <c r="U25" s="31"/>
      <c r="V25" s="31"/>
      <c r="W25" s="31"/>
      <c r="X25" s="119" t="s">
        <v>323</v>
      </c>
      <c r="Y25" s="119" t="s">
        <v>1435</v>
      </c>
      <c r="AH25" s="99"/>
      <c r="BB25" s="121"/>
      <c r="BD25" s="115" t="s">
        <v>324</v>
      </c>
      <c r="BE25" s="115"/>
      <c r="BF25" s="115"/>
      <c r="BG25" s="115"/>
      <c r="BH25" s="115"/>
      <c r="BI25" s="115"/>
      <c r="BJ25" s="115"/>
      <c r="BK25" s="110"/>
      <c r="BL25" s="97"/>
      <c r="BM25" s="97"/>
      <c r="BN25" s="97"/>
      <c r="BO25" s="142"/>
      <c r="BP25" s="143">
        <f t="shared" si="1"/>
        <v>0</v>
      </c>
      <c r="BQ25" s="142"/>
      <c r="BR25" s="143">
        <f t="shared" si="2"/>
        <v>0</v>
      </c>
      <c r="BS25" s="132"/>
      <c r="BT25" s="146">
        <f t="shared" si="3"/>
        <v>0</v>
      </c>
      <c r="BU25" s="132"/>
      <c r="BV25" s="143">
        <f t="shared" si="4"/>
        <v>0</v>
      </c>
      <c r="BW25" s="132"/>
      <c r="BX25" s="146">
        <f t="shared" si="5"/>
        <v>0</v>
      </c>
      <c r="BY25" s="132"/>
      <c r="BZ25" s="146">
        <f t="shared" si="6"/>
        <v>0</v>
      </c>
      <c r="CA25" s="132"/>
      <c r="CB25" s="146">
        <f t="shared" si="7"/>
        <v>0</v>
      </c>
      <c r="CC25" s="132"/>
      <c r="CD25" s="143">
        <f t="shared" si="8"/>
        <v>0</v>
      </c>
      <c r="CE25" s="132"/>
      <c r="CF25" s="143">
        <f t="shared" si="9"/>
        <v>0</v>
      </c>
      <c r="CG25" s="132"/>
      <c r="CH25" s="143">
        <f t="shared" si="10"/>
        <v>0</v>
      </c>
      <c r="CI25" s="132">
        <f t="shared" si="11"/>
        <v>0</v>
      </c>
      <c r="CJ25" s="143">
        <f t="shared" si="11"/>
        <v>0</v>
      </c>
    </row>
    <row r="26" spans="1:88" s="66" customFormat="1" ht="24.75" customHeight="1" x14ac:dyDescent="0.3">
      <c r="D26" s="114" t="s">
        <v>363</v>
      </c>
      <c r="E26" s="113"/>
      <c r="F26" s="31"/>
      <c r="G26" s="115"/>
      <c r="H26" s="113">
        <v>2023</v>
      </c>
      <c r="I26" s="29"/>
      <c r="J26" s="113"/>
      <c r="K26" s="113"/>
      <c r="L26" s="113"/>
      <c r="N26" s="31"/>
      <c r="O26" s="31"/>
      <c r="P26" s="116"/>
      <c r="Q26" s="117" t="s">
        <v>326</v>
      </c>
      <c r="R26" s="117" t="s">
        <v>327</v>
      </c>
      <c r="S26" s="118" t="s">
        <v>328</v>
      </c>
      <c r="T26" s="141"/>
      <c r="U26" s="31"/>
      <c r="V26" s="31"/>
      <c r="W26" s="31"/>
      <c r="X26" s="119" t="s">
        <v>329</v>
      </c>
      <c r="Y26" s="119" t="s">
        <v>336</v>
      </c>
      <c r="AH26" s="99"/>
      <c r="BB26" s="121"/>
      <c r="BD26" s="115" t="s">
        <v>330</v>
      </c>
      <c r="BE26" s="115"/>
      <c r="BF26" s="115"/>
      <c r="BG26" s="115"/>
      <c r="BH26" s="115"/>
      <c r="BI26" s="115"/>
      <c r="BJ26" s="115"/>
      <c r="BK26" s="110"/>
      <c r="BL26" s="97"/>
      <c r="BM26" s="97"/>
      <c r="BN26" s="97"/>
      <c r="BO26" s="142"/>
      <c r="BP26" s="143">
        <f t="shared" si="1"/>
        <v>0</v>
      </c>
      <c r="BQ26" s="142"/>
      <c r="BR26" s="143">
        <f t="shared" si="2"/>
        <v>0</v>
      </c>
      <c r="BS26" s="132"/>
      <c r="BT26" s="146">
        <f t="shared" si="3"/>
        <v>0</v>
      </c>
      <c r="BU26" s="132"/>
      <c r="BV26" s="143">
        <f t="shared" si="4"/>
        <v>0</v>
      </c>
      <c r="BW26" s="132"/>
      <c r="BX26" s="146">
        <f t="shared" si="5"/>
        <v>0</v>
      </c>
      <c r="BY26" s="132"/>
      <c r="BZ26" s="146">
        <f t="shared" si="6"/>
        <v>0</v>
      </c>
      <c r="CA26" s="132"/>
      <c r="CB26" s="146">
        <f t="shared" si="7"/>
        <v>0</v>
      </c>
      <c r="CC26" s="132"/>
      <c r="CD26" s="143">
        <f t="shared" si="8"/>
        <v>0</v>
      </c>
      <c r="CE26" s="132"/>
      <c r="CF26" s="143">
        <f t="shared" si="9"/>
        <v>0</v>
      </c>
      <c r="CG26" s="132"/>
      <c r="CH26" s="143">
        <f t="shared" si="10"/>
        <v>0</v>
      </c>
      <c r="CI26" s="132">
        <f t="shared" si="11"/>
        <v>0</v>
      </c>
      <c r="CJ26" s="143">
        <f t="shared" si="11"/>
        <v>0</v>
      </c>
    </row>
    <row r="27" spans="1:88" s="66" customFormat="1" x14ac:dyDescent="0.3">
      <c r="D27" s="114" t="s">
        <v>370</v>
      </c>
      <c r="E27" s="113"/>
      <c r="F27" s="31"/>
      <c r="G27" s="115"/>
      <c r="H27" s="113">
        <v>2049</v>
      </c>
      <c r="I27" s="29"/>
      <c r="J27" s="113"/>
      <c r="K27" s="113"/>
      <c r="L27" s="113"/>
      <c r="N27" s="31"/>
      <c r="O27" s="31"/>
      <c r="P27" s="116"/>
      <c r="Q27" s="117" t="s">
        <v>332</v>
      </c>
      <c r="R27" s="117" t="s">
        <v>333</v>
      </c>
      <c r="S27" s="122" t="s">
        <v>334</v>
      </c>
      <c r="T27" s="141"/>
      <c r="U27" s="31"/>
      <c r="V27" s="31"/>
      <c r="W27" s="31"/>
      <c r="X27" s="119" t="s">
        <v>335</v>
      </c>
      <c r="Y27" s="119" t="s">
        <v>343</v>
      </c>
      <c r="AH27" s="99"/>
      <c r="BB27" s="121"/>
      <c r="BD27" s="115" t="s">
        <v>337</v>
      </c>
      <c r="BE27" s="115"/>
      <c r="BF27" s="115"/>
      <c r="BG27" s="115"/>
      <c r="BH27" s="115"/>
      <c r="BI27" s="115"/>
      <c r="BJ27" s="115"/>
      <c r="BK27" s="110"/>
      <c r="BL27" s="97"/>
      <c r="BM27" s="97"/>
      <c r="BN27" s="97"/>
      <c r="BO27" s="142"/>
      <c r="BP27" s="143">
        <f t="shared" si="1"/>
        <v>0</v>
      </c>
      <c r="BQ27" s="142"/>
      <c r="BR27" s="143">
        <f t="shared" si="2"/>
        <v>0</v>
      </c>
      <c r="BS27" s="132"/>
      <c r="BT27" s="146">
        <f t="shared" si="3"/>
        <v>0</v>
      </c>
      <c r="BU27" s="132"/>
      <c r="BV27" s="143">
        <f t="shared" si="4"/>
        <v>0</v>
      </c>
      <c r="BW27" s="132"/>
      <c r="BX27" s="146">
        <f t="shared" si="5"/>
        <v>0</v>
      </c>
      <c r="BY27" s="132"/>
      <c r="BZ27" s="146">
        <f t="shared" si="6"/>
        <v>0</v>
      </c>
      <c r="CA27" s="132"/>
      <c r="CB27" s="146">
        <f t="shared" si="7"/>
        <v>0</v>
      </c>
      <c r="CC27" s="132"/>
      <c r="CD27" s="143">
        <f t="shared" si="8"/>
        <v>0</v>
      </c>
      <c r="CE27" s="132"/>
      <c r="CF27" s="143">
        <f t="shared" si="9"/>
        <v>0</v>
      </c>
      <c r="CG27" s="132"/>
      <c r="CH27" s="143">
        <f t="shared" si="10"/>
        <v>0</v>
      </c>
      <c r="CI27" s="132">
        <f t="shared" si="11"/>
        <v>0</v>
      </c>
      <c r="CJ27" s="143">
        <f t="shared" si="11"/>
        <v>0</v>
      </c>
    </row>
    <row r="28" spans="1:88" s="66" customFormat="1" ht="14.25" customHeight="1" x14ac:dyDescent="0.3">
      <c r="E28" s="113"/>
      <c r="F28" s="31"/>
      <c r="G28" s="115"/>
      <c r="H28" s="113"/>
      <c r="I28" s="29"/>
      <c r="J28" s="113"/>
      <c r="K28" s="113"/>
      <c r="L28" s="113"/>
      <c r="N28" s="31"/>
      <c r="O28" s="31"/>
      <c r="P28" s="116"/>
      <c r="Q28" s="117" t="s">
        <v>339</v>
      </c>
      <c r="R28" s="117" t="s">
        <v>340</v>
      </c>
      <c r="S28" s="118" t="s">
        <v>341</v>
      </c>
      <c r="T28" s="141"/>
      <c r="U28" s="31"/>
      <c r="V28" s="31"/>
      <c r="W28" s="31"/>
      <c r="X28" s="119" t="s">
        <v>342</v>
      </c>
      <c r="Y28" s="119" t="s">
        <v>1436</v>
      </c>
      <c r="AH28" s="99"/>
      <c r="BB28" s="121"/>
      <c r="BD28" s="115" t="s">
        <v>344</v>
      </c>
      <c r="BE28" s="115"/>
      <c r="BF28" s="115"/>
      <c r="BG28" s="115"/>
      <c r="BH28" s="115"/>
      <c r="BI28" s="115"/>
      <c r="BJ28" s="115"/>
      <c r="BK28" s="110"/>
      <c r="BL28" s="97"/>
      <c r="BM28" s="97"/>
      <c r="BN28" s="97"/>
      <c r="BO28" s="142"/>
      <c r="BP28" s="143">
        <f t="shared" si="1"/>
        <v>0</v>
      </c>
      <c r="BQ28" s="142"/>
      <c r="BR28" s="143">
        <f t="shared" si="2"/>
        <v>0</v>
      </c>
      <c r="BS28" s="132"/>
      <c r="BT28" s="146">
        <f t="shared" si="3"/>
        <v>0</v>
      </c>
      <c r="BU28" s="132"/>
      <c r="BV28" s="143">
        <f t="shared" si="4"/>
        <v>0</v>
      </c>
      <c r="BW28" s="132"/>
      <c r="BX28" s="146">
        <f t="shared" si="5"/>
        <v>0</v>
      </c>
      <c r="BY28" s="132"/>
      <c r="BZ28" s="146">
        <f t="shared" si="6"/>
        <v>0</v>
      </c>
      <c r="CA28" s="132"/>
      <c r="CB28" s="146">
        <f t="shared" si="7"/>
        <v>0</v>
      </c>
      <c r="CC28" s="132"/>
      <c r="CD28" s="143">
        <f t="shared" si="8"/>
        <v>0</v>
      </c>
      <c r="CE28" s="132"/>
      <c r="CF28" s="143">
        <f t="shared" si="9"/>
        <v>0</v>
      </c>
      <c r="CG28" s="132"/>
      <c r="CH28" s="143">
        <f t="shared" si="10"/>
        <v>0</v>
      </c>
      <c r="CI28" s="132">
        <f t="shared" si="11"/>
        <v>0</v>
      </c>
      <c r="CJ28" s="143">
        <f t="shared" si="11"/>
        <v>0</v>
      </c>
    </row>
    <row r="29" spans="1:88" s="66" customFormat="1" x14ac:dyDescent="0.3">
      <c r="E29" s="113"/>
      <c r="F29" s="31"/>
      <c r="G29" s="115"/>
      <c r="H29" s="113"/>
      <c r="I29" s="29"/>
      <c r="J29" s="113"/>
      <c r="K29" s="113"/>
      <c r="L29" s="113"/>
      <c r="N29" s="31"/>
      <c r="O29" s="31"/>
      <c r="P29" s="116"/>
      <c r="Q29" s="117" t="s">
        <v>345</v>
      </c>
      <c r="R29" s="117" t="s">
        <v>346</v>
      </c>
      <c r="S29" s="118" t="s">
        <v>347</v>
      </c>
      <c r="T29" s="141"/>
      <c r="U29" s="31"/>
      <c r="V29" s="31"/>
      <c r="W29" s="25"/>
      <c r="X29" s="119" t="s">
        <v>348</v>
      </c>
      <c r="Y29" s="119" t="s">
        <v>349</v>
      </c>
      <c r="AH29" s="99"/>
      <c r="BB29" s="121"/>
      <c r="BD29" s="115" t="s">
        <v>350</v>
      </c>
      <c r="BE29" s="115"/>
      <c r="BF29" s="115"/>
      <c r="BG29" s="115"/>
      <c r="BH29" s="115"/>
      <c r="BI29" s="115"/>
      <c r="BJ29" s="115"/>
      <c r="BK29" s="110"/>
      <c r="BL29" s="97"/>
      <c r="BM29" s="97"/>
      <c r="BN29" s="97"/>
      <c r="BO29" s="142"/>
      <c r="BP29" s="143">
        <f t="shared" si="1"/>
        <v>0</v>
      </c>
      <c r="BQ29" s="142"/>
      <c r="BR29" s="143">
        <f t="shared" si="2"/>
        <v>0</v>
      </c>
      <c r="BS29" s="132"/>
      <c r="BT29" s="146">
        <f t="shared" si="3"/>
        <v>0</v>
      </c>
      <c r="BU29" s="132"/>
      <c r="BV29" s="143">
        <f t="shared" si="4"/>
        <v>0</v>
      </c>
      <c r="BW29" s="132"/>
      <c r="BX29" s="146">
        <f t="shared" si="5"/>
        <v>0</v>
      </c>
      <c r="BY29" s="132"/>
      <c r="BZ29" s="146">
        <f t="shared" si="6"/>
        <v>0</v>
      </c>
      <c r="CA29" s="132"/>
      <c r="CB29" s="146">
        <f t="shared" si="7"/>
        <v>0</v>
      </c>
      <c r="CC29" s="132"/>
      <c r="CD29" s="143">
        <f t="shared" si="8"/>
        <v>0</v>
      </c>
      <c r="CE29" s="132"/>
      <c r="CF29" s="143">
        <f t="shared" si="9"/>
        <v>0</v>
      </c>
      <c r="CG29" s="132"/>
      <c r="CH29" s="143">
        <f t="shared" si="10"/>
        <v>0</v>
      </c>
      <c r="CI29" s="132">
        <f t="shared" si="11"/>
        <v>0</v>
      </c>
      <c r="CJ29" s="143">
        <f t="shared" si="11"/>
        <v>0</v>
      </c>
    </row>
    <row r="30" spans="1:88" s="66" customFormat="1" x14ac:dyDescent="0.3">
      <c r="E30" s="113"/>
      <c r="F30" s="31"/>
      <c r="G30" s="115"/>
      <c r="H30" s="113"/>
      <c r="I30" s="29"/>
      <c r="J30" s="113"/>
      <c r="K30" s="113"/>
      <c r="L30" s="113"/>
      <c r="N30" s="31"/>
      <c r="O30" s="31"/>
      <c r="P30" s="116"/>
      <c r="Q30" s="117" t="s">
        <v>229</v>
      </c>
      <c r="R30" s="117" t="s">
        <v>352</v>
      </c>
      <c r="S30" s="118" t="s">
        <v>353</v>
      </c>
      <c r="T30" s="141"/>
      <c r="U30" s="31"/>
      <c r="V30" s="31"/>
      <c r="W30" s="25"/>
      <c r="X30" s="119" t="s">
        <v>354</v>
      </c>
      <c r="Y30" s="119" t="s">
        <v>355</v>
      </c>
      <c r="AH30" s="99"/>
      <c r="BB30" s="121"/>
      <c r="BD30" s="115" t="s">
        <v>356</v>
      </c>
      <c r="BE30" s="115"/>
      <c r="BF30" s="115"/>
      <c r="BG30" s="115"/>
      <c r="BH30" s="115"/>
      <c r="BI30" s="115"/>
      <c r="BJ30" s="115"/>
      <c r="BK30" s="110"/>
      <c r="BL30" s="97"/>
      <c r="BM30" s="97"/>
      <c r="BN30" s="97"/>
      <c r="BO30" s="142"/>
      <c r="BP30" s="143">
        <f t="shared" si="1"/>
        <v>0</v>
      </c>
      <c r="BQ30" s="142"/>
      <c r="BR30" s="143">
        <f t="shared" si="2"/>
        <v>0</v>
      </c>
      <c r="BS30" s="132"/>
      <c r="BT30" s="146">
        <f t="shared" si="3"/>
        <v>0</v>
      </c>
      <c r="BU30" s="132"/>
      <c r="BV30" s="143">
        <f t="shared" si="4"/>
        <v>0</v>
      </c>
      <c r="BW30" s="132"/>
      <c r="BX30" s="146">
        <f t="shared" si="5"/>
        <v>0</v>
      </c>
      <c r="BY30" s="132"/>
      <c r="BZ30" s="146">
        <f t="shared" si="6"/>
        <v>0</v>
      </c>
      <c r="CA30" s="132"/>
      <c r="CB30" s="146">
        <f t="shared" si="7"/>
        <v>0</v>
      </c>
      <c r="CC30" s="132"/>
      <c r="CD30" s="143">
        <f t="shared" si="8"/>
        <v>0</v>
      </c>
      <c r="CE30" s="132"/>
      <c r="CF30" s="143">
        <f t="shared" si="9"/>
        <v>0</v>
      </c>
      <c r="CG30" s="132"/>
      <c r="CH30" s="143">
        <f t="shared" si="10"/>
        <v>0</v>
      </c>
      <c r="CI30" s="132">
        <f t="shared" si="11"/>
        <v>0</v>
      </c>
      <c r="CJ30" s="143">
        <f t="shared" si="11"/>
        <v>0</v>
      </c>
    </row>
    <row r="31" spans="1:88" s="66" customFormat="1" ht="13.5" customHeight="1" x14ac:dyDescent="0.3">
      <c r="E31" s="113"/>
      <c r="F31" s="31"/>
      <c r="G31" s="115"/>
      <c r="H31" s="113"/>
      <c r="I31" s="29"/>
      <c r="J31" s="113"/>
      <c r="K31" s="113"/>
      <c r="L31" s="113"/>
      <c r="N31" s="31"/>
      <c r="O31" s="31"/>
      <c r="P31" s="116"/>
      <c r="Q31" s="117" t="s">
        <v>357</v>
      </c>
      <c r="R31" s="117" t="s">
        <v>358</v>
      </c>
      <c r="S31" s="122" t="s">
        <v>359</v>
      </c>
      <c r="T31" s="141"/>
      <c r="U31" s="31"/>
      <c r="V31" s="31"/>
      <c r="W31" s="25"/>
      <c r="X31" s="119" t="s">
        <v>360</v>
      </c>
      <c r="Y31" s="119" t="s">
        <v>361</v>
      </c>
      <c r="AH31" s="99"/>
      <c r="BB31" s="121"/>
      <c r="BD31" s="115" t="s">
        <v>362</v>
      </c>
      <c r="BE31" s="115"/>
      <c r="BF31" s="115"/>
      <c r="BG31" s="115"/>
      <c r="BH31" s="115"/>
      <c r="BI31" s="115"/>
      <c r="BJ31" s="115"/>
      <c r="BK31" s="110"/>
      <c r="BL31" s="97"/>
      <c r="BM31" s="97"/>
      <c r="BN31" s="97"/>
      <c r="BO31" s="142"/>
      <c r="BP31" s="143">
        <f t="shared" si="1"/>
        <v>0</v>
      </c>
      <c r="BQ31" s="142"/>
      <c r="BR31" s="143">
        <f t="shared" si="2"/>
        <v>0</v>
      </c>
      <c r="BS31" s="132"/>
      <c r="BT31" s="146">
        <f t="shared" si="3"/>
        <v>0</v>
      </c>
      <c r="BU31" s="132"/>
      <c r="BV31" s="143">
        <f t="shared" si="4"/>
        <v>0</v>
      </c>
      <c r="BW31" s="132"/>
      <c r="BX31" s="146">
        <f t="shared" si="5"/>
        <v>0</v>
      </c>
      <c r="BY31" s="132"/>
      <c r="BZ31" s="146">
        <f t="shared" si="6"/>
        <v>0</v>
      </c>
      <c r="CA31" s="132"/>
      <c r="CB31" s="146">
        <f t="shared" si="7"/>
        <v>0</v>
      </c>
      <c r="CC31" s="132"/>
      <c r="CD31" s="143">
        <f t="shared" si="8"/>
        <v>0</v>
      </c>
      <c r="CE31" s="132"/>
      <c r="CF31" s="143">
        <f t="shared" si="9"/>
        <v>0</v>
      </c>
      <c r="CG31" s="132"/>
      <c r="CH31" s="143">
        <f t="shared" si="10"/>
        <v>0</v>
      </c>
      <c r="CI31" s="132">
        <f t="shared" si="11"/>
        <v>0</v>
      </c>
      <c r="CJ31" s="143">
        <f t="shared" si="11"/>
        <v>0</v>
      </c>
    </row>
    <row r="32" spans="1:88" s="66" customFormat="1" x14ac:dyDescent="0.3">
      <c r="E32" s="113"/>
      <c r="F32" s="31"/>
      <c r="G32" s="115"/>
      <c r="H32" s="113"/>
      <c r="I32" s="29"/>
      <c r="J32" s="113"/>
      <c r="K32" s="113"/>
      <c r="L32" s="113"/>
      <c r="N32" s="31"/>
      <c r="O32" s="31"/>
      <c r="P32" s="116"/>
      <c r="Q32" s="117" t="s">
        <v>364</v>
      </c>
      <c r="R32" s="117" t="s">
        <v>365</v>
      </c>
      <c r="S32" s="122" t="s">
        <v>366</v>
      </c>
      <c r="T32" s="141"/>
      <c r="U32" s="31"/>
      <c r="V32" s="31"/>
      <c r="W32" s="25"/>
      <c r="X32" s="119" t="s">
        <v>367</v>
      </c>
      <c r="Y32" s="119" t="s">
        <v>368</v>
      </c>
      <c r="AH32" s="99"/>
      <c r="BB32" s="121"/>
      <c r="BD32" s="115" t="s">
        <v>369</v>
      </c>
      <c r="BE32" s="115"/>
      <c r="BF32" s="115"/>
      <c r="BG32" s="115"/>
      <c r="BH32" s="115"/>
      <c r="BI32" s="115"/>
      <c r="BJ32" s="115"/>
      <c r="BK32" s="110"/>
      <c r="BL32" s="97"/>
      <c r="BM32" s="97"/>
      <c r="BN32" s="97"/>
      <c r="BO32" s="142"/>
      <c r="BP32" s="143">
        <f t="shared" si="1"/>
        <v>0</v>
      </c>
      <c r="BQ32" s="142"/>
      <c r="BR32" s="143">
        <f t="shared" si="2"/>
        <v>0</v>
      </c>
      <c r="BS32" s="132"/>
      <c r="BT32" s="146">
        <f t="shared" si="3"/>
        <v>0</v>
      </c>
      <c r="BU32" s="132"/>
      <c r="BV32" s="143">
        <f t="shared" si="4"/>
        <v>0</v>
      </c>
      <c r="BW32" s="132"/>
      <c r="BX32" s="146">
        <f t="shared" si="5"/>
        <v>0</v>
      </c>
      <c r="BY32" s="132"/>
      <c r="BZ32" s="146">
        <f t="shared" si="6"/>
        <v>0</v>
      </c>
      <c r="CA32" s="132"/>
      <c r="CB32" s="146">
        <f t="shared" si="7"/>
        <v>0</v>
      </c>
      <c r="CC32" s="132"/>
      <c r="CD32" s="143">
        <f t="shared" si="8"/>
        <v>0</v>
      </c>
      <c r="CE32" s="132"/>
      <c r="CF32" s="143">
        <f t="shared" si="9"/>
        <v>0</v>
      </c>
      <c r="CG32" s="132"/>
      <c r="CH32" s="143">
        <f t="shared" si="10"/>
        <v>0</v>
      </c>
      <c r="CI32" s="132">
        <f t="shared" si="11"/>
        <v>0</v>
      </c>
      <c r="CJ32" s="143">
        <f t="shared" si="11"/>
        <v>0</v>
      </c>
    </row>
    <row r="33" spans="1:88" s="66" customFormat="1" x14ac:dyDescent="0.3">
      <c r="E33" s="113"/>
      <c r="F33" s="31"/>
      <c r="G33" s="115"/>
      <c r="H33" s="113"/>
      <c r="I33" s="29"/>
      <c r="J33" s="113"/>
      <c r="K33" s="113"/>
      <c r="L33" s="113"/>
      <c r="N33" s="31"/>
      <c r="O33" s="31"/>
      <c r="P33" s="116"/>
      <c r="Q33" s="117" t="s">
        <v>371</v>
      </c>
      <c r="R33" s="117" t="s">
        <v>372</v>
      </c>
      <c r="S33" s="118" t="s">
        <v>373</v>
      </c>
      <c r="T33" s="141"/>
      <c r="U33" s="31"/>
      <c r="V33" s="31"/>
      <c r="W33" s="25"/>
      <c r="X33" s="119" t="s">
        <v>375</v>
      </c>
      <c r="Y33" s="119" t="s">
        <v>1437</v>
      </c>
      <c r="AH33" s="99"/>
      <c r="BB33" s="121"/>
      <c r="BD33" s="115" t="s">
        <v>376</v>
      </c>
      <c r="BE33" s="115"/>
      <c r="BF33" s="115"/>
      <c r="BG33" s="115"/>
      <c r="BH33" s="115"/>
      <c r="BI33" s="115"/>
      <c r="BJ33" s="115"/>
      <c r="BK33" s="110"/>
      <c r="BL33" s="97"/>
      <c r="BM33" s="97"/>
      <c r="BN33" s="97"/>
      <c r="BO33" s="142"/>
      <c r="BP33" s="143">
        <f t="shared" si="1"/>
        <v>0</v>
      </c>
      <c r="BQ33" s="142"/>
      <c r="BR33" s="143">
        <f t="shared" si="2"/>
        <v>0</v>
      </c>
      <c r="BS33" s="132"/>
      <c r="BT33" s="146">
        <f t="shared" si="3"/>
        <v>0</v>
      </c>
      <c r="BU33" s="132"/>
      <c r="BV33" s="143">
        <f t="shared" si="4"/>
        <v>0</v>
      </c>
      <c r="BW33" s="132"/>
      <c r="BX33" s="146">
        <f t="shared" si="5"/>
        <v>0</v>
      </c>
      <c r="BY33" s="132"/>
      <c r="BZ33" s="146">
        <f t="shared" si="6"/>
        <v>0</v>
      </c>
      <c r="CA33" s="132"/>
      <c r="CB33" s="146">
        <f t="shared" si="7"/>
        <v>0</v>
      </c>
      <c r="CC33" s="132"/>
      <c r="CD33" s="143">
        <f t="shared" si="8"/>
        <v>0</v>
      </c>
      <c r="CE33" s="132"/>
      <c r="CF33" s="143">
        <f t="shared" si="9"/>
        <v>0</v>
      </c>
      <c r="CG33" s="132"/>
      <c r="CH33" s="143">
        <f t="shared" si="10"/>
        <v>0</v>
      </c>
      <c r="CI33" s="132">
        <f t="shared" si="11"/>
        <v>0</v>
      </c>
      <c r="CJ33" s="143">
        <f t="shared" si="11"/>
        <v>0</v>
      </c>
    </row>
    <row r="34" spans="1:88" s="66" customFormat="1" x14ac:dyDescent="0.3">
      <c r="D34" s="124"/>
      <c r="E34" s="113"/>
      <c r="F34" s="31"/>
      <c r="G34" s="115"/>
      <c r="H34" s="113"/>
      <c r="I34" s="29"/>
      <c r="J34" s="113"/>
      <c r="K34" s="113"/>
      <c r="L34" s="113"/>
      <c r="N34" s="31"/>
      <c r="O34" s="31"/>
      <c r="P34" s="116"/>
      <c r="Q34" s="117" t="s">
        <v>377</v>
      </c>
      <c r="R34" s="117" t="s">
        <v>378</v>
      </c>
      <c r="S34" s="118" t="s">
        <v>379</v>
      </c>
      <c r="T34" s="141"/>
      <c r="U34" s="31"/>
      <c r="V34" s="31"/>
      <c r="W34" s="25"/>
      <c r="X34" s="119" t="s">
        <v>380</v>
      </c>
      <c r="Y34" s="119" t="s">
        <v>381</v>
      </c>
      <c r="AH34" s="99"/>
      <c r="BB34" s="121"/>
      <c r="BD34" s="115"/>
      <c r="BE34" s="115"/>
      <c r="BF34" s="115"/>
      <c r="BG34" s="115"/>
      <c r="BH34" s="115"/>
      <c r="BI34" s="115"/>
      <c r="BJ34" s="115"/>
      <c r="BK34" s="110"/>
      <c r="BL34" s="97"/>
      <c r="BM34" s="97"/>
      <c r="BN34" s="97"/>
      <c r="BO34" s="142"/>
      <c r="BP34" s="143">
        <f t="shared" si="1"/>
        <v>0</v>
      </c>
      <c r="BQ34" s="142"/>
      <c r="BR34" s="143">
        <f t="shared" si="2"/>
        <v>0</v>
      </c>
      <c r="BS34" s="132"/>
      <c r="BT34" s="146">
        <f t="shared" si="3"/>
        <v>0</v>
      </c>
      <c r="BU34" s="132"/>
      <c r="BV34" s="143">
        <f t="shared" si="4"/>
        <v>0</v>
      </c>
      <c r="BW34" s="132"/>
      <c r="BX34" s="146">
        <f t="shared" si="5"/>
        <v>0</v>
      </c>
      <c r="BY34" s="132"/>
      <c r="BZ34" s="146">
        <f t="shared" si="6"/>
        <v>0</v>
      </c>
      <c r="CA34" s="132"/>
      <c r="CB34" s="146">
        <f t="shared" si="7"/>
        <v>0</v>
      </c>
      <c r="CC34" s="132"/>
      <c r="CD34" s="143">
        <f t="shared" si="8"/>
        <v>0</v>
      </c>
      <c r="CE34" s="132"/>
      <c r="CF34" s="143">
        <f t="shared" si="9"/>
        <v>0</v>
      </c>
      <c r="CG34" s="132"/>
      <c r="CH34" s="143">
        <f t="shared" si="10"/>
        <v>0</v>
      </c>
      <c r="CI34" s="132">
        <f t="shared" si="11"/>
        <v>0</v>
      </c>
      <c r="CJ34" s="143">
        <f t="shared" si="11"/>
        <v>0</v>
      </c>
    </row>
    <row r="35" spans="1:88" s="66" customFormat="1" x14ac:dyDescent="0.3">
      <c r="D35" s="125"/>
      <c r="E35" s="113"/>
      <c r="F35" s="31"/>
      <c r="G35" s="115"/>
      <c r="H35" s="113"/>
      <c r="I35" s="29"/>
      <c r="J35" s="113"/>
      <c r="K35" s="113"/>
      <c r="L35" s="113"/>
      <c r="N35" s="31"/>
      <c r="O35" s="31"/>
      <c r="P35" s="116"/>
      <c r="Q35" s="117" t="s">
        <v>382</v>
      </c>
      <c r="R35" s="117" t="s">
        <v>383</v>
      </c>
      <c r="S35" s="118" t="s">
        <v>331</v>
      </c>
      <c r="T35" s="141" t="str">
        <f t="shared" ref="T35:T98" si="12">TRIM(U35)&amp;" "&amp;TRIM(V35)</f>
        <v xml:space="preserve"> </v>
      </c>
      <c r="U35" s="31"/>
      <c r="V35" s="31"/>
      <c r="W35" s="25"/>
      <c r="X35" s="119" t="s">
        <v>384</v>
      </c>
      <c r="Y35" s="119" t="s">
        <v>385</v>
      </c>
      <c r="AH35" s="99"/>
      <c r="BB35" s="121"/>
      <c r="BD35" s="115"/>
      <c r="BE35" s="115"/>
      <c r="BF35" s="115"/>
      <c r="BG35" s="115"/>
      <c r="BH35" s="115"/>
      <c r="BI35" s="115"/>
      <c r="BJ35" s="115"/>
      <c r="BK35" s="110"/>
      <c r="BL35" s="97"/>
      <c r="BM35" s="97"/>
      <c r="BN35" s="97"/>
      <c r="BO35" s="142"/>
      <c r="BP35" s="143">
        <f t="shared" si="1"/>
        <v>0</v>
      </c>
      <c r="BQ35" s="142"/>
      <c r="BR35" s="143">
        <f t="shared" si="2"/>
        <v>0</v>
      </c>
      <c r="BS35" s="132"/>
      <c r="BT35" s="146">
        <f t="shared" si="3"/>
        <v>0</v>
      </c>
      <c r="BU35" s="132"/>
      <c r="BV35" s="143">
        <f t="shared" si="4"/>
        <v>0</v>
      </c>
      <c r="BW35" s="132"/>
      <c r="BX35" s="146">
        <f t="shared" si="5"/>
        <v>0</v>
      </c>
      <c r="BY35" s="132"/>
      <c r="BZ35" s="146">
        <f t="shared" si="6"/>
        <v>0</v>
      </c>
      <c r="CA35" s="132"/>
      <c r="CB35" s="146">
        <f t="shared" si="7"/>
        <v>0</v>
      </c>
      <c r="CC35" s="132"/>
      <c r="CD35" s="143">
        <f t="shared" si="8"/>
        <v>0</v>
      </c>
      <c r="CE35" s="132"/>
      <c r="CF35" s="143">
        <f t="shared" si="9"/>
        <v>0</v>
      </c>
      <c r="CG35" s="132"/>
      <c r="CH35" s="143">
        <f t="shared" si="10"/>
        <v>0</v>
      </c>
      <c r="CI35" s="132">
        <f t="shared" si="11"/>
        <v>0</v>
      </c>
      <c r="CJ35" s="143">
        <f t="shared" si="11"/>
        <v>0</v>
      </c>
    </row>
    <row r="36" spans="1:88" s="66" customFormat="1" x14ac:dyDescent="0.3">
      <c r="D36" s="113"/>
      <c r="E36" s="113"/>
      <c r="F36" s="31"/>
      <c r="G36" s="115"/>
      <c r="H36" s="113"/>
      <c r="I36" s="29"/>
      <c r="J36" s="113"/>
      <c r="K36" s="113"/>
      <c r="L36" s="113"/>
      <c r="N36" s="31"/>
      <c r="O36" s="31"/>
      <c r="P36" s="116"/>
      <c r="Q36" s="117" t="s">
        <v>386</v>
      </c>
      <c r="R36" s="117" t="s">
        <v>387</v>
      </c>
      <c r="S36" s="118" t="s">
        <v>388</v>
      </c>
      <c r="T36" s="141" t="str">
        <f t="shared" si="12"/>
        <v xml:space="preserve"> </v>
      </c>
      <c r="U36" s="31"/>
      <c r="V36" s="31"/>
      <c r="W36" s="25"/>
      <c r="X36" s="119" t="s">
        <v>389</v>
      </c>
      <c r="Y36" s="119" t="s">
        <v>390</v>
      </c>
      <c r="AH36" s="99"/>
      <c r="BB36" s="121"/>
      <c r="BD36" s="97"/>
      <c r="BE36" s="108"/>
      <c r="BF36" s="108"/>
      <c r="BG36" s="97"/>
      <c r="BH36" s="97"/>
      <c r="BI36" s="97"/>
      <c r="BJ36" s="97"/>
      <c r="BK36" s="110"/>
      <c r="BL36" s="97"/>
      <c r="BM36" s="97"/>
      <c r="BN36" s="97"/>
      <c r="BO36" s="142"/>
      <c r="BP36" s="143">
        <f t="shared" si="1"/>
        <v>0</v>
      </c>
      <c r="BQ36" s="142"/>
      <c r="BR36" s="143">
        <f t="shared" si="2"/>
        <v>0</v>
      </c>
      <c r="BS36" s="132"/>
      <c r="BT36" s="146">
        <f t="shared" si="3"/>
        <v>0</v>
      </c>
      <c r="BU36" s="132"/>
      <c r="BV36" s="143">
        <f t="shared" si="4"/>
        <v>0</v>
      </c>
      <c r="BW36" s="132"/>
      <c r="BX36" s="146">
        <f t="shared" si="5"/>
        <v>0</v>
      </c>
      <c r="BY36" s="132"/>
      <c r="BZ36" s="146">
        <f t="shared" si="6"/>
        <v>0</v>
      </c>
      <c r="CA36" s="132"/>
      <c r="CB36" s="146">
        <f t="shared" si="7"/>
        <v>0</v>
      </c>
      <c r="CC36" s="132"/>
      <c r="CD36" s="143">
        <f t="shared" si="8"/>
        <v>0</v>
      </c>
      <c r="CE36" s="132"/>
      <c r="CF36" s="143">
        <f t="shared" si="9"/>
        <v>0</v>
      </c>
      <c r="CG36" s="132"/>
      <c r="CH36" s="143">
        <f t="shared" si="10"/>
        <v>0</v>
      </c>
      <c r="CI36" s="132">
        <f t="shared" si="11"/>
        <v>0</v>
      </c>
      <c r="CJ36" s="143">
        <f t="shared" si="11"/>
        <v>0</v>
      </c>
    </row>
    <row r="37" spans="1:88" x14ac:dyDescent="0.3">
      <c r="A37" s="27"/>
      <c r="B37" s="27"/>
      <c r="C37" s="27"/>
      <c r="G37" s="79"/>
      <c r="Q37" s="117" t="s">
        <v>391</v>
      </c>
      <c r="R37" s="117" t="s">
        <v>392</v>
      </c>
      <c r="S37" s="118" t="s">
        <v>393</v>
      </c>
      <c r="T37" s="141" t="str">
        <f t="shared" si="12"/>
        <v xml:space="preserve"> </v>
      </c>
      <c r="X37" s="119" t="s">
        <v>394</v>
      </c>
      <c r="Y37" s="119" t="s">
        <v>395</v>
      </c>
      <c r="AE37" s="27"/>
      <c r="AH37" s="99"/>
      <c r="BB37" s="126"/>
      <c r="BD37" s="97"/>
      <c r="BE37" s="108"/>
      <c r="BF37" s="108"/>
      <c r="BG37" s="97"/>
      <c r="BH37" s="97"/>
      <c r="BI37" s="97"/>
      <c r="BJ37" s="97"/>
      <c r="BK37" s="110"/>
      <c r="BL37" s="97"/>
      <c r="BM37" s="97"/>
      <c r="BN37" s="97"/>
      <c r="BO37" s="142"/>
      <c r="BP37" s="143">
        <f t="shared" si="1"/>
        <v>0</v>
      </c>
      <c r="BQ37" s="142"/>
      <c r="BR37" s="143">
        <f t="shared" si="2"/>
        <v>0</v>
      </c>
      <c r="BS37" s="132"/>
      <c r="BT37" s="146">
        <f t="shared" si="3"/>
        <v>0</v>
      </c>
      <c r="BU37" s="132"/>
      <c r="BV37" s="143">
        <f t="shared" si="4"/>
        <v>0</v>
      </c>
      <c r="BW37" s="132"/>
      <c r="BX37" s="146">
        <f t="shared" si="5"/>
        <v>0</v>
      </c>
      <c r="BY37" s="132"/>
      <c r="BZ37" s="146">
        <f t="shared" si="6"/>
        <v>0</v>
      </c>
      <c r="CA37" s="132"/>
      <c r="CB37" s="146">
        <f t="shared" si="7"/>
        <v>0</v>
      </c>
      <c r="CC37" s="132"/>
      <c r="CD37" s="143">
        <f t="shared" si="8"/>
        <v>0</v>
      </c>
      <c r="CE37" s="132"/>
      <c r="CF37" s="143">
        <f t="shared" si="9"/>
        <v>0</v>
      </c>
      <c r="CG37" s="132"/>
      <c r="CH37" s="143">
        <f t="shared" si="10"/>
        <v>0</v>
      </c>
      <c r="CI37" s="132">
        <f t="shared" si="11"/>
        <v>0</v>
      </c>
      <c r="CJ37" s="143">
        <f t="shared" si="11"/>
        <v>0</v>
      </c>
    </row>
    <row r="38" spans="1:88" x14ac:dyDescent="0.3">
      <c r="A38" s="27"/>
      <c r="B38" s="27"/>
      <c r="C38" s="27"/>
      <c r="D38" s="27"/>
      <c r="E38" s="27"/>
      <c r="F38" s="27"/>
      <c r="G38" s="79"/>
      <c r="Q38" s="117" t="s">
        <v>396</v>
      </c>
      <c r="R38" s="117" t="s">
        <v>397</v>
      </c>
      <c r="S38" s="118" t="s">
        <v>398</v>
      </c>
      <c r="T38" s="141" t="str">
        <f t="shared" si="12"/>
        <v xml:space="preserve"> </v>
      </c>
      <c r="X38" s="119" t="s">
        <v>399</v>
      </c>
      <c r="Y38" s="119" t="s">
        <v>95</v>
      </c>
      <c r="AE38" s="27"/>
      <c r="AH38" s="99"/>
      <c r="BB38" s="126"/>
      <c r="BD38" s="97"/>
      <c r="BE38" s="108"/>
      <c r="BF38" s="108"/>
      <c r="BG38" s="97"/>
      <c r="BH38" s="97"/>
      <c r="BI38" s="97"/>
      <c r="BJ38" s="97"/>
      <c r="BK38" s="110"/>
      <c r="BL38" s="97"/>
      <c r="BM38" s="97"/>
      <c r="BN38" s="97"/>
      <c r="BO38" s="142"/>
      <c r="BP38" s="143">
        <f t="shared" si="1"/>
        <v>0</v>
      </c>
      <c r="BQ38" s="142"/>
      <c r="BR38" s="143">
        <f t="shared" si="2"/>
        <v>0</v>
      </c>
      <c r="BS38" s="132"/>
      <c r="BT38" s="146">
        <f t="shared" si="3"/>
        <v>0</v>
      </c>
      <c r="BU38" s="132"/>
      <c r="BV38" s="143">
        <f t="shared" si="4"/>
        <v>0</v>
      </c>
      <c r="BW38" s="132"/>
      <c r="BX38" s="146">
        <f t="shared" si="5"/>
        <v>0</v>
      </c>
      <c r="BY38" s="132"/>
      <c r="BZ38" s="146">
        <f t="shared" si="6"/>
        <v>0</v>
      </c>
      <c r="CA38" s="132"/>
      <c r="CB38" s="146">
        <f t="shared" si="7"/>
        <v>0</v>
      </c>
      <c r="CC38" s="132"/>
      <c r="CD38" s="143">
        <f t="shared" si="8"/>
        <v>0</v>
      </c>
      <c r="CE38" s="132"/>
      <c r="CF38" s="143">
        <f t="shared" si="9"/>
        <v>0</v>
      </c>
      <c r="CG38" s="132"/>
      <c r="CH38" s="143">
        <f t="shared" si="10"/>
        <v>0</v>
      </c>
      <c r="CI38" s="132">
        <f t="shared" si="11"/>
        <v>0</v>
      </c>
      <c r="CJ38" s="143">
        <f t="shared" si="11"/>
        <v>0</v>
      </c>
    </row>
    <row r="39" spans="1:88" x14ac:dyDescent="0.3">
      <c r="A39" s="27"/>
      <c r="B39" s="27"/>
      <c r="C39" s="27"/>
      <c r="D39" s="27"/>
      <c r="E39" s="27"/>
      <c r="F39" s="27"/>
      <c r="G39" s="79"/>
      <c r="Q39" s="117" t="s">
        <v>400</v>
      </c>
      <c r="R39" s="117" t="s">
        <v>401</v>
      </c>
      <c r="S39" s="122" t="s">
        <v>398</v>
      </c>
      <c r="T39" s="141" t="str">
        <f t="shared" si="12"/>
        <v xml:space="preserve"> </v>
      </c>
      <c r="X39" s="119" t="s">
        <v>402</v>
      </c>
      <c r="Y39" s="119"/>
      <c r="AE39" s="27"/>
      <c r="AH39" s="99"/>
      <c r="BB39" s="126"/>
      <c r="BD39" s="97"/>
      <c r="BE39" s="108"/>
      <c r="BF39" s="108"/>
      <c r="BG39" s="97"/>
      <c r="BH39" s="97"/>
      <c r="BI39" s="97"/>
      <c r="BJ39" s="97"/>
      <c r="BK39" s="110"/>
      <c r="BL39" s="97"/>
      <c r="BM39" s="97"/>
      <c r="BN39" s="97"/>
      <c r="BO39" s="142"/>
      <c r="BP39" s="143">
        <f t="shared" si="1"/>
        <v>0</v>
      </c>
      <c r="BQ39" s="142"/>
      <c r="BR39" s="143">
        <f t="shared" si="2"/>
        <v>0</v>
      </c>
      <c r="BS39" s="132"/>
      <c r="BT39" s="146">
        <f t="shared" si="3"/>
        <v>0</v>
      </c>
      <c r="BU39" s="132"/>
      <c r="BV39" s="143">
        <f t="shared" si="4"/>
        <v>0</v>
      </c>
      <c r="BW39" s="132"/>
      <c r="BX39" s="146">
        <f t="shared" si="5"/>
        <v>0</v>
      </c>
      <c r="BY39" s="132"/>
      <c r="BZ39" s="146">
        <f t="shared" si="6"/>
        <v>0</v>
      </c>
      <c r="CA39" s="132"/>
      <c r="CB39" s="146">
        <f t="shared" si="7"/>
        <v>0</v>
      </c>
      <c r="CC39" s="132"/>
      <c r="CD39" s="143">
        <f t="shared" si="8"/>
        <v>0</v>
      </c>
      <c r="CE39" s="132"/>
      <c r="CF39" s="143">
        <f t="shared" si="9"/>
        <v>0</v>
      </c>
      <c r="CG39" s="132"/>
      <c r="CH39" s="143">
        <f t="shared" si="10"/>
        <v>0</v>
      </c>
      <c r="CI39" s="132">
        <f t="shared" si="11"/>
        <v>0</v>
      </c>
      <c r="CJ39" s="143">
        <f t="shared" si="11"/>
        <v>0</v>
      </c>
    </row>
    <row r="40" spans="1:88" x14ac:dyDescent="0.3">
      <c r="A40" s="27"/>
      <c r="B40" s="27"/>
      <c r="C40" s="27"/>
      <c r="D40" s="27"/>
      <c r="E40" s="27"/>
      <c r="F40" s="27"/>
      <c r="G40" s="79"/>
      <c r="Q40" s="117" t="s">
        <v>403</v>
      </c>
      <c r="R40" s="117" t="s">
        <v>404</v>
      </c>
      <c r="S40" s="118" t="s">
        <v>405</v>
      </c>
      <c r="T40" s="141" t="str">
        <f t="shared" si="12"/>
        <v xml:space="preserve"> </v>
      </c>
      <c r="X40" s="119" t="s">
        <v>406</v>
      </c>
      <c r="Y40" s="119"/>
      <c r="AE40" s="27"/>
      <c r="AH40" s="99"/>
      <c r="BB40" s="126"/>
      <c r="BD40" s="97"/>
      <c r="BE40" s="108"/>
      <c r="BF40" s="108"/>
      <c r="BG40" s="97"/>
      <c r="BH40" s="97"/>
      <c r="BI40" s="97"/>
      <c r="BJ40" s="97"/>
      <c r="BK40" s="110"/>
      <c r="BL40" s="97"/>
      <c r="BM40" s="97"/>
      <c r="BN40" s="97"/>
      <c r="BO40" s="142"/>
      <c r="BP40" s="143">
        <f t="shared" si="1"/>
        <v>0</v>
      </c>
      <c r="BQ40" s="142"/>
      <c r="BR40" s="143">
        <f t="shared" si="2"/>
        <v>0</v>
      </c>
      <c r="BS40" s="132"/>
      <c r="BT40" s="146">
        <f t="shared" si="3"/>
        <v>0</v>
      </c>
      <c r="BU40" s="132"/>
      <c r="BV40" s="143">
        <f t="shared" si="4"/>
        <v>0</v>
      </c>
      <c r="BW40" s="132"/>
      <c r="BX40" s="146">
        <f t="shared" si="5"/>
        <v>0</v>
      </c>
      <c r="BY40" s="132"/>
      <c r="BZ40" s="146">
        <f t="shared" si="6"/>
        <v>0</v>
      </c>
      <c r="CA40" s="132"/>
      <c r="CB40" s="146">
        <f t="shared" si="7"/>
        <v>0</v>
      </c>
      <c r="CC40" s="132"/>
      <c r="CD40" s="143">
        <f t="shared" si="8"/>
        <v>0</v>
      </c>
      <c r="CE40" s="132"/>
      <c r="CF40" s="143">
        <f t="shared" si="9"/>
        <v>0</v>
      </c>
      <c r="CG40" s="132"/>
      <c r="CH40" s="143">
        <f t="shared" si="10"/>
        <v>0</v>
      </c>
      <c r="CI40" s="132">
        <f t="shared" si="11"/>
        <v>0</v>
      </c>
      <c r="CJ40" s="143">
        <f t="shared" si="11"/>
        <v>0</v>
      </c>
    </row>
    <row r="41" spans="1:88" x14ac:dyDescent="0.3">
      <c r="A41" s="27"/>
      <c r="B41" s="27"/>
      <c r="C41" s="27"/>
      <c r="D41" s="27"/>
      <c r="E41" s="27"/>
      <c r="F41" s="27"/>
      <c r="G41" s="79"/>
      <c r="Q41" s="117" t="s">
        <v>407</v>
      </c>
      <c r="R41" s="117" t="s">
        <v>408</v>
      </c>
      <c r="S41" s="113" t="s">
        <v>409</v>
      </c>
      <c r="T41" s="141" t="str">
        <f t="shared" si="12"/>
        <v xml:space="preserve"> </v>
      </c>
      <c r="X41" s="119" t="s">
        <v>410</v>
      </c>
      <c r="Y41" s="119"/>
      <c r="AE41" s="27"/>
      <c r="AH41" s="99"/>
      <c r="BB41" s="126"/>
      <c r="BD41" s="97"/>
      <c r="BE41" s="108"/>
      <c r="BF41" s="108"/>
      <c r="BG41" s="97"/>
      <c r="BH41" s="97"/>
      <c r="BI41" s="97"/>
      <c r="BJ41" s="97"/>
      <c r="BK41" s="110"/>
      <c r="BL41" s="97"/>
      <c r="BM41" s="97"/>
      <c r="BN41" s="97"/>
      <c r="BO41" s="142"/>
      <c r="BP41" s="143">
        <f t="shared" si="1"/>
        <v>0</v>
      </c>
      <c r="BQ41" s="142"/>
      <c r="BR41" s="143">
        <f t="shared" si="2"/>
        <v>0</v>
      </c>
      <c r="BS41" s="132"/>
      <c r="BT41" s="146">
        <f t="shared" si="3"/>
        <v>0</v>
      </c>
      <c r="BU41" s="132"/>
      <c r="BV41" s="143">
        <f t="shared" si="4"/>
        <v>0</v>
      </c>
      <c r="BW41" s="132"/>
      <c r="BX41" s="146">
        <f t="shared" si="5"/>
        <v>0</v>
      </c>
      <c r="BY41" s="132"/>
      <c r="BZ41" s="146">
        <f t="shared" si="6"/>
        <v>0</v>
      </c>
      <c r="CA41" s="132"/>
      <c r="CB41" s="146">
        <f t="shared" si="7"/>
        <v>0</v>
      </c>
      <c r="CC41" s="132"/>
      <c r="CD41" s="143">
        <f t="shared" si="8"/>
        <v>0</v>
      </c>
      <c r="CE41" s="132"/>
      <c r="CF41" s="143">
        <f t="shared" si="9"/>
        <v>0</v>
      </c>
      <c r="CG41" s="132"/>
      <c r="CH41" s="143">
        <f t="shared" si="10"/>
        <v>0</v>
      </c>
      <c r="CI41" s="132">
        <f t="shared" si="11"/>
        <v>0</v>
      </c>
      <c r="CJ41" s="143">
        <f t="shared" si="11"/>
        <v>0</v>
      </c>
    </row>
    <row r="42" spans="1:88" x14ac:dyDescent="0.3">
      <c r="A42" s="27"/>
      <c r="B42" s="27"/>
      <c r="C42" s="27"/>
      <c r="D42" s="27"/>
      <c r="E42" s="27"/>
      <c r="F42" s="27"/>
      <c r="G42" s="79"/>
      <c r="Q42" s="117" t="s">
        <v>411</v>
      </c>
      <c r="R42" s="117" t="s">
        <v>412</v>
      </c>
      <c r="S42" s="118" t="s">
        <v>413</v>
      </c>
      <c r="T42" s="141" t="str">
        <f t="shared" si="12"/>
        <v xml:space="preserve"> </v>
      </c>
      <c r="X42" s="119" t="s">
        <v>414</v>
      </c>
      <c r="Y42" s="119"/>
      <c r="AE42" s="27"/>
      <c r="AH42" s="99"/>
      <c r="BB42" s="126"/>
      <c r="BD42" s="97"/>
      <c r="BE42" s="108"/>
      <c r="BF42" s="108"/>
      <c r="BG42" s="97"/>
      <c r="BH42" s="97"/>
      <c r="BI42" s="97"/>
      <c r="BJ42" s="97"/>
      <c r="BK42" s="110"/>
      <c r="BL42" s="97"/>
      <c r="BM42" s="97"/>
      <c r="BN42" s="97"/>
      <c r="BO42" s="142"/>
      <c r="BP42" s="143">
        <f t="shared" si="1"/>
        <v>0</v>
      </c>
      <c r="BQ42" s="142"/>
      <c r="BR42" s="143">
        <f t="shared" si="2"/>
        <v>0</v>
      </c>
      <c r="BS42" s="132"/>
      <c r="BT42" s="146">
        <f t="shared" si="3"/>
        <v>0</v>
      </c>
      <c r="BU42" s="132"/>
      <c r="BV42" s="143">
        <f t="shared" si="4"/>
        <v>0</v>
      </c>
      <c r="BW42" s="132"/>
      <c r="BX42" s="146">
        <f t="shared" si="5"/>
        <v>0</v>
      </c>
      <c r="BY42" s="132"/>
      <c r="BZ42" s="146">
        <f t="shared" si="6"/>
        <v>0</v>
      </c>
      <c r="CA42" s="132"/>
      <c r="CB42" s="146">
        <f t="shared" si="7"/>
        <v>0</v>
      </c>
      <c r="CC42" s="132"/>
      <c r="CD42" s="143">
        <f t="shared" si="8"/>
        <v>0</v>
      </c>
      <c r="CE42" s="132"/>
      <c r="CF42" s="143">
        <f t="shared" si="9"/>
        <v>0</v>
      </c>
      <c r="CG42" s="132"/>
      <c r="CH42" s="143">
        <f t="shared" si="10"/>
        <v>0</v>
      </c>
      <c r="CI42" s="132">
        <f t="shared" si="11"/>
        <v>0</v>
      </c>
      <c r="CJ42" s="143">
        <f t="shared" si="11"/>
        <v>0</v>
      </c>
    </row>
    <row r="43" spans="1:88" x14ac:dyDescent="0.3">
      <c r="A43" s="27"/>
      <c r="B43" s="27"/>
      <c r="C43" s="27"/>
      <c r="D43" s="27"/>
      <c r="E43" s="27"/>
      <c r="F43" s="27"/>
      <c r="G43" s="79"/>
      <c r="Q43" s="117" t="s">
        <v>415</v>
      </c>
      <c r="R43" s="117" t="s">
        <v>416</v>
      </c>
      <c r="S43" s="118" t="s">
        <v>336</v>
      </c>
      <c r="T43" s="141" t="str">
        <f t="shared" si="12"/>
        <v xml:space="preserve"> </v>
      </c>
      <c r="X43" s="119" t="s">
        <v>417</v>
      </c>
      <c r="Y43" s="127"/>
      <c r="AE43" s="27"/>
      <c r="AH43" s="99"/>
      <c r="BB43" s="126"/>
      <c r="BD43" s="97"/>
      <c r="BE43" s="108"/>
      <c r="BF43" s="108"/>
      <c r="BG43" s="97"/>
      <c r="BH43" s="97"/>
      <c r="BI43" s="97"/>
      <c r="BJ43" s="97"/>
      <c r="BK43" s="110"/>
      <c r="BL43" s="97"/>
      <c r="BM43" s="97"/>
      <c r="BN43" s="97"/>
      <c r="BO43" s="142"/>
      <c r="BP43" s="143">
        <f t="shared" si="1"/>
        <v>0</v>
      </c>
      <c r="BQ43" s="142"/>
      <c r="BR43" s="143">
        <f t="shared" si="2"/>
        <v>0</v>
      </c>
      <c r="BS43" s="132"/>
      <c r="BT43" s="146">
        <f t="shared" si="3"/>
        <v>0</v>
      </c>
      <c r="BU43" s="132"/>
      <c r="BV43" s="143">
        <f t="shared" si="4"/>
        <v>0</v>
      </c>
      <c r="BW43" s="132"/>
      <c r="BX43" s="146">
        <f t="shared" si="5"/>
        <v>0</v>
      </c>
      <c r="BY43" s="132"/>
      <c r="BZ43" s="146">
        <f t="shared" si="6"/>
        <v>0</v>
      </c>
      <c r="CA43" s="132"/>
      <c r="CB43" s="146">
        <f t="shared" si="7"/>
        <v>0</v>
      </c>
      <c r="CC43" s="132"/>
      <c r="CD43" s="143">
        <f t="shared" si="8"/>
        <v>0</v>
      </c>
      <c r="CE43" s="132"/>
      <c r="CF43" s="143">
        <f t="shared" si="9"/>
        <v>0</v>
      </c>
      <c r="CG43" s="132"/>
      <c r="CH43" s="143">
        <f t="shared" si="10"/>
        <v>0</v>
      </c>
      <c r="CI43" s="132">
        <f t="shared" si="11"/>
        <v>0</v>
      </c>
      <c r="CJ43" s="143">
        <f t="shared" si="11"/>
        <v>0</v>
      </c>
    </row>
    <row r="44" spans="1:88" x14ac:dyDescent="0.3">
      <c r="A44" s="27"/>
      <c r="B44" s="27"/>
      <c r="C44" s="27"/>
      <c r="D44" s="27"/>
      <c r="E44" s="27"/>
      <c r="F44" s="27"/>
      <c r="G44" s="79"/>
      <c r="Q44" s="117" t="s">
        <v>418</v>
      </c>
      <c r="R44" s="117" t="s">
        <v>419</v>
      </c>
      <c r="S44" s="118" t="s">
        <v>420</v>
      </c>
      <c r="T44" s="141" t="str">
        <f t="shared" si="12"/>
        <v xml:space="preserve"> </v>
      </c>
      <c r="X44" s="119" t="s">
        <v>421</v>
      </c>
      <c r="Y44" s="119"/>
      <c r="AE44" s="27"/>
      <c r="AH44" s="99"/>
      <c r="BB44" s="126"/>
      <c r="BD44" s="97"/>
      <c r="BE44" s="108"/>
      <c r="BF44" s="108"/>
      <c r="BG44" s="97"/>
      <c r="BH44" s="97"/>
      <c r="BI44" s="97"/>
      <c r="BJ44" s="97"/>
      <c r="BK44" s="110"/>
      <c r="BL44" s="97"/>
      <c r="BM44" s="97"/>
      <c r="BN44" s="97"/>
      <c r="BO44" s="142"/>
      <c r="BP44" s="143">
        <f t="shared" si="1"/>
        <v>0</v>
      </c>
      <c r="BQ44" s="142"/>
      <c r="BR44" s="143">
        <f t="shared" si="2"/>
        <v>0</v>
      </c>
      <c r="BS44" s="132"/>
      <c r="BT44" s="146">
        <f t="shared" si="3"/>
        <v>0</v>
      </c>
      <c r="BU44" s="132"/>
      <c r="BV44" s="143">
        <f t="shared" si="4"/>
        <v>0</v>
      </c>
      <c r="BW44" s="132"/>
      <c r="BX44" s="146">
        <f t="shared" si="5"/>
        <v>0</v>
      </c>
      <c r="BY44" s="132"/>
      <c r="BZ44" s="146">
        <f t="shared" si="6"/>
        <v>0</v>
      </c>
      <c r="CA44" s="132"/>
      <c r="CB44" s="146">
        <f t="shared" si="7"/>
        <v>0</v>
      </c>
      <c r="CC44" s="132"/>
      <c r="CD44" s="143">
        <f t="shared" si="8"/>
        <v>0</v>
      </c>
      <c r="CE44" s="132"/>
      <c r="CF44" s="143">
        <f t="shared" si="9"/>
        <v>0</v>
      </c>
      <c r="CG44" s="132"/>
      <c r="CH44" s="143">
        <f t="shared" si="10"/>
        <v>0</v>
      </c>
      <c r="CI44" s="132">
        <f t="shared" si="11"/>
        <v>0</v>
      </c>
      <c r="CJ44" s="143">
        <f t="shared" si="11"/>
        <v>0</v>
      </c>
    </row>
    <row r="45" spans="1:88" x14ac:dyDescent="0.3">
      <c r="A45" s="27"/>
      <c r="B45" s="27"/>
      <c r="C45" s="27"/>
      <c r="D45" s="27"/>
      <c r="E45" s="27"/>
      <c r="F45" s="27"/>
      <c r="G45" s="79"/>
      <c r="Q45" s="117" t="s">
        <v>422</v>
      </c>
      <c r="R45" s="117" t="s">
        <v>423</v>
      </c>
      <c r="S45" s="118" t="s">
        <v>424</v>
      </c>
      <c r="T45" s="141" t="str">
        <f t="shared" si="12"/>
        <v xml:space="preserve"> </v>
      </c>
      <c r="X45" s="119" t="s">
        <v>425</v>
      </c>
      <c r="Y45" s="119"/>
      <c r="AE45" s="27"/>
      <c r="AH45" s="99"/>
      <c r="BB45" s="126"/>
      <c r="BD45" s="97"/>
      <c r="BE45" s="108"/>
      <c r="BF45" s="108"/>
      <c r="BG45" s="97"/>
      <c r="BH45" s="97"/>
      <c r="BI45" s="97"/>
      <c r="BJ45" s="97"/>
      <c r="BK45" s="110"/>
      <c r="BL45" s="97"/>
      <c r="BM45" s="97"/>
      <c r="BN45" s="97"/>
      <c r="BO45" s="142"/>
      <c r="BP45" s="143">
        <f t="shared" si="1"/>
        <v>0</v>
      </c>
      <c r="BQ45" s="142"/>
      <c r="BR45" s="143">
        <f t="shared" si="2"/>
        <v>0</v>
      </c>
      <c r="BS45" s="132"/>
      <c r="BT45" s="146">
        <f t="shared" si="3"/>
        <v>0</v>
      </c>
      <c r="BU45" s="132"/>
      <c r="BV45" s="143">
        <f t="shared" si="4"/>
        <v>0</v>
      </c>
      <c r="BW45" s="132"/>
      <c r="BX45" s="146">
        <f t="shared" si="5"/>
        <v>0</v>
      </c>
      <c r="BY45" s="132"/>
      <c r="BZ45" s="146">
        <f t="shared" si="6"/>
        <v>0</v>
      </c>
      <c r="CA45" s="132"/>
      <c r="CB45" s="146">
        <f t="shared" si="7"/>
        <v>0</v>
      </c>
      <c r="CC45" s="132"/>
      <c r="CD45" s="143">
        <f t="shared" si="8"/>
        <v>0</v>
      </c>
      <c r="CE45" s="132"/>
      <c r="CF45" s="143">
        <f t="shared" si="9"/>
        <v>0</v>
      </c>
      <c r="CG45" s="132"/>
      <c r="CH45" s="143">
        <f t="shared" si="10"/>
        <v>0</v>
      </c>
      <c r="CI45" s="132">
        <f t="shared" si="11"/>
        <v>0</v>
      </c>
      <c r="CJ45" s="143">
        <f t="shared" si="11"/>
        <v>0</v>
      </c>
    </row>
    <row r="46" spans="1:88" x14ac:dyDescent="0.3">
      <c r="A46" s="27"/>
      <c r="B46" s="27"/>
      <c r="C46" s="27"/>
      <c r="D46" s="27"/>
      <c r="E46" s="27"/>
      <c r="F46" s="27"/>
      <c r="G46" s="79"/>
      <c r="Q46" s="117" t="s">
        <v>426</v>
      </c>
      <c r="R46" s="117" t="s">
        <v>427</v>
      </c>
      <c r="S46" s="118" t="s">
        <v>428</v>
      </c>
      <c r="T46" s="141" t="str">
        <f t="shared" si="12"/>
        <v xml:space="preserve"> </v>
      </c>
      <c r="X46" s="119" t="s">
        <v>429</v>
      </c>
      <c r="Y46" s="128"/>
      <c r="AE46" s="27"/>
      <c r="AH46" s="99"/>
      <c r="BB46" s="126"/>
      <c r="BD46" s="97"/>
      <c r="BE46" s="108"/>
      <c r="BF46" s="108"/>
      <c r="BG46" s="97"/>
      <c r="BH46" s="97"/>
      <c r="BI46" s="97"/>
      <c r="BJ46" s="97"/>
      <c r="BK46" s="110"/>
      <c r="BL46" s="97"/>
      <c r="BM46" s="97"/>
      <c r="BN46" s="97"/>
      <c r="BO46" s="142"/>
      <c r="BP46" s="143">
        <f t="shared" si="1"/>
        <v>0</v>
      </c>
      <c r="BQ46" s="142"/>
      <c r="BR46" s="143">
        <f t="shared" si="2"/>
        <v>0</v>
      </c>
      <c r="BS46" s="132"/>
      <c r="BT46" s="146">
        <f t="shared" si="3"/>
        <v>0</v>
      </c>
      <c r="BU46" s="132"/>
      <c r="BV46" s="143">
        <f t="shared" si="4"/>
        <v>0</v>
      </c>
      <c r="BW46" s="132"/>
      <c r="BX46" s="146">
        <f t="shared" si="5"/>
        <v>0</v>
      </c>
      <c r="BY46" s="132"/>
      <c r="BZ46" s="146">
        <f t="shared" si="6"/>
        <v>0</v>
      </c>
      <c r="CA46" s="132"/>
      <c r="CB46" s="146">
        <f t="shared" si="7"/>
        <v>0</v>
      </c>
      <c r="CC46" s="132"/>
      <c r="CD46" s="143">
        <f t="shared" si="8"/>
        <v>0</v>
      </c>
      <c r="CE46" s="132"/>
      <c r="CF46" s="143">
        <f t="shared" si="9"/>
        <v>0</v>
      </c>
      <c r="CG46" s="132"/>
      <c r="CH46" s="143">
        <f t="shared" si="10"/>
        <v>0</v>
      </c>
      <c r="CI46" s="132">
        <f t="shared" si="11"/>
        <v>0</v>
      </c>
      <c r="CJ46" s="143">
        <f t="shared" si="11"/>
        <v>0</v>
      </c>
    </row>
    <row r="47" spans="1:88" ht="27.6" x14ac:dyDescent="0.3">
      <c r="A47" s="27"/>
      <c r="B47" s="27"/>
      <c r="C47" s="27"/>
      <c r="D47" s="27"/>
      <c r="E47" s="27"/>
      <c r="F47" s="27"/>
      <c r="G47" s="79"/>
      <c r="Q47" s="117" t="s">
        <v>430</v>
      </c>
      <c r="R47" s="117" t="s">
        <v>431</v>
      </c>
      <c r="S47" s="118" t="s">
        <v>432</v>
      </c>
      <c r="T47" s="141" t="str">
        <f t="shared" si="12"/>
        <v xml:space="preserve"> </v>
      </c>
      <c r="X47" s="119" t="s">
        <v>433</v>
      </c>
      <c r="Y47" s="124"/>
      <c r="AE47" s="27"/>
      <c r="AH47" s="99"/>
      <c r="BB47" s="126"/>
      <c r="BD47" s="97"/>
      <c r="BE47" s="108"/>
      <c r="BF47" s="108"/>
      <c r="BG47" s="97"/>
      <c r="BH47" s="97"/>
      <c r="BI47" s="97"/>
      <c r="BJ47" s="97"/>
      <c r="BK47" s="110"/>
      <c r="BL47" s="97"/>
      <c r="BM47" s="97"/>
      <c r="BN47" s="97"/>
      <c r="BO47" s="142"/>
      <c r="BP47" s="143">
        <f t="shared" si="1"/>
        <v>0</v>
      </c>
      <c r="BQ47" s="142"/>
      <c r="BR47" s="143">
        <f t="shared" si="2"/>
        <v>0</v>
      </c>
      <c r="BS47" s="132"/>
      <c r="BT47" s="146">
        <f t="shared" si="3"/>
        <v>0</v>
      </c>
      <c r="BU47" s="132"/>
      <c r="BV47" s="143">
        <f t="shared" si="4"/>
        <v>0</v>
      </c>
      <c r="BW47" s="132"/>
      <c r="BX47" s="146">
        <f t="shared" si="5"/>
        <v>0</v>
      </c>
      <c r="BY47" s="132"/>
      <c r="BZ47" s="146">
        <f t="shared" si="6"/>
        <v>0</v>
      </c>
      <c r="CA47" s="132"/>
      <c r="CB47" s="146">
        <f t="shared" si="7"/>
        <v>0</v>
      </c>
      <c r="CC47" s="132"/>
      <c r="CD47" s="143">
        <f t="shared" si="8"/>
        <v>0</v>
      </c>
      <c r="CE47" s="132"/>
      <c r="CF47" s="143">
        <f t="shared" si="9"/>
        <v>0</v>
      </c>
      <c r="CG47" s="132"/>
      <c r="CH47" s="143">
        <f t="shared" si="10"/>
        <v>0</v>
      </c>
      <c r="CI47" s="132">
        <f t="shared" si="11"/>
        <v>0</v>
      </c>
      <c r="CJ47" s="143">
        <f t="shared" si="11"/>
        <v>0</v>
      </c>
    </row>
    <row r="48" spans="1:88" ht="27.6" x14ac:dyDescent="0.3">
      <c r="A48" s="27"/>
      <c r="B48" s="27"/>
      <c r="C48" s="27"/>
      <c r="D48" s="27"/>
      <c r="E48" s="27"/>
      <c r="F48" s="27"/>
      <c r="G48" s="79"/>
      <c r="Q48" s="117" t="s">
        <v>434</v>
      </c>
      <c r="R48" s="117" t="s">
        <v>435</v>
      </c>
      <c r="S48" s="118" t="s">
        <v>436</v>
      </c>
      <c r="T48" s="141" t="str">
        <f t="shared" si="12"/>
        <v xml:space="preserve"> </v>
      </c>
      <c r="X48" s="119" t="s">
        <v>437</v>
      </c>
      <c r="Y48" s="124"/>
      <c r="AE48" s="27"/>
      <c r="AH48" s="99"/>
      <c r="BB48" s="126"/>
      <c r="BD48" s="97"/>
      <c r="BE48" s="108"/>
      <c r="BF48" s="108"/>
      <c r="BG48" s="97"/>
      <c r="BH48" s="97"/>
      <c r="BI48" s="97"/>
      <c r="BJ48" s="97"/>
      <c r="BK48" s="110"/>
      <c r="BL48" s="97"/>
      <c r="BM48" s="97"/>
      <c r="BN48" s="97"/>
      <c r="BO48" s="142"/>
      <c r="BP48" s="143">
        <f t="shared" si="1"/>
        <v>0</v>
      </c>
      <c r="BQ48" s="142"/>
      <c r="BR48" s="143">
        <f t="shared" si="2"/>
        <v>0</v>
      </c>
      <c r="BS48" s="132"/>
      <c r="BT48" s="146">
        <f t="shared" si="3"/>
        <v>0</v>
      </c>
      <c r="BU48" s="132"/>
      <c r="BV48" s="143">
        <f t="shared" si="4"/>
        <v>0</v>
      </c>
      <c r="BW48" s="132"/>
      <c r="BX48" s="146">
        <f t="shared" si="5"/>
        <v>0</v>
      </c>
      <c r="BY48" s="132"/>
      <c r="BZ48" s="146">
        <f t="shared" si="6"/>
        <v>0</v>
      </c>
      <c r="CA48" s="132"/>
      <c r="CB48" s="146">
        <f t="shared" si="7"/>
        <v>0</v>
      </c>
      <c r="CC48" s="132"/>
      <c r="CD48" s="143">
        <f t="shared" si="8"/>
        <v>0</v>
      </c>
      <c r="CE48" s="132"/>
      <c r="CF48" s="143">
        <f t="shared" si="9"/>
        <v>0</v>
      </c>
      <c r="CG48" s="132"/>
      <c r="CH48" s="143">
        <f t="shared" si="10"/>
        <v>0</v>
      </c>
      <c r="CI48" s="132">
        <f t="shared" si="11"/>
        <v>0</v>
      </c>
      <c r="CJ48" s="143">
        <f t="shared" si="11"/>
        <v>0</v>
      </c>
    </row>
    <row r="49" spans="1:88" x14ac:dyDescent="0.3">
      <c r="A49" s="27"/>
      <c r="B49" s="27"/>
      <c r="C49" s="27"/>
      <c r="D49" s="27"/>
      <c r="E49" s="27"/>
      <c r="F49" s="27"/>
      <c r="G49" s="79"/>
      <c r="Q49" s="117" t="s">
        <v>438</v>
      </c>
      <c r="R49" s="117" t="s">
        <v>439</v>
      </c>
      <c r="S49" s="122" t="s">
        <v>440</v>
      </c>
      <c r="T49" s="141" t="str">
        <f t="shared" si="12"/>
        <v xml:space="preserve"> </v>
      </c>
      <c r="X49" s="119" t="s">
        <v>441</v>
      </c>
      <c r="Y49" s="124"/>
      <c r="AE49" s="27"/>
      <c r="AH49" s="99"/>
      <c r="BB49" s="126"/>
      <c r="BD49" s="97"/>
      <c r="BE49" s="108"/>
      <c r="BF49" s="108"/>
      <c r="BG49" s="97"/>
      <c r="BH49" s="97"/>
      <c r="BI49" s="97"/>
      <c r="BJ49" s="97"/>
      <c r="BK49" s="110"/>
      <c r="BL49" s="97"/>
      <c r="BM49" s="97"/>
      <c r="BN49" s="97"/>
      <c r="BO49" s="142"/>
      <c r="BP49" s="143">
        <f t="shared" si="1"/>
        <v>0</v>
      </c>
      <c r="BQ49" s="142"/>
      <c r="BR49" s="143">
        <f t="shared" si="2"/>
        <v>0</v>
      </c>
      <c r="BS49" s="132"/>
      <c r="BT49" s="146">
        <f t="shared" si="3"/>
        <v>0</v>
      </c>
      <c r="BU49" s="132"/>
      <c r="BV49" s="143">
        <f t="shared" si="4"/>
        <v>0</v>
      </c>
      <c r="BW49" s="132"/>
      <c r="BX49" s="146">
        <f t="shared" si="5"/>
        <v>0</v>
      </c>
      <c r="BY49" s="132"/>
      <c r="BZ49" s="146">
        <f t="shared" si="6"/>
        <v>0</v>
      </c>
      <c r="CA49" s="132"/>
      <c r="CB49" s="146">
        <f t="shared" si="7"/>
        <v>0</v>
      </c>
      <c r="CC49" s="132"/>
      <c r="CD49" s="143">
        <f t="shared" si="8"/>
        <v>0</v>
      </c>
      <c r="CE49" s="132"/>
      <c r="CF49" s="143">
        <f t="shared" si="9"/>
        <v>0</v>
      </c>
      <c r="CG49" s="132"/>
      <c r="CH49" s="143">
        <f t="shared" si="10"/>
        <v>0</v>
      </c>
      <c r="CI49" s="132">
        <f t="shared" si="11"/>
        <v>0</v>
      </c>
      <c r="CJ49" s="143">
        <f t="shared" si="11"/>
        <v>0</v>
      </c>
    </row>
    <row r="50" spans="1:88" ht="27.6" x14ac:dyDescent="0.3">
      <c r="A50" s="27"/>
      <c r="B50" s="27"/>
      <c r="C50" s="27"/>
      <c r="D50" s="27"/>
      <c r="E50" s="27"/>
      <c r="F50" s="27"/>
      <c r="G50" s="79"/>
      <c r="Q50" s="117" t="s">
        <v>442</v>
      </c>
      <c r="R50" s="117" t="s">
        <v>443</v>
      </c>
      <c r="S50" s="122" t="s">
        <v>444</v>
      </c>
      <c r="T50" s="141" t="str">
        <f t="shared" si="12"/>
        <v xml:space="preserve"> </v>
      </c>
      <c r="X50" s="119" t="s">
        <v>445</v>
      </c>
      <c r="Y50" s="124"/>
      <c r="AE50" s="27"/>
      <c r="AH50" s="99"/>
      <c r="BB50" s="126"/>
      <c r="BD50" s="97"/>
      <c r="BE50" s="108"/>
      <c r="BF50" s="108"/>
      <c r="BG50" s="97"/>
      <c r="BH50" s="97"/>
      <c r="BI50" s="97"/>
      <c r="BJ50" s="97"/>
      <c r="BK50" s="110"/>
      <c r="BL50" s="97"/>
      <c r="BM50" s="97"/>
      <c r="BN50" s="97"/>
      <c r="BO50" s="147"/>
      <c r="BP50" s="143">
        <f t="shared" si="1"/>
        <v>0</v>
      </c>
      <c r="BQ50" s="147"/>
      <c r="BR50" s="143">
        <f t="shared" si="2"/>
        <v>0</v>
      </c>
      <c r="BS50" s="132"/>
      <c r="BT50" s="146">
        <f t="shared" si="3"/>
        <v>0</v>
      </c>
      <c r="BU50" s="66"/>
      <c r="BV50" s="143">
        <f t="shared" si="4"/>
        <v>0</v>
      </c>
      <c r="BW50" s="66"/>
      <c r="BX50" s="146">
        <f t="shared" si="5"/>
        <v>0</v>
      </c>
      <c r="BY50" s="66"/>
      <c r="BZ50" s="146">
        <f t="shared" si="6"/>
        <v>0</v>
      </c>
      <c r="CA50" s="66"/>
      <c r="CB50" s="146">
        <f t="shared" si="7"/>
        <v>0</v>
      </c>
      <c r="CC50" s="66"/>
      <c r="CD50" s="143">
        <f t="shared" si="8"/>
        <v>0</v>
      </c>
      <c r="CE50" s="66"/>
      <c r="CF50" s="143">
        <f t="shared" si="9"/>
        <v>0</v>
      </c>
      <c r="CG50" s="132"/>
      <c r="CH50" s="143">
        <f t="shared" si="10"/>
        <v>0</v>
      </c>
      <c r="CI50" s="132">
        <f t="shared" si="11"/>
        <v>0</v>
      </c>
      <c r="CJ50" s="143">
        <f t="shared" si="11"/>
        <v>0</v>
      </c>
    </row>
    <row r="51" spans="1:88" x14ac:dyDescent="0.3">
      <c r="A51" s="27"/>
      <c r="B51" s="27"/>
      <c r="C51" s="27"/>
      <c r="D51" s="27"/>
      <c r="E51" s="27"/>
      <c r="F51" s="27"/>
      <c r="G51" s="79"/>
      <c r="Q51" s="117" t="s">
        <v>446</v>
      </c>
      <c r="R51" s="117" t="s">
        <v>447</v>
      </c>
      <c r="S51" s="122" t="s">
        <v>448</v>
      </c>
      <c r="T51" s="141" t="str">
        <f t="shared" si="12"/>
        <v xml:space="preserve"> </v>
      </c>
      <c r="X51" s="119" t="s">
        <v>449</v>
      </c>
      <c r="Y51" s="124"/>
      <c r="AE51" s="27"/>
      <c r="AH51" s="99"/>
      <c r="BB51" s="126"/>
      <c r="BD51" s="97"/>
      <c r="BE51" s="108"/>
      <c r="BF51" s="108"/>
      <c r="BG51" s="97"/>
      <c r="BH51" s="97"/>
      <c r="BI51" s="97"/>
      <c r="BJ51" s="97"/>
      <c r="BK51" s="110"/>
      <c r="BL51" s="97"/>
      <c r="BM51" s="97"/>
      <c r="BN51" s="97"/>
      <c r="BO51" s="142"/>
      <c r="BP51" s="143">
        <f t="shared" si="1"/>
        <v>0</v>
      </c>
      <c r="BQ51" s="142"/>
      <c r="BR51" s="143">
        <f t="shared" si="2"/>
        <v>0</v>
      </c>
      <c r="BS51" s="132"/>
      <c r="BT51" s="146">
        <f t="shared" si="3"/>
        <v>0</v>
      </c>
      <c r="BU51" s="132"/>
      <c r="BV51" s="143">
        <f t="shared" si="4"/>
        <v>0</v>
      </c>
      <c r="BW51" s="132"/>
      <c r="BX51" s="146">
        <f t="shared" si="5"/>
        <v>0</v>
      </c>
      <c r="BY51" s="132"/>
      <c r="BZ51" s="146">
        <f t="shared" si="6"/>
        <v>0</v>
      </c>
      <c r="CA51" s="132"/>
      <c r="CB51" s="146">
        <f t="shared" si="7"/>
        <v>0</v>
      </c>
      <c r="CC51" s="132"/>
      <c r="CD51" s="143">
        <f t="shared" si="8"/>
        <v>0</v>
      </c>
      <c r="CE51" s="132"/>
      <c r="CF51" s="143">
        <f t="shared" si="9"/>
        <v>0</v>
      </c>
      <c r="CG51" s="132"/>
      <c r="CH51" s="143">
        <f t="shared" si="10"/>
        <v>0</v>
      </c>
      <c r="CI51" s="132">
        <f t="shared" si="11"/>
        <v>0</v>
      </c>
      <c r="CJ51" s="143">
        <f t="shared" si="11"/>
        <v>0</v>
      </c>
    </row>
    <row r="52" spans="1:88" x14ac:dyDescent="0.3">
      <c r="A52" s="27"/>
      <c r="B52" s="27"/>
      <c r="C52" s="27"/>
      <c r="D52" s="27"/>
      <c r="E52" s="27"/>
      <c r="F52" s="27"/>
      <c r="G52" s="79"/>
      <c r="Q52" s="117" t="s">
        <v>450</v>
      </c>
      <c r="R52" s="117" t="s">
        <v>451</v>
      </c>
      <c r="S52" s="113"/>
      <c r="T52" s="141" t="str">
        <f t="shared" si="12"/>
        <v xml:space="preserve"> </v>
      </c>
      <c r="X52" s="119" t="s">
        <v>452</v>
      </c>
      <c r="Y52" s="124"/>
      <c r="AE52" s="27"/>
      <c r="AH52" s="99"/>
      <c r="BB52" s="126"/>
      <c r="BD52" s="97"/>
      <c r="BE52" s="108"/>
      <c r="BF52" s="108"/>
      <c r="BG52" s="97"/>
      <c r="BH52" s="97"/>
      <c r="BI52" s="97"/>
      <c r="BJ52" s="97"/>
      <c r="BK52" s="110"/>
      <c r="BL52" s="97"/>
      <c r="BM52" s="97"/>
      <c r="BN52" s="97"/>
      <c r="BO52" s="142"/>
      <c r="BP52" s="143">
        <f t="shared" si="1"/>
        <v>0</v>
      </c>
      <c r="BQ52" s="142"/>
      <c r="BR52" s="143">
        <f t="shared" si="2"/>
        <v>0</v>
      </c>
      <c r="BS52" s="132"/>
      <c r="BT52" s="146">
        <f t="shared" si="3"/>
        <v>0</v>
      </c>
      <c r="BU52" s="132"/>
      <c r="BV52" s="143">
        <f t="shared" si="4"/>
        <v>0</v>
      </c>
      <c r="BW52" s="132"/>
      <c r="BX52" s="146">
        <f t="shared" si="5"/>
        <v>0</v>
      </c>
      <c r="BY52" s="132"/>
      <c r="BZ52" s="146">
        <f t="shared" si="6"/>
        <v>0</v>
      </c>
      <c r="CA52" s="132"/>
      <c r="CB52" s="146">
        <f t="shared" si="7"/>
        <v>0</v>
      </c>
      <c r="CC52" s="132"/>
      <c r="CD52" s="143">
        <f t="shared" si="8"/>
        <v>0</v>
      </c>
      <c r="CE52" s="132"/>
      <c r="CF52" s="143">
        <f t="shared" si="9"/>
        <v>0</v>
      </c>
      <c r="CG52" s="132"/>
      <c r="CH52" s="143">
        <f t="shared" si="10"/>
        <v>0</v>
      </c>
      <c r="CI52" s="132">
        <f t="shared" si="11"/>
        <v>0</v>
      </c>
      <c r="CJ52" s="143">
        <f t="shared" si="11"/>
        <v>0</v>
      </c>
    </row>
    <row r="53" spans="1:88" x14ac:dyDescent="0.3">
      <c r="A53" s="27"/>
      <c r="B53" s="27"/>
      <c r="C53" s="27"/>
      <c r="D53" s="27"/>
      <c r="E53" s="27"/>
      <c r="F53" s="27"/>
      <c r="G53" s="79"/>
      <c r="Q53" s="117" t="s">
        <v>453</v>
      </c>
      <c r="R53" s="117" t="s">
        <v>454</v>
      </c>
      <c r="S53" s="113"/>
      <c r="T53" s="141" t="str">
        <f t="shared" si="12"/>
        <v xml:space="preserve"> </v>
      </c>
      <c r="X53" s="119" t="s">
        <v>455</v>
      </c>
      <c r="Y53" s="124"/>
      <c r="AE53" s="27"/>
      <c r="AH53" s="99"/>
      <c r="BB53" s="126"/>
      <c r="BD53" s="97"/>
      <c r="BE53" s="108"/>
      <c r="BF53" s="108"/>
      <c r="BG53" s="97"/>
      <c r="BH53" s="97"/>
      <c r="BI53" s="97"/>
      <c r="BJ53" s="97"/>
      <c r="BK53" s="110"/>
      <c r="BL53" s="97"/>
      <c r="BM53" s="97"/>
      <c r="BN53" s="97"/>
      <c r="BO53" s="142"/>
      <c r="BP53" s="143">
        <f t="shared" si="1"/>
        <v>0</v>
      </c>
      <c r="BQ53" s="142"/>
      <c r="BR53" s="143">
        <f t="shared" si="2"/>
        <v>0</v>
      </c>
      <c r="BS53" s="132"/>
      <c r="BT53" s="146">
        <f t="shared" si="3"/>
        <v>0</v>
      </c>
      <c r="BU53" s="132"/>
      <c r="BV53" s="143">
        <f t="shared" si="4"/>
        <v>0</v>
      </c>
      <c r="BW53" s="132"/>
      <c r="BX53" s="146">
        <f t="shared" si="5"/>
        <v>0</v>
      </c>
      <c r="BY53" s="132"/>
      <c r="BZ53" s="146">
        <f t="shared" si="6"/>
        <v>0</v>
      </c>
      <c r="CA53" s="132"/>
      <c r="CB53" s="146">
        <f t="shared" si="7"/>
        <v>0</v>
      </c>
      <c r="CC53" s="132"/>
      <c r="CD53" s="143">
        <f t="shared" si="8"/>
        <v>0</v>
      </c>
      <c r="CE53" s="132"/>
      <c r="CF53" s="143">
        <f t="shared" si="9"/>
        <v>0</v>
      </c>
      <c r="CG53" s="132"/>
      <c r="CH53" s="143">
        <f t="shared" si="10"/>
        <v>0</v>
      </c>
      <c r="CI53" s="132">
        <f t="shared" si="11"/>
        <v>0</v>
      </c>
      <c r="CJ53" s="143">
        <f t="shared" si="11"/>
        <v>0</v>
      </c>
    </row>
    <row r="54" spans="1:88" x14ac:dyDescent="0.3">
      <c r="A54" s="27"/>
      <c r="B54" s="27"/>
      <c r="C54" s="27"/>
      <c r="D54" s="27"/>
      <c r="E54" s="27"/>
      <c r="F54" s="27"/>
      <c r="G54" s="79"/>
      <c r="Q54" s="117" t="s">
        <v>456</v>
      </c>
      <c r="R54" s="117" t="s">
        <v>457</v>
      </c>
      <c r="S54" s="113"/>
      <c r="T54" s="141" t="str">
        <f t="shared" si="12"/>
        <v xml:space="preserve"> </v>
      </c>
      <c r="X54" s="119" t="s">
        <v>458</v>
      </c>
      <c r="Y54" s="124"/>
      <c r="AE54" s="27"/>
      <c r="AH54" s="99"/>
      <c r="BB54" s="126"/>
      <c r="BD54" s="97"/>
      <c r="BE54" s="108"/>
      <c r="BF54" s="108"/>
      <c r="BG54" s="97"/>
      <c r="BH54" s="97"/>
      <c r="BI54" s="97"/>
      <c r="BJ54" s="97"/>
      <c r="BK54" s="110"/>
      <c r="BL54" s="97"/>
      <c r="BM54" s="97"/>
      <c r="BN54" s="97"/>
      <c r="BO54" s="142"/>
      <c r="BP54" s="143">
        <f t="shared" si="1"/>
        <v>0</v>
      </c>
      <c r="BQ54" s="142"/>
      <c r="BR54" s="143">
        <f t="shared" si="2"/>
        <v>0</v>
      </c>
      <c r="BS54" s="132"/>
      <c r="BT54" s="146">
        <f t="shared" si="3"/>
        <v>0</v>
      </c>
      <c r="BU54" s="132"/>
      <c r="BV54" s="143">
        <f t="shared" si="4"/>
        <v>0</v>
      </c>
      <c r="BW54" s="132"/>
      <c r="BX54" s="146">
        <f t="shared" si="5"/>
        <v>0</v>
      </c>
      <c r="BY54" s="132"/>
      <c r="BZ54" s="146">
        <f t="shared" si="6"/>
        <v>0</v>
      </c>
      <c r="CA54" s="132"/>
      <c r="CB54" s="146">
        <f t="shared" si="7"/>
        <v>0</v>
      </c>
      <c r="CC54" s="132"/>
      <c r="CD54" s="143">
        <f t="shared" si="8"/>
        <v>0</v>
      </c>
      <c r="CE54" s="132"/>
      <c r="CF54" s="143">
        <f t="shared" si="9"/>
        <v>0</v>
      </c>
      <c r="CG54" s="132"/>
      <c r="CH54" s="143">
        <f t="shared" si="10"/>
        <v>0</v>
      </c>
      <c r="CI54" s="132">
        <f t="shared" si="11"/>
        <v>0</v>
      </c>
      <c r="CJ54" s="143">
        <f t="shared" si="11"/>
        <v>0</v>
      </c>
    </row>
    <row r="55" spans="1:88" x14ac:dyDescent="0.3">
      <c r="A55" s="27"/>
      <c r="B55" s="27"/>
      <c r="C55" s="27"/>
      <c r="D55" s="27"/>
      <c r="E55" s="27"/>
      <c r="F55" s="27"/>
      <c r="G55" s="79"/>
      <c r="Q55" s="117" t="s">
        <v>459</v>
      </c>
      <c r="R55" s="117" t="s">
        <v>460</v>
      </c>
      <c r="T55" s="141" t="str">
        <f t="shared" si="12"/>
        <v xml:space="preserve"> </v>
      </c>
      <c r="X55" s="119" t="s">
        <v>461</v>
      </c>
      <c r="Y55" s="124"/>
      <c r="AE55" s="27"/>
      <c r="AH55" s="99"/>
      <c r="BB55" s="126"/>
      <c r="BD55" s="97"/>
      <c r="BE55" s="108"/>
      <c r="BF55" s="108"/>
      <c r="BG55" s="97"/>
      <c r="BH55" s="97"/>
      <c r="BI55" s="97"/>
      <c r="BJ55" s="97"/>
      <c r="BK55" s="110"/>
      <c r="BL55" s="97"/>
      <c r="BM55" s="97"/>
      <c r="BN55" s="97"/>
      <c r="BO55" s="142"/>
      <c r="BP55" s="143">
        <f t="shared" si="1"/>
        <v>0</v>
      </c>
      <c r="BQ55" s="142"/>
      <c r="BR55" s="143">
        <f t="shared" si="2"/>
        <v>0</v>
      </c>
      <c r="BS55" s="132"/>
      <c r="BT55" s="146">
        <f t="shared" si="3"/>
        <v>0</v>
      </c>
      <c r="BU55" s="132"/>
      <c r="BV55" s="143">
        <f t="shared" si="4"/>
        <v>0</v>
      </c>
      <c r="BW55" s="132"/>
      <c r="BX55" s="146">
        <f t="shared" si="5"/>
        <v>0</v>
      </c>
      <c r="BY55" s="132"/>
      <c r="BZ55" s="146">
        <f t="shared" si="6"/>
        <v>0</v>
      </c>
      <c r="CA55" s="132"/>
      <c r="CB55" s="146">
        <f t="shared" si="7"/>
        <v>0</v>
      </c>
      <c r="CC55" s="132"/>
      <c r="CD55" s="143">
        <f t="shared" si="8"/>
        <v>0</v>
      </c>
      <c r="CE55" s="132"/>
      <c r="CF55" s="143">
        <f t="shared" si="9"/>
        <v>0</v>
      </c>
      <c r="CG55" s="132"/>
      <c r="CH55" s="143">
        <f t="shared" si="10"/>
        <v>0</v>
      </c>
      <c r="CI55" s="132">
        <f t="shared" si="11"/>
        <v>0</v>
      </c>
      <c r="CJ55" s="143">
        <f t="shared" si="11"/>
        <v>0</v>
      </c>
    </row>
    <row r="56" spans="1:88" x14ac:dyDescent="0.3">
      <c r="A56" s="27"/>
      <c r="B56" s="27"/>
      <c r="C56" s="27"/>
      <c r="D56" s="27"/>
      <c r="E56" s="27"/>
      <c r="F56" s="27"/>
      <c r="G56" s="79"/>
      <c r="Q56" s="117" t="s">
        <v>462</v>
      </c>
      <c r="R56" s="117" t="s">
        <v>463</v>
      </c>
      <c r="T56" s="141" t="str">
        <f t="shared" si="12"/>
        <v xml:space="preserve"> </v>
      </c>
      <c r="X56" s="119" t="s">
        <v>464</v>
      </c>
      <c r="Y56" s="124"/>
      <c r="AE56" s="27"/>
      <c r="AH56" s="99"/>
      <c r="BB56" s="126"/>
      <c r="BD56" s="97"/>
      <c r="BE56" s="108"/>
      <c r="BF56" s="108"/>
      <c r="BG56" s="97"/>
      <c r="BH56" s="97"/>
      <c r="BI56" s="97"/>
      <c r="BJ56" s="97"/>
      <c r="BK56" s="110"/>
      <c r="BL56" s="97"/>
      <c r="BM56" s="97"/>
      <c r="BN56" s="97"/>
      <c r="BO56" s="142"/>
      <c r="BP56" s="143">
        <f t="shared" si="1"/>
        <v>0</v>
      </c>
      <c r="BQ56" s="142"/>
      <c r="BR56" s="143">
        <f t="shared" si="2"/>
        <v>0</v>
      </c>
      <c r="BS56" s="132"/>
      <c r="BT56" s="146">
        <f t="shared" si="3"/>
        <v>0</v>
      </c>
      <c r="BU56" s="132"/>
      <c r="BV56" s="143">
        <f t="shared" si="4"/>
        <v>0</v>
      </c>
      <c r="BW56" s="132"/>
      <c r="BX56" s="146">
        <f t="shared" si="5"/>
        <v>0</v>
      </c>
      <c r="BY56" s="132"/>
      <c r="BZ56" s="146">
        <f t="shared" si="6"/>
        <v>0</v>
      </c>
      <c r="CA56" s="132"/>
      <c r="CB56" s="146">
        <f t="shared" si="7"/>
        <v>0</v>
      </c>
      <c r="CC56" s="132"/>
      <c r="CD56" s="143">
        <f t="shared" si="8"/>
        <v>0</v>
      </c>
      <c r="CE56" s="132"/>
      <c r="CF56" s="143">
        <f t="shared" si="9"/>
        <v>0</v>
      </c>
      <c r="CG56" s="132"/>
      <c r="CH56" s="143">
        <f t="shared" si="10"/>
        <v>0</v>
      </c>
      <c r="CI56" s="132">
        <f t="shared" si="11"/>
        <v>0</v>
      </c>
      <c r="CJ56" s="143">
        <f t="shared" si="11"/>
        <v>0</v>
      </c>
    </row>
    <row r="57" spans="1:88" x14ac:dyDescent="0.3">
      <c r="A57" s="27"/>
      <c r="B57" s="27"/>
      <c r="C57" s="27"/>
      <c r="D57" s="27"/>
      <c r="E57" s="27"/>
      <c r="F57" s="27"/>
      <c r="G57" s="79"/>
      <c r="Q57" s="117" t="s">
        <v>465</v>
      </c>
      <c r="R57" s="117" t="s">
        <v>466</v>
      </c>
      <c r="T57" s="141" t="str">
        <f t="shared" si="12"/>
        <v xml:space="preserve"> </v>
      </c>
      <c r="X57" s="119" t="s">
        <v>467</v>
      </c>
      <c r="Y57" s="124"/>
      <c r="AE57" s="27"/>
      <c r="AH57" s="99"/>
      <c r="BB57" s="126"/>
      <c r="BD57" s="97"/>
      <c r="BE57" s="108"/>
      <c r="BF57" s="108"/>
      <c r="BG57" s="97"/>
      <c r="BH57" s="97"/>
      <c r="BI57" s="97"/>
      <c r="BJ57" s="97"/>
      <c r="BK57" s="110"/>
      <c r="BL57" s="97"/>
      <c r="BM57" s="97"/>
      <c r="BN57" s="97"/>
      <c r="BO57" s="142"/>
      <c r="BP57" s="143">
        <f t="shared" si="1"/>
        <v>0</v>
      </c>
      <c r="BQ57" s="142"/>
      <c r="BR57" s="143">
        <f t="shared" si="2"/>
        <v>0</v>
      </c>
      <c r="BS57" s="132"/>
      <c r="BT57" s="146">
        <f t="shared" si="3"/>
        <v>0</v>
      </c>
      <c r="BU57" s="132"/>
      <c r="BV57" s="143">
        <f t="shared" si="4"/>
        <v>0</v>
      </c>
      <c r="BW57" s="132"/>
      <c r="BX57" s="146">
        <f t="shared" si="5"/>
        <v>0</v>
      </c>
      <c r="BY57" s="132"/>
      <c r="BZ57" s="146">
        <f t="shared" si="6"/>
        <v>0</v>
      </c>
      <c r="CA57" s="132"/>
      <c r="CB57" s="146">
        <f t="shared" si="7"/>
        <v>0</v>
      </c>
      <c r="CC57" s="132"/>
      <c r="CD57" s="143">
        <f t="shared" si="8"/>
        <v>0</v>
      </c>
      <c r="CE57" s="132"/>
      <c r="CF57" s="143">
        <f t="shared" si="9"/>
        <v>0</v>
      </c>
      <c r="CG57" s="132"/>
      <c r="CH57" s="143">
        <f t="shared" si="10"/>
        <v>0</v>
      </c>
      <c r="CI57" s="132">
        <f t="shared" si="11"/>
        <v>0</v>
      </c>
      <c r="CJ57" s="143">
        <f t="shared" si="11"/>
        <v>0</v>
      </c>
    </row>
    <row r="58" spans="1:88" x14ac:dyDescent="0.3">
      <c r="A58" s="27"/>
      <c r="B58" s="27"/>
      <c r="C58" s="27"/>
      <c r="D58" s="27"/>
      <c r="E58" s="27"/>
      <c r="F58" s="27"/>
      <c r="G58" s="79"/>
      <c r="Q58" s="117" t="s">
        <v>468</v>
      </c>
      <c r="R58" s="117" t="s">
        <v>469</v>
      </c>
      <c r="T58" s="141" t="str">
        <f t="shared" si="12"/>
        <v xml:space="preserve"> </v>
      </c>
      <c r="X58" s="119" t="s">
        <v>470</v>
      </c>
      <c r="Y58" s="124"/>
      <c r="AE58" s="27"/>
      <c r="AH58" s="99"/>
      <c r="BB58" s="126"/>
      <c r="BD58" s="97"/>
      <c r="BE58" s="108"/>
      <c r="BF58" s="108"/>
      <c r="BG58" s="97"/>
      <c r="BH58" s="97"/>
      <c r="BI58" s="97"/>
      <c r="BJ58" s="97"/>
      <c r="BK58" s="110"/>
      <c r="BL58" s="97"/>
      <c r="BM58" s="97"/>
      <c r="BN58" s="97"/>
      <c r="BO58" s="148"/>
      <c r="BP58" s="143">
        <f t="shared" si="1"/>
        <v>0</v>
      </c>
      <c r="BQ58" s="148"/>
      <c r="BR58" s="143">
        <f t="shared" si="2"/>
        <v>0</v>
      </c>
      <c r="BS58" s="132"/>
      <c r="BT58" s="146">
        <f t="shared" si="3"/>
        <v>0</v>
      </c>
      <c r="BU58" s="149"/>
      <c r="BV58" s="143">
        <f t="shared" si="4"/>
        <v>0</v>
      </c>
      <c r="BW58" s="149"/>
      <c r="BX58" s="146">
        <f t="shared" si="5"/>
        <v>0</v>
      </c>
      <c r="BY58" s="149"/>
      <c r="BZ58" s="146">
        <f t="shared" si="6"/>
        <v>0</v>
      </c>
      <c r="CA58" s="149"/>
      <c r="CB58" s="146">
        <f t="shared" si="7"/>
        <v>0</v>
      </c>
      <c r="CC58" s="149"/>
      <c r="CD58" s="143">
        <f t="shared" si="8"/>
        <v>0</v>
      </c>
      <c r="CE58" s="149"/>
      <c r="CF58" s="143">
        <f t="shared" si="9"/>
        <v>0</v>
      </c>
      <c r="CG58" s="132"/>
      <c r="CH58" s="143">
        <f t="shared" si="10"/>
        <v>0</v>
      </c>
      <c r="CI58" s="132">
        <f t="shared" si="11"/>
        <v>0</v>
      </c>
      <c r="CJ58" s="143">
        <f t="shared" si="11"/>
        <v>0</v>
      </c>
    </row>
    <row r="59" spans="1:88" x14ac:dyDescent="0.3">
      <c r="A59" s="27"/>
      <c r="B59" s="27"/>
      <c r="C59" s="27"/>
      <c r="D59" s="27"/>
      <c r="E59" s="27"/>
      <c r="F59" s="27"/>
      <c r="G59" s="79"/>
      <c r="Q59" s="117" t="s">
        <v>471</v>
      </c>
      <c r="R59" s="117" t="s">
        <v>472</v>
      </c>
      <c r="T59" s="141" t="str">
        <f t="shared" si="12"/>
        <v xml:space="preserve"> </v>
      </c>
      <c r="X59" s="119" t="s">
        <v>473</v>
      </c>
      <c r="Y59" s="126"/>
      <c r="AE59" s="27"/>
      <c r="AH59" s="99"/>
      <c r="BB59" s="126"/>
      <c r="BD59" s="97"/>
      <c r="BE59" s="108"/>
      <c r="BF59" s="108"/>
      <c r="BG59" s="97"/>
      <c r="BH59" s="97"/>
      <c r="BI59" s="97"/>
      <c r="BJ59" s="97"/>
      <c r="BK59" s="110"/>
      <c r="BL59" s="97"/>
      <c r="BM59" s="97"/>
      <c r="BN59" s="97"/>
      <c r="BO59" s="142"/>
      <c r="BP59" s="143">
        <f t="shared" si="1"/>
        <v>0</v>
      </c>
      <c r="BQ59" s="142"/>
      <c r="BR59" s="143">
        <f t="shared" si="2"/>
        <v>0</v>
      </c>
      <c r="BS59" s="132"/>
      <c r="BT59" s="146">
        <f t="shared" si="3"/>
        <v>0</v>
      </c>
      <c r="BU59" s="132"/>
      <c r="BV59" s="143">
        <f t="shared" si="4"/>
        <v>0</v>
      </c>
      <c r="BW59" s="132"/>
      <c r="BX59" s="146">
        <f t="shared" si="5"/>
        <v>0</v>
      </c>
      <c r="BY59" s="132"/>
      <c r="BZ59" s="146">
        <f t="shared" si="6"/>
        <v>0</v>
      </c>
      <c r="CA59" s="132"/>
      <c r="CB59" s="146">
        <f t="shared" si="7"/>
        <v>0</v>
      </c>
      <c r="CC59" s="132"/>
      <c r="CD59" s="143">
        <f t="shared" si="8"/>
        <v>0</v>
      </c>
      <c r="CE59" s="132"/>
      <c r="CF59" s="143">
        <f t="shared" si="9"/>
        <v>0</v>
      </c>
      <c r="CG59" s="132"/>
      <c r="CH59" s="143">
        <f t="shared" si="10"/>
        <v>0</v>
      </c>
      <c r="CI59" s="132">
        <f t="shared" si="11"/>
        <v>0</v>
      </c>
      <c r="CJ59" s="143">
        <f t="shared" si="11"/>
        <v>0</v>
      </c>
    </row>
    <row r="60" spans="1:88" x14ac:dyDescent="0.3">
      <c r="A60" s="27"/>
      <c r="B60" s="27"/>
      <c r="C60" s="27"/>
      <c r="D60" s="27"/>
      <c r="E60" s="27"/>
      <c r="F60" s="27"/>
      <c r="G60" s="79"/>
      <c r="Q60" s="117" t="s">
        <v>474</v>
      </c>
      <c r="R60" s="117" t="s">
        <v>475</v>
      </c>
      <c r="T60" s="141" t="str">
        <f t="shared" si="12"/>
        <v xml:space="preserve"> </v>
      </c>
      <c r="X60" s="119" t="s">
        <v>476</v>
      </c>
      <c r="Y60" s="126"/>
      <c r="AE60" s="27"/>
      <c r="AH60" s="99"/>
      <c r="BB60" s="126"/>
      <c r="BD60" s="97"/>
      <c r="BE60" s="108"/>
      <c r="BF60" s="108"/>
      <c r="BG60" s="97"/>
      <c r="BH60" s="97"/>
      <c r="BI60" s="97"/>
      <c r="BJ60" s="97"/>
      <c r="BK60" s="110"/>
      <c r="BL60" s="97"/>
      <c r="BM60" s="97"/>
      <c r="BN60" s="97"/>
      <c r="BO60" s="142"/>
      <c r="BP60" s="143">
        <f t="shared" si="1"/>
        <v>0</v>
      </c>
      <c r="BQ60" s="142"/>
      <c r="BR60" s="143">
        <f t="shared" si="2"/>
        <v>0</v>
      </c>
      <c r="BS60" s="132"/>
      <c r="BT60" s="146">
        <f t="shared" si="3"/>
        <v>0</v>
      </c>
      <c r="BU60" s="132"/>
      <c r="BV60" s="143">
        <f t="shared" si="4"/>
        <v>0</v>
      </c>
      <c r="BW60" s="132"/>
      <c r="BX60" s="146">
        <f t="shared" si="5"/>
        <v>0</v>
      </c>
      <c r="BY60" s="132"/>
      <c r="BZ60" s="146">
        <f t="shared" si="6"/>
        <v>0</v>
      </c>
      <c r="CA60" s="132"/>
      <c r="CB60" s="146">
        <f t="shared" si="7"/>
        <v>0</v>
      </c>
      <c r="CC60" s="132"/>
      <c r="CD60" s="143">
        <f t="shared" si="8"/>
        <v>0</v>
      </c>
      <c r="CE60" s="132"/>
      <c r="CF60" s="143">
        <f t="shared" si="9"/>
        <v>0</v>
      </c>
      <c r="CG60" s="132"/>
      <c r="CH60" s="143">
        <f t="shared" si="10"/>
        <v>0</v>
      </c>
      <c r="CI60" s="132">
        <f t="shared" si="11"/>
        <v>0</v>
      </c>
      <c r="CJ60" s="143">
        <f t="shared" si="11"/>
        <v>0</v>
      </c>
    </row>
    <row r="61" spans="1:88" x14ac:dyDescent="0.3">
      <c r="A61" s="27"/>
      <c r="B61" s="27"/>
      <c r="C61" s="27"/>
      <c r="D61" s="27"/>
      <c r="E61" s="27"/>
      <c r="F61" s="27"/>
      <c r="G61" s="79"/>
      <c r="Q61" s="117" t="s">
        <v>238</v>
      </c>
      <c r="R61" s="117" t="s">
        <v>477</v>
      </c>
      <c r="T61" s="141" t="str">
        <f t="shared" si="12"/>
        <v xml:space="preserve"> </v>
      </c>
      <c r="X61" s="119" t="s">
        <v>478</v>
      </c>
      <c r="Y61" s="27"/>
      <c r="AE61" s="27"/>
      <c r="AH61" s="99"/>
      <c r="BB61" s="126"/>
      <c r="BD61" s="97"/>
      <c r="BE61" s="108"/>
      <c r="BF61" s="108"/>
      <c r="BG61" s="97"/>
      <c r="BH61" s="97"/>
      <c r="BI61" s="97"/>
      <c r="BJ61" s="97"/>
      <c r="BK61" s="110"/>
      <c r="BL61" s="97"/>
      <c r="BM61" s="97"/>
      <c r="BN61" s="97"/>
      <c r="BO61" s="142"/>
      <c r="BP61" s="143">
        <f t="shared" si="1"/>
        <v>0</v>
      </c>
      <c r="BQ61" s="142"/>
      <c r="BR61" s="143">
        <f t="shared" si="2"/>
        <v>0</v>
      </c>
      <c r="BS61" s="132"/>
      <c r="BT61" s="146">
        <f t="shared" si="3"/>
        <v>0</v>
      </c>
      <c r="BU61" s="132"/>
      <c r="BV61" s="143">
        <f t="shared" si="4"/>
        <v>0</v>
      </c>
      <c r="BW61" s="132"/>
      <c r="BX61" s="146">
        <f t="shared" si="5"/>
        <v>0</v>
      </c>
      <c r="BY61" s="132"/>
      <c r="BZ61" s="146">
        <f t="shared" si="6"/>
        <v>0</v>
      </c>
      <c r="CA61" s="132"/>
      <c r="CB61" s="146">
        <f t="shared" si="7"/>
        <v>0</v>
      </c>
      <c r="CC61" s="132"/>
      <c r="CD61" s="143">
        <f t="shared" si="8"/>
        <v>0</v>
      </c>
      <c r="CE61" s="132"/>
      <c r="CF61" s="143">
        <f t="shared" si="9"/>
        <v>0</v>
      </c>
      <c r="CG61" s="132"/>
      <c r="CH61" s="143">
        <f t="shared" si="10"/>
        <v>0</v>
      </c>
      <c r="CI61" s="132">
        <f t="shared" si="11"/>
        <v>0</v>
      </c>
      <c r="CJ61" s="143">
        <f t="shared" si="11"/>
        <v>0</v>
      </c>
    </row>
    <row r="62" spans="1:88" x14ac:dyDescent="0.3">
      <c r="A62" s="27"/>
      <c r="B62" s="27"/>
      <c r="C62" s="27"/>
      <c r="D62" s="27"/>
      <c r="E62" s="27"/>
      <c r="F62" s="27"/>
      <c r="G62" s="79"/>
      <c r="Q62" s="117" t="s">
        <v>479</v>
      </c>
      <c r="R62" s="117" t="s">
        <v>480</v>
      </c>
      <c r="T62" s="141" t="str">
        <f t="shared" si="12"/>
        <v xml:space="preserve"> </v>
      </c>
      <c r="X62" s="119" t="s">
        <v>481</v>
      </c>
      <c r="Y62" s="27"/>
      <c r="AE62" s="27"/>
      <c r="AH62" s="99"/>
      <c r="BB62" s="126"/>
      <c r="BD62" s="97"/>
      <c r="BE62" s="108"/>
      <c r="BF62" s="108"/>
      <c r="BG62" s="97"/>
      <c r="BH62" s="97"/>
      <c r="BI62" s="97"/>
      <c r="BJ62" s="97"/>
      <c r="BK62" s="110"/>
      <c r="BL62" s="97"/>
      <c r="BM62" s="97"/>
      <c r="BN62" s="97"/>
      <c r="BO62" s="142"/>
      <c r="BP62" s="143">
        <f t="shared" si="1"/>
        <v>0</v>
      </c>
      <c r="BQ62" s="142"/>
      <c r="BR62" s="143">
        <f t="shared" si="2"/>
        <v>0</v>
      </c>
      <c r="BS62" s="132"/>
      <c r="BT62" s="146">
        <f t="shared" si="3"/>
        <v>0</v>
      </c>
      <c r="BU62" s="132"/>
      <c r="BV62" s="143">
        <f t="shared" si="4"/>
        <v>0</v>
      </c>
      <c r="BW62" s="132"/>
      <c r="BX62" s="146">
        <f t="shared" si="5"/>
        <v>0</v>
      </c>
      <c r="BY62" s="132"/>
      <c r="BZ62" s="146">
        <f t="shared" si="6"/>
        <v>0</v>
      </c>
      <c r="CA62" s="132"/>
      <c r="CB62" s="146">
        <f t="shared" si="7"/>
        <v>0</v>
      </c>
      <c r="CC62" s="132"/>
      <c r="CD62" s="143">
        <f t="shared" si="8"/>
        <v>0</v>
      </c>
      <c r="CE62" s="132"/>
      <c r="CF62" s="143">
        <f t="shared" si="9"/>
        <v>0</v>
      </c>
      <c r="CG62" s="132"/>
      <c r="CH62" s="143">
        <f t="shared" si="10"/>
        <v>0</v>
      </c>
      <c r="CI62" s="132">
        <f t="shared" si="11"/>
        <v>0</v>
      </c>
      <c r="CJ62" s="143">
        <f t="shared" si="11"/>
        <v>0</v>
      </c>
    </row>
    <row r="63" spans="1:88" x14ac:dyDescent="0.3">
      <c r="A63" s="27"/>
      <c r="B63" s="27"/>
      <c r="C63" s="27"/>
      <c r="D63" s="27"/>
      <c r="E63" s="27"/>
      <c r="F63" s="27"/>
      <c r="G63" s="79"/>
      <c r="Q63" s="117" t="s">
        <v>482</v>
      </c>
      <c r="R63" s="117" t="s">
        <v>483</v>
      </c>
      <c r="T63" s="141" t="str">
        <f t="shared" si="12"/>
        <v xml:space="preserve"> </v>
      </c>
      <c r="X63" s="119" t="s">
        <v>484</v>
      </c>
      <c r="Y63" s="27"/>
      <c r="AE63" s="27"/>
      <c r="AH63" s="99"/>
      <c r="BB63" s="126"/>
      <c r="BD63" s="97"/>
      <c r="BE63" s="108"/>
      <c r="BF63" s="108"/>
      <c r="BG63" s="97"/>
      <c r="BH63" s="97"/>
      <c r="BI63" s="97"/>
      <c r="BJ63" s="97"/>
      <c r="BK63" s="110"/>
      <c r="BL63" s="97"/>
      <c r="BM63" s="97"/>
      <c r="BN63" s="97"/>
      <c r="BO63" s="142"/>
      <c r="BP63" s="143">
        <f t="shared" si="1"/>
        <v>0</v>
      </c>
      <c r="BQ63" s="142"/>
      <c r="BR63" s="143">
        <f t="shared" si="2"/>
        <v>0</v>
      </c>
      <c r="BS63" s="132"/>
      <c r="BT63" s="146">
        <f t="shared" si="3"/>
        <v>0</v>
      </c>
      <c r="BU63" s="132"/>
      <c r="BV63" s="143">
        <f t="shared" si="4"/>
        <v>0</v>
      </c>
      <c r="BW63" s="132"/>
      <c r="BX63" s="146">
        <f t="shared" si="5"/>
        <v>0</v>
      </c>
      <c r="BY63" s="132"/>
      <c r="BZ63" s="146">
        <f t="shared" si="6"/>
        <v>0</v>
      </c>
      <c r="CA63" s="132"/>
      <c r="CB63" s="146">
        <f t="shared" si="7"/>
        <v>0</v>
      </c>
      <c r="CC63" s="132"/>
      <c r="CD63" s="143">
        <f t="shared" si="8"/>
        <v>0</v>
      </c>
      <c r="CE63" s="132"/>
      <c r="CF63" s="143">
        <f t="shared" si="9"/>
        <v>0</v>
      </c>
      <c r="CG63" s="132"/>
      <c r="CH63" s="143">
        <f t="shared" si="10"/>
        <v>0</v>
      </c>
      <c r="CI63" s="132">
        <f t="shared" si="11"/>
        <v>0</v>
      </c>
      <c r="CJ63" s="143">
        <f t="shared" si="11"/>
        <v>0</v>
      </c>
    </row>
    <row r="64" spans="1:88" x14ac:dyDescent="0.3">
      <c r="A64" s="27"/>
      <c r="B64" s="27"/>
      <c r="C64" s="27"/>
      <c r="D64" s="27"/>
      <c r="E64" s="27"/>
      <c r="F64" s="27"/>
      <c r="G64" s="79"/>
      <c r="Q64" s="117" t="s">
        <v>485</v>
      </c>
      <c r="R64" s="117" t="s">
        <v>486</v>
      </c>
      <c r="T64" s="141" t="str">
        <f t="shared" si="12"/>
        <v xml:space="preserve"> </v>
      </c>
      <c r="X64" s="119" t="s">
        <v>487</v>
      </c>
      <c r="Y64" s="27"/>
      <c r="AE64" s="27"/>
      <c r="AH64" s="99"/>
      <c r="BB64" s="126"/>
      <c r="BD64" s="97"/>
      <c r="BE64" s="108"/>
      <c r="BF64" s="108"/>
      <c r="BG64" s="97"/>
      <c r="BH64" s="97"/>
      <c r="BI64" s="97"/>
      <c r="BJ64" s="97"/>
      <c r="BK64" s="110"/>
      <c r="BL64" s="97"/>
      <c r="BM64" s="97"/>
      <c r="BN64" s="97"/>
      <c r="BO64" s="142"/>
      <c r="BP64" s="143">
        <f t="shared" si="1"/>
        <v>0</v>
      </c>
      <c r="BQ64" s="142"/>
      <c r="BR64" s="143">
        <f t="shared" si="2"/>
        <v>0</v>
      </c>
      <c r="BS64" s="132"/>
      <c r="BT64" s="146">
        <f t="shared" si="3"/>
        <v>0</v>
      </c>
      <c r="BU64" s="132"/>
      <c r="BV64" s="143">
        <f t="shared" si="4"/>
        <v>0</v>
      </c>
      <c r="BW64" s="132"/>
      <c r="BX64" s="146">
        <f t="shared" si="5"/>
        <v>0</v>
      </c>
      <c r="BY64" s="132"/>
      <c r="BZ64" s="146">
        <f t="shared" si="6"/>
        <v>0</v>
      </c>
      <c r="CA64" s="132"/>
      <c r="CB64" s="146">
        <f t="shared" si="7"/>
        <v>0</v>
      </c>
      <c r="CC64" s="132"/>
      <c r="CD64" s="143">
        <f t="shared" si="8"/>
        <v>0</v>
      </c>
      <c r="CE64" s="132"/>
      <c r="CF64" s="143">
        <f t="shared" si="9"/>
        <v>0</v>
      </c>
      <c r="CG64" s="132"/>
      <c r="CH64" s="143">
        <f t="shared" si="10"/>
        <v>0</v>
      </c>
      <c r="CI64" s="132">
        <f t="shared" si="11"/>
        <v>0</v>
      </c>
      <c r="CJ64" s="143">
        <f t="shared" si="11"/>
        <v>0</v>
      </c>
    </row>
    <row r="65" spans="1:88" x14ac:dyDescent="0.3">
      <c r="A65" s="27"/>
      <c r="B65" s="27"/>
      <c r="C65" s="27"/>
      <c r="D65" s="27"/>
      <c r="E65" s="27"/>
      <c r="F65" s="27"/>
      <c r="G65" s="79"/>
      <c r="Q65" s="117" t="s">
        <v>488</v>
      </c>
      <c r="R65" s="117" t="s">
        <v>489</v>
      </c>
      <c r="T65" s="141" t="str">
        <f t="shared" si="12"/>
        <v xml:space="preserve"> </v>
      </c>
      <c r="X65" s="119" t="s">
        <v>490</v>
      </c>
      <c r="Y65" s="27"/>
      <c r="AE65" s="27"/>
      <c r="AH65" s="99"/>
      <c r="BB65" s="126"/>
      <c r="BD65" s="97"/>
      <c r="BE65" s="108"/>
      <c r="BF65" s="108"/>
      <c r="BG65" s="97"/>
      <c r="BH65" s="97"/>
      <c r="BI65" s="97"/>
      <c r="BJ65" s="97"/>
      <c r="BK65" s="110"/>
      <c r="BL65" s="97"/>
      <c r="BM65" s="97"/>
      <c r="BN65" s="97"/>
      <c r="BO65" s="142"/>
      <c r="BP65" s="143">
        <f t="shared" si="1"/>
        <v>0</v>
      </c>
      <c r="BQ65" s="142"/>
      <c r="BR65" s="143">
        <f t="shared" si="2"/>
        <v>0</v>
      </c>
      <c r="BS65" s="132"/>
      <c r="BT65" s="146">
        <f t="shared" si="3"/>
        <v>0</v>
      </c>
      <c r="BU65" s="132"/>
      <c r="BV65" s="143">
        <f t="shared" si="4"/>
        <v>0</v>
      </c>
      <c r="BW65" s="132"/>
      <c r="BX65" s="146">
        <f t="shared" si="5"/>
        <v>0</v>
      </c>
      <c r="BY65" s="132"/>
      <c r="BZ65" s="146">
        <f t="shared" si="6"/>
        <v>0</v>
      </c>
      <c r="CA65" s="132"/>
      <c r="CB65" s="146">
        <f t="shared" si="7"/>
        <v>0</v>
      </c>
      <c r="CC65" s="132"/>
      <c r="CD65" s="143">
        <f t="shared" si="8"/>
        <v>0</v>
      </c>
      <c r="CE65" s="132"/>
      <c r="CF65" s="143">
        <f t="shared" si="9"/>
        <v>0</v>
      </c>
      <c r="CG65" s="132"/>
      <c r="CH65" s="143">
        <f t="shared" si="10"/>
        <v>0</v>
      </c>
      <c r="CI65" s="132">
        <f t="shared" si="11"/>
        <v>0</v>
      </c>
      <c r="CJ65" s="143">
        <f t="shared" si="11"/>
        <v>0</v>
      </c>
    </row>
    <row r="66" spans="1:88" x14ac:dyDescent="0.3">
      <c r="A66" s="27"/>
      <c r="B66" s="27"/>
      <c r="C66" s="27"/>
      <c r="D66" s="27"/>
      <c r="E66" s="27"/>
      <c r="F66" s="27"/>
      <c r="G66" s="79"/>
      <c r="Q66" s="117" t="s">
        <v>491</v>
      </c>
      <c r="R66" s="117" t="s">
        <v>492</v>
      </c>
      <c r="T66" s="141" t="str">
        <f t="shared" si="12"/>
        <v xml:space="preserve"> </v>
      </c>
      <c r="X66" s="119" t="s">
        <v>493</v>
      </c>
      <c r="Y66" s="27"/>
      <c r="AE66" s="27"/>
      <c r="AH66" s="99"/>
      <c r="BB66" s="126"/>
      <c r="BD66" s="97"/>
      <c r="BE66" s="108"/>
      <c r="BF66" s="108"/>
      <c r="BG66" s="97"/>
      <c r="BH66" s="97"/>
      <c r="BI66" s="97"/>
      <c r="BJ66" s="97"/>
      <c r="BK66" s="110"/>
      <c r="BL66" s="97"/>
      <c r="BM66" s="97"/>
      <c r="BN66" s="97"/>
      <c r="BO66" s="142"/>
      <c r="BP66" s="143">
        <f t="shared" si="1"/>
        <v>0</v>
      </c>
      <c r="BQ66" s="142"/>
      <c r="BR66" s="143">
        <f t="shared" si="2"/>
        <v>0</v>
      </c>
      <c r="BS66" s="132"/>
      <c r="BT66" s="146">
        <f t="shared" si="3"/>
        <v>0</v>
      </c>
      <c r="BU66" s="132"/>
      <c r="BV66" s="143">
        <f t="shared" si="4"/>
        <v>0</v>
      </c>
      <c r="BW66" s="132"/>
      <c r="BX66" s="146">
        <f t="shared" si="5"/>
        <v>0</v>
      </c>
      <c r="BY66" s="132"/>
      <c r="BZ66" s="146">
        <f t="shared" si="6"/>
        <v>0</v>
      </c>
      <c r="CA66" s="132"/>
      <c r="CB66" s="146">
        <f t="shared" si="7"/>
        <v>0</v>
      </c>
      <c r="CC66" s="132"/>
      <c r="CD66" s="143">
        <f t="shared" si="8"/>
        <v>0</v>
      </c>
      <c r="CE66" s="132"/>
      <c r="CF66" s="143">
        <f t="shared" si="9"/>
        <v>0</v>
      </c>
      <c r="CG66" s="132"/>
      <c r="CH66" s="143">
        <f t="shared" si="10"/>
        <v>0</v>
      </c>
      <c r="CI66" s="132">
        <f t="shared" si="11"/>
        <v>0</v>
      </c>
      <c r="CJ66" s="143">
        <f t="shared" si="11"/>
        <v>0</v>
      </c>
    </row>
    <row r="67" spans="1:88" x14ac:dyDescent="0.3">
      <c r="A67" s="27"/>
      <c r="B67" s="27"/>
      <c r="C67" s="27"/>
      <c r="D67" s="27"/>
      <c r="E67" s="27"/>
      <c r="F67" s="27"/>
      <c r="G67" s="79"/>
      <c r="Q67" s="117" t="s">
        <v>246</v>
      </c>
      <c r="R67" s="117" t="s">
        <v>494</v>
      </c>
      <c r="T67" s="141" t="str">
        <f t="shared" si="12"/>
        <v xml:space="preserve"> </v>
      </c>
      <c r="X67" s="119" t="s">
        <v>495</v>
      </c>
      <c r="Y67" s="27"/>
      <c r="AE67" s="27"/>
      <c r="AH67" s="99"/>
      <c r="BB67" s="126"/>
      <c r="BD67" s="97"/>
      <c r="BE67" s="108"/>
      <c r="BF67" s="108"/>
      <c r="BG67" s="97"/>
      <c r="BH67" s="97"/>
      <c r="BI67" s="97"/>
      <c r="BJ67" s="97"/>
      <c r="BK67" s="110"/>
      <c r="BL67" s="97"/>
      <c r="BM67" s="97"/>
      <c r="BN67" s="97"/>
      <c r="BO67" s="142"/>
      <c r="BP67" s="143">
        <f t="shared" si="1"/>
        <v>0</v>
      </c>
      <c r="BQ67" s="142"/>
      <c r="BR67" s="143">
        <f t="shared" si="2"/>
        <v>0</v>
      </c>
      <c r="BS67" s="132"/>
      <c r="BT67" s="146">
        <f t="shared" si="3"/>
        <v>0</v>
      </c>
      <c r="BU67" s="132"/>
      <c r="BV67" s="143">
        <f t="shared" si="4"/>
        <v>0</v>
      </c>
      <c r="BW67" s="132"/>
      <c r="BX67" s="146">
        <f t="shared" si="5"/>
        <v>0</v>
      </c>
      <c r="BY67" s="132"/>
      <c r="BZ67" s="146">
        <f t="shared" si="6"/>
        <v>0</v>
      </c>
      <c r="CA67" s="132"/>
      <c r="CB67" s="146">
        <f t="shared" si="7"/>
        <v>0</v>
      </c>
      <c r="CC67" s="132"/>
      <c r="CD67" s="143">
        <f t="shared" si="8"/>
        <v>0</v>
      </c>
      <c r="CE67" s="132"/>
      <c r="CF67" s="143">
        <f t="shared" si="9"/>
        <v>0</v>
      </c>
      <c r="CG67" s="132"/>
      <c r="CH67" s="143">
        <f t="shared" si="10"/>
        <v>0</v>
      </c>
      <c r="CI67" s="132">
        <f t="shared" si="11"/>
        <v>0</v>
      </c>
      <c r="CJ67" s="143">
        <f t="shared" si="11"/>
        <v>0</v>
      </c>
    </row>
    <row r="68" spans="1:88" x14ac:dyDescent="0.3">
      <c r="A68" s="27"/>
      <c r="B68" s="27"/>
      <c r="C68" s="27"/>
      <c r="D68" s="27"/>
      <c r="E68" s="27"/>
      <c r="F68" s="27"/>
      <c r="G68" s="79"/>
      <c r="Q68" s="117" t="s">
        <v>496</v>
      </c>
      <c r="R68" s="117" t="s">
        <v>497</v>
      </c>
      <c r="T68" s="141" t="str">
        <f t="shared" si="12"/>
        <v xml:space="preserve"> </v>
      </c>
      <c r="X68" s="119" t="s">
        <v>498</v>
      </c>
      <c r="Y68" s="27"/>
      <c r="AE68" s="27"/>
      <c r="AH68" s="99"/>
      <c r="BB68" s="126"/>
      <c r="BD68" s="97"/>
      <c r="BE68" s="108"/>
      <c r="BF68" s="108"/>
      <c r="BG68" s="97"/>
      <c r="BH68" s="97"/>
      <c r="BI68" s="97"/>
      <c r="BJ68" s="97"/>
      <c r="BK68" s="110"/>
      <c r="BL68" s="97"/>
      <c r="BM68" s="97"/>
      <c r="BN68" s="97"/>
      <c r="BO68" s="142"/>
      <c r="BP68" s="143">
        <f t="shared" si="1"/>
        <v>0</v>
      </c>
      <c r="BQ68" s="142"/>
      <c r="BR68" s="143">
        <f t="shared" si="2"/>
        <v>0</v>
      </c>
      <c r="BS68" s="132"/>
      <c r="BT68" s="146">
        <f t="shared" si="3"/>
        <v>0</v>
      </c>
      <c r="BU68" s="132"/>
      <c r="BV68" s="143">
        <f t="shared" si="4"/>
        <v>0</v>
      </c>
      <c r="BW68" s="132"/>
      <c r="BX68" s="146">
        <f t="shared" si="5"/>
        <v>0</v>
      </c>
      <c r="BY68" s="132"/>
      <c r="BZ68" s="146">
        <f t="shared" si="6"/>
        <v>0</v>
      </c>
      <c r="CA68" s="132"/>
      <c r="CB68" s="146">
        <f t="shared" si="7"/>
        <v>0</v>
      </c>
      <c r="CC68" s="132"/>
      <c r="CD68" s="143">
        <f t="shared" si="8"/>
        <v>0</v>
      </c>
      <c r="CE68" s="132"/>
      <c r="CF68" s="143">
        <f t="shared" si="9"/>
        <v>0</v>
      </c>
      <c r="CG68" s="132"/>
      <c r="CH68" s="143">
        <f t="shared" si="10"/>
        <v>0</v>
      </c>
      <c r="CI68" s="132">
        <f t="shared" si="11"/>
        <v>0</v>
      </c>
      <c r="CJ68" s="143">
        <f t="shared" si="11"/>
        <v>0</v>
      </c>
    </row>
    <row r="69" spans="1:88" x14ac:dyDescent="0.3">
      <c r="A69" s="27"/>
      <c r="B69" s="27"/>
      <c r="C69" s="27"/>
      <c r="D69" s="27"/>
      <c r="E69" s="27"/>
      <c r="F69" s="27"/>
      <c r="G69" s="79"/>
      <c r="Q69" s="117" t="s">
        <v>499</v>
      </c>
      <c r="R69" s="117" t="s">
        <v>500</v>
      </c>
      <c r="T69" s="141" t="str">
        <f t="shared" si="12"/>
        <v xml:space="preserve"> </v>
      </c>
      <c r="X69" s="119" t="s">
        <v>501</v>
      </c>
      <c r="Y69" s="27"/>
      <c r="AE69" s="27"/>
      <c r="AH69" s="99"/>
      <c r="BB69" s="126"/>
      <c r="BD69" s="97"/>
      <c r="BE69" s="108"/>
      <c r="BF69" s="108"/>
      <c r="BG69" s="97"/>
      <c r="BH69" s="97"/>
      <c r="BI69" s="97"/>
      <c r="BJ69" s="97"/>
      <c r="BK69" s="110"/>
      <c r="BL69" s="97"/>
      <c r="BM69" s="97"/>
      <c r="BN69" s="97"/>
      <c r="BO69" s="150"/>
      <c r="BP69" s="143">
        <f t="shared" si="1"/>
        <v>0</v>
      </c>
      <c r="BQ69" s="150"/>
      <c r="BR69" s="143">
        <f t="shared" si="2"/>
        <v>0</v>
      </c>
      <c r="BS69" s="132"/>
      <c r="BT69" s="146">
        <f t="shared" si="3"/>
        <v>0</v>
      </c>
      <c r="BU69" s="151"/>
      <c r="BV69" s="143">
        <f t="shared" si="4"/>
        <v>0</v>
      </c>
      <c r="BW69" s="151"/>
      <c r="BX69" s="146">
        <f t="shared" si="5"/>
        <v>0</v>
      </c>
      <c r="BY69" s="151"/>
      <c r="BZ69" s="146">
        <f t="shared" si="6"/>
        <v>0</v>
      </c>
      <c r="CA69" s="151"/>
      <c r="CB69" s="146">
        <f t="shared" si="7"/>
        <v>0</v>
      </c>
      <c r="CC69" s="151"/>
      <c r="CD69" s="143">
        <f t="shared" si="8"/>
        <v>0</v>
      </c>
      <c r="CE69" s="151"/>
      <c r="CF69" s="143">
        <f t="shared" si="9"/>
        <v>0</v>
      </c>
      <c r="CG69" s="132"/>
      <c r="CH69" s="143">
        <f t="shared" si="10"/>
        <v>0</v>
      </c>
      <c r="CI69" s="132">
        <f t="shared" si="11"/>
        <v>0</v>
      </c>
      <c r="CJ69" s="143">
        <f t="shared" si="11"/>
        <v>0</v>
      </c>
    </row>
    <row r="70" spans="1:88" x14ac:dyDescent="0.3">
      <c r="A70" s="27"/>
      <c r="B70" s="27"/>
      <c r="C70" s="27"/>
      <c r="D70" s="27"/>
      <c r="E70" s="27"/>
      <c r="F70" s="27"/>
      <c r="G70" s="79"/>
      <c r="Q70" s="117" t="s">
        <v>502</v>
      </c>
      <c r="R70" s="117" t="s">
        <v>503</v>
      </c>
      <c r="T70" s="141" t="str">
        <f t="shared" si="12"/>
        <v xml:space="preserve"> </v>
      </c>
      <c r="X70" s="119" t="s">
        <v>504</v>
      </c>
      <c r="Y70" s="27"/>
      <c r="AE70" s="27"/>
      <c r="AH70" s="99"/>
      <c r="BB70" s="126"/>
      <c r="BD70" s="97"/>
      <c r="BE70" s="108"/>
      <c r="BF70" s="108"/>
      <c r="BG70" s="97"/>
      <c r="BH70" s="97"/>
      <c r="BI70" s="97"/>
      <c r="BJ70" s="97"/>
      <c r="BK70" s="110"/>
      <c r="BL70" s="97"/>
      <c r="BM70" s="97"/>
      <c r="BN70" s="97"/>
      <c r="BO70" s="142"/>
      <c r="BP70" s="143">
        <f t="shared" si="1"/>
        <v>0</v>
      </c>
      <c r="BQ70" s="142"/>
      <c r="BR70" s="143">
        <f t="shared" si="2"/>
        <v>0</v>
      </c>
      <c r="BS70" s="132"/>
      <c r="BT70" s="146">
        <f t="shared" si="3"/>
        <v>0</v>
      </c>
      <c r="BU70" s="132"/>
      <c r="BV70" s="143">
        <f t="shared" si="4"/>
        <v>0</v>
      </c>
      <c r="BW70" s="132"/>
      <c r="BX70" s="146">
        <f t="shared" si="5"/>
        <v>0</v>
      </c>
      <c r="BY70" s="132"/>
      <c r="BZ70" s="146">
        <f t="shared" si="6"/>
        <v>0</v>
      </c>
      <c r="CA70" s="132"/>
      <c r="CB70" s="146">
        <f t="shared" si="7"/>
        <v>0</v>
      </c>
      <c r="CC70" s="132"/>
      <c r="CD70" s="143">
        <f t="shared" si="8"/>
        <v>0</v>
      </c>
      <c r="CE70" s="132"/>
      <c r="CF70" s="143">
        <f t="shared" si="9"/>
        <v>0</v>
      </c>
      <c r="CG70" s="132"/>
      <c r="CH70" s="143">
        <f t="shared" si="10"/>
        <v>0</v>
      </c>
      <c r="CI70" s="132">
        <f t="shared" si="11"/>
        <v>0</v>
      </c>
      <c r="CJ70" s="143">
        <f t="shared" si="11"/>
        <v>0</v>
      </c>
    </row>
    <row r="71" spans="1:88" x14ac:dyDescent="0.3">
      <c r="A71" s="27"/>
      <c r="B71" s="27"/>
      <c r="C71" s="27"/>
      <c r="D71" s="27"/>
      <c r="E71" s="27"/>
      <c r="F71" s="27"/>
      <c r="G71" s="79"/>
      <c r="Q71" s="117" t="s">
        <v>505</v>
      </c>
      <c r="R71" s="117" t="s">
        <v>506</v>
      </c>
      <c r="T71" s="141" t="str">
        <f t="shared" si="12"/>
        <v xml:space="preserve"> </v>
      </c>
      <c r="X71" s="119" t="s">
        <v>507</v>
      </c>
      <c r="Y71" s="27"/>
      <c r="AE71" s="27"/>
      <c r="AH71" s="99"/>
      <c r="BB71" s="126"/>
      <c r="BD71" s="97"/>
      <c r="BE71" s="108"/>
      <c r="BF71" s="108"/>
      <c r="BG71" s="97"/>
      <c r="BH71" s="97"/>
      <c r="BI71" s="97"/>
      <c r="BJ71" s="97"/>
      <c r="BK71" s="110"/>
      <c r="BL71" s="97"/>
      <c r="BM71" s="97"/>
      <c r="BN71" s="97"/>
      <c r="BO71" s="142"/>
      <c r="BP71" s="143">
        <f t="shared" si="1"/>
        <v>0</v>
      </c>
      <c r="BQ71" s="142"/>
      <c r="BR71" s="143">
        <f t="shared" si="2"/>
        <v>0</v>
      </c>
      <c r="BS71" s="132"/>
      <c r="BT71" s="146">
        <f t="shared" si="3"/>
        <v>0</v>
      </c>
      <c r="BU71" s="132"/>
      <c r="BV71" s="143">
        <f t="shared" si="4"/>
        <v>0</v>
      </c>
      <c r="BW71" s="132"/>
      <c r="BX71" s="146">
        <f t="shared" si="5"/>
        <v>0</v>
      </c>
      <c r="BY71" s="132"/>
      <c r="BZ71" s="146">
        <f t="shared" si="6"/>
        <v>0</v>
      </c>
      <c r="CA71" s="132"/>
      <c r="CB71" s="146">
        <f t="shared" si="7"/>
        <v>0</v>
      </c>
      <c r="CC71" s="132"/>
      <c r="CD71" s="143">
        <f t="shared" si="8"/>
        <v>0</v>
      </c>
      <c r="CE71" s="132"/>
      <c r="CF71" s="143">
        <f t="shared" si="9"/>
        <v>0</v>
      </c>
      <c r="CG71" s="132"/>
      <c r="CH71" s="143">
        <f t="shared" si="10"/>
        <v>0</v>
      </c>
      <c r="CI71" s="132">
        <f t="shared" si="11"/>
        <v>0</v>
      </c>
      <c r="CJ71" s="143">
        <f t="shared" si="11"/>
        <v>0</v>
      </c>
    </row>
    <row r="72" spans="1:88" x14ac:dyDescent="0.3">
      <c r="A72" s="27"/>
      <c r="B72" s="27"/>
      <c r="C72" s="27"/>
      <c r="D72" s="27"/>
      <c r="E72" s="27"/>
      <c r="F72" s="27"/>
      <c r="G72" s="79"/>
      <c r="Q72" s="117" t="s">
        <v>508</v>
      </c>
      <c r="R72" s="117" t="s">
        <v>509</v>
      </c>
      <c r="T72" s="141" t="str">
        <f t="shared" si="12"/>
        <v xml:space="preserve"> </v>
      </c>
      <c r="X72" s="119" t="s">
        <v>510</v>
      </c>
      <c r="Y72" s="27"/>
      <c r="AE72" s="27"/>
      <c r="AH72" s="99"/>
      <c r="BB72" s="126"/>
      <c r="BD72" s="97"/>
      <c r="BE72" s="108"/>
      <c r="BF72" s="108"/>
      <c r="BG72" s="97"/>
      <c r="BH72" s="97"/>
      <c r="BI72" s="97"/>
      <c r="BJ72" s="97"/>
      <c r="BK72" s="110"/>
      <c r="BL72" s="97"/>
      <c r="BM72" s="97"/>
      <c r="BN72" s="97"/>
      <c r="BO72" s="142"/>
      <c r="BP72" s="143">
        <f t="shared" si="1"/>
        <v>0</v>
      </c>
      <c r="BQ72" s="142"/>
      <c r="BR72" s="143">
        <f t="shared" si="2"/>
        <v>0</v>
      </c>
      <c r="BS72" s="132"/>
      <c r="BT72" s="146">
        <f t="shared" si="3"/>
        <v>0</v>
      </c>
      <c r="BU72" s="132"/>
      <c r="BV72" s="143">
        <f t="shared" si="4"/>
        <v>0</v>
      </c>
      <c r="BW72" s="132"/>
      <c r="BX72" s="146">
        <f t="shared" si="5"/>
        <v>0</v>
      </c>
      <c r="BY72" s="132"/>
      <c r="BZ72" s="146">
        <f t="shared" si="6"/>
        <v>0</v>
      </c>
      <c r="CA72" s="132"/>
      <c r="CB72" s="146">
        <f t="shared" si="7"/>
        <v>0</v>
      </c>
      <c r="CC72" s="132"/>
      <c r="CD72" s="143">
        <f t="shared" si="8"/>
        <v>0</v>
      </c>
      <c r="CE72" s="132"/>
      <c r="CF72" s="143">
        <f t="shared" si="9"/>
        <v>0</v>
      </c>
      <c r="CG72" s="132"/>
      <c r="CH72" s="143">
        <f t="shared" si="10"/>
        <v>0</v>
      </c>
      <c r="CI72" s="132">
        <f t="shared" si="11"/>
        <v>0</v>
      </c>
      <c r="CJ72" s="143">
        <f t="shared" si="11"/>
        <v>0</v>
      </c>
    </row>
    <row r="73" spans="1:88" x14ac:dyDescent="0.3">
      <c r="A73" s="27"/>
      <c r="B73" s="27"/>
      <c r="C73" s="27"/>
      <c r="D73" s="27"/>
      <c r="E73" s="27"/>
      <c r="F73" s="27"/>
      <c r="G73" s="79"/>
      <c r="Q73" s="117" t="s">
        <v>511</v>
      </c>
      <c r="R73" s="117" t="s">
        <v>512</v>
      </c>
      <c r="T73" s="141" t="str">
        <f t="shared" si="12"/>
        <v xml:space="preserve"> </v>
      </c>
      <c r="X73" s="119" t="s">
        <v>513</v>
      </c>
      <c r="Y73" s="27"/>
      <c r="AE73" s="27"/>
      <c r="AH73" s="99"/>
      <c r="BB73" s="126"/>
      <c r="BD73" s="97"/>
      <c r="BE73" s="108"/>
      <c r="BF73" s="108"/>
      <c r="BG73" s="97"/>
      <c r="BH73" s="97"/>
      <c r="BI73" s="97"/>
      <c r="BJ73" s="97"/>
      <c r="BK73" s="110"/>
      <c r="BL73" s="97"/>
      <c r="BM73" s="97"/>
      <c r="BN73" s="97"/>
      <c r="BO73" s="142"/>
      <c r="BP73" s="143">
        <f t="shared" si="1"/>
        <v>0</v>
      </c>
      <c r="BQ73" s="142"/>
      <c r="BR73" s="143">
        <f t="shared" si="2"/>
        <v>0</v>
      </c>
      <c r="BS73" s="132"/>
      <c r="BT73" s="146">
        <f t="shared" si="3"/>
        <v>0</v>
      </c>
      <c r="BU73" s="132"/>
      <c r="BV73" s="143">
        <f t="shared" si="4"/>
        <v>0</v>
      </c>
      <c r="BW73" s="132"/>
      <c r="BX73" s="146">
        <f t="shared" si="5"/>
        <v>0</v>
      </c>
      <c r="BY73" s="132"/>
      <c r="BZ73" s="146">
        <f t="shared" si="6"/>
        <v>0</v>
      </c>
      <c r="CA73" s="132"/>
      <c r="CB73" s="146">
        <f t="shared" si="7"/>
        <v>0</v>
      </c>
      <c r="CC73" s="132"/>
      <c r="CD73" s="143">
        <f t="shared" si="8"/>
        <v>0</v>
      </c>
      <c r="CE73" s="132"/>
      <c r="CF73" s="143">
        <f t="shared" si="9"/>
        <v>0</v>
      </c>
      <c r="CG73" s="132"/>
      <c r="CH73" s="143">
        <f t="shared" si="10"/>
        <v>0</v>
      </c>
      <c r="CI73" s="132">
        <f t="shared" si="11"/>
        <v>0</v>
      </c>
      <c r="CJ73" s="143">
        <f t="shared" si="11"/>
        <v>0</v>
      </c>
    </row>
    <row r="74" spans="1:88" x14ac:dyDescent="0.3">
      <c r="A74" s="27"/>
      <c r="B74" s="27"/>
      <c r="C74" s="27"/>
      <c r="D74" s="27"/>
      <c r="E74" s="27"/>
      <c r="F74" s="27"/>
      <c r="G74" s="79"/>
      <c r="Q74" s="117" t="s">
        <v>514</v>
      </c>
      <c r="R74" s="117" t="s">
        <v>515</v>
      </c>
      <c r="T74" s="141" t="str">
        <f t="shared" si="12"/>
        <v xml:space="preserve"> </v>
      </c>
      <c r="X74" s="119" t="s">
        <v>516</v>
      </c>
      <c r="Y74" s="27"/>
      <c r="AE74" s="27"/>
      <c r="AH74" s="99"/>
      <c r="BD74" s="97"/>
      <c r="BE74" s="108"/>
      <c r="BF74" s="108"/>
      <c r="BG74" s="97"/>
      <c r="BH74" s="97"/>
      <c r="BI74" s="97"/>
      <c r="BJ74" s="97"/>
      <c r="BK74" s="110"/>
      <c r="BL74" s="97"/>
      <c r="BM74" s="97"/>
      <c r="BN74" s="97"/>
      <c r="BO74" s="142"/>
      <c r="BP74" s="143">
        <f t="shared" ref="BP74:BP137" si="13">BO74*AX74</f>
        <v>0</v>
      </c>
      <c r="BQ74" s="142"/>
      <c r="BR74" s="143">
        <f t="shared" ref="BR74:BR137" si="14">BQ74*AX74</f>
        <v>0</v>
      </c>
      <c r="BS74" s="132"/>
      <c r="BT74" s="146">
        <f t="shared" ref="BT74:BT137" si="15">BS74*AX74</f>
        <v>0</v>
      </c>
      <c r="BU74" s="132"/>
      <c r="BV74" s="143">
        <f t="shared" ref="BV74:BV137" si="16">BU74*AX74</f>
        <v>0</v>
      </c>
      <c r="BW74" s="132"/>
      <c r="BX74" s="146">
        <f t="shared" ref="BX74:BX137" si="17">BW74*AX74</f>
        <v>0</v>
      </c>
      <c r="BY74" s="132"/>
      <c r="BZ74" s="146">
        <f t="shared" ref="BZ74:BZ137" si="18">BY74*AX74</f>
        <v>0</v>
      </c>
      <c r="CA74" s="132"/>
      <c r="CB74" s="146">
        <f t="shared" ref="CB74:CB137" si="19">CA74*AX74</f>
        <v>0</v>
      </c>
      <c r="CC74" s="132"/>
      <c r="CD74" s="143">
        <f t="shared" ref="CD74:CD137" si="20">CC74*AX74</f>
        <v>0</v>
      </c>
      <c r="CE74" s="132"/>
      <c r="CF74" s="143">
        <f t="shared" ref="CF74:CF137" si="21">CE74*AX74</f>
        <v>0</v>
      </c>
      <c r="CG74" s="132"/>
      <c r="CH74" s="143">
        <f t="shared" ref="CH74:CH137" si="22">CG74*AX74</f>
        <v>0</v>
      </c>
      <c r="CI74" s="132">
        <f t="shared" ref="CI74:CJ137" si="23">SUM(BO74,BQ74,BS74,BU74,BW74,BY74,CA74,CC74,CE74,CG74)</f>
        <v>0</v>
      </c>
      <c r="CJ74" s="143">
        <f t="shared" si="23"/>
        <v>0</v>
      </c>
    </row>
    <row r="75" spans="1:88" x14ac:dyDescent="0.3">
      <c r="A75" s="27"/>
      <c r="B75" s="27"/>
      <c r="C75" s="27"/>
      <c r="D75" s="27"/>
      <c r="E75" s="27"/>
      <c r="F75" s="27"/>
      <c r="G75" s="79"/>
      <c r="Q75" s="117" t="s">
        <v>517</v>
      </c>
      <c r="R75" s="117" t="s">
        <v>518</v>
      </c>
      <c r="T75" s="141" t="str">
        <f t="shared" si="12"/>
        <v xml:space="preserve"> </v>
      </c>
      <c r="X75" s="119" t="s">
        <v>519</v>
      </c>
      <c r="Y75" s="27"/>
      <c r="AE75" s="27"/>
      <c r="AH75" s="99"/>
      <c r="BD75" s="97"/>
      <c r="BE75" s="108"/>
      <c r="BF75" s="108"/>
      <c r="BG75" s="97"/>
      <c r="BH75" s="97"/>
      <c r="BI75" s="97"/>
      <c r="BJ75" s="97"/>
      <c r="BK75" s="110"/>
      <c r="BL75" s="97"/>
      <c r="BM75" s="97"/>
      <c r="BN75" s="97"/>
      <c r="BO75" s="142"/>
      <c r="BP75" s="143">
        <f t="shared" si="13"/>
        <v>0</v>
      </c>
      <c r="BQ75" s="142"/>
      <c r="BR75" s="143">
        <f t="shared" si="14"/>
        <v>0</v>
      </c>
      <c r="BS75" s="132"/>
      <c r="BT75" s="146">
        <f t="shared" si="15"/>
        <v>0</v>
      </c>
      <c r="BU75" s="132"/>
      <c r="BV75" s="143">
        <f t="shared" si="16"/>
        <v>0</v>
      </c>
      <c r="BW75" s="132"/>
      <c r="BX75" s="146">
        <f t="shared" si="17"/>
        <v>0</v>
      </c>
      <c r="BY75" s="132"/>
      <c r="BZ75" s="146">
        <f t="shared" si="18"/>
        <v>0</v>
      </c>
      <c r="CA75" s="132"/>
      <c r="CB75" s="146">
        <f t="shared" si="19"/>
        <v>0</v>
      </c>
      <c r="CC75" s="132"/>
      <c r="CD75" s="143">
        <f t="shared" si="20"/>
        <v>0</v>
      </c>
      <c r="CE75" s="132"/>
      <c r="CF75" s="143">
        <f t="shared" si="21"/>
        <v>0</v>
      </c>
      <c r="CG75" s="132"/>
      <c r="CH75" s="143">
        <f t="shared" si="22"/>
        <v>0</v>
      </c>
      <c r="CI75" s="132">
        <f t="shared" si="23"/>
        <v>0</v>
      </c>
      <c r="CJ75" s="143">
        <f t="shared" si="23"/>
        <v>0</v>
      </c>
    </row>
    <row r="76" spans="1:88" x14ac:dyDescent="0.3">
      <c r="A76" s="27"/>
      <c r="B76" s="27"/>
      <c r="C76" s="27"/>
      <c r="D76" s="27"/>
      <c r="E76" s="27"/>
      <c r="F76" s="27"/>
      <c r="G76" s="79"/>
      <c r="Q76" s="117" t="s">
        <v>520</v>
      </c>
      <c r="R76" s="117" t="s">
        <v>521</v>
      </c>
      <c r="T76" s="141" t="str">
        <f t="shared" si="12"/>
        <v xml:space="preserve"> </v>
      </c>
      <c r="X76" s="119" t="s">
        <v>522</v>
      </c>
      <c r="Y76" s="27"/>
      <c r="AE76" s="27"/>
      <c r="AH76" s="99"/>
      <c r="BD76" s="97"/>
      <c r="BE76" s="108"/>
      <c r="BF76" s="108"/>
      <c r="BG76" s="97"/>
      <c r="BH76" s="97"/>
      <c r="BI76" s="97"/>
      <c r="BJ76" s="97"/>
      <c r="BK76" s="110"/>
      <c r="BL76" s="97"/>
      <c r="BM76" s="97"/>
      <c r="BN76" s="97"/>
      <c r="BO76" s="142"/>
      <c r="BP76" s="143">
        <f t="shared" si="13"/>
        <v>0</v>
      </c>
      <c r="BQ76" s="142"/>
      <c r="BR76" s="143">
        <f t="shared" si="14"/>
        <v>0</v>
      </c>
      <c r="BS76" s="132"/>
      <c r="BT76" s="146">
        <f t="shared" si="15"/>
        <v>0</v>
      </c>
      <c r="BU76" s="132"/>
      <c r="BV76" s="143">
        <f t="shared" si="16"/>
        <v>0</v>
      </c>
      <c r="BW76" s="132"/>
      <c r="BX76" s="146">
        <f t="shared" si="17"/>
        <v>0</v>
      </c>
      <c r="BY76" s="132"/>
      <c r="BZ76" s="146">
        <f t="shared" si="18"/>
        <v>0</v>
      </c>
      <c r="CA76" s="132"/>
      <c r="CB76" s="146">
        <f t="shared" si="19"/>
        <v>0</v>
      </c>
      <c r="CC76" s="132"/>
      <c r="CD76" s="143">
        <f t="shared" si="20"/>
        <v>0</v>
      </c>
      <c r="CE76" s="132"/>
      <c r="CF76" s="143">
        <f t="shared" si="21"/>
        <v>0</v>
      </c>
      <c r="CG76" s="132"/>
      <c r="CH76" s="143">
        <f t="shared" si="22"/>
        <v>0</v>
      </c>
      <c r="CI76" s="132">
        <f t="shared" si="23"/>
        <v>0</v>
      </c>
      <c r="CJ76" s="143">
        <f t="shared" si="23"/>
        <v>0</v>
      </c>
    </row>
    <row r="77" spans="1:88" x14ac:dyDescent="0.3">
      <c r="A77" s="27"/>
      <c r="B77" s="27"/>
      <c r="C77" s="27"/>
      <c r="D77" s="27"/>
      <c r="E77" s="27"/>
      <c r="F77" s="27"/>
      <c r="G77" s="79"/>
      <c r="Q77" s="117" t="s">
        <v>523</v>
      </c>
      <c r="R77" s="117" t="s">
        <v>524</v>
      </c>
      <c r="T77" s="141" t="str">
        <f t="shared" si="12"/>
        <v xml:space="preserve"> </v>
      </c>
      <c r="X77" s="119" t="s">
        <v>525</v>
      </c>
      <c r="Y77" s="27"/>
      <c r="AE77" s="27"/>
      <c r="AH77" s="99"/>
      <c r="BD77" s="97"/>
      <c r="BE77" s="108"/>
      <c r="BF77" s="108"/>
      <c r="BG77" s="97"/>
      <c r="BH77" s="97"/>
      <c r="BI77" s="97"/>
      <c r="BJ77" s="97"/>
      <c r="BK77" s="110"/>
      <c r="BL77" s="97"/>
      <c r="BM77" s="97"/>
      <c r="BN77" s="97"/>
      <c r="BO77" s="142"/>
      <c r="BP77" s="143">
        <f t="shared" si="13"/>
        <v>0</v>
      </c>
      <c r="BQ77" s="142"/>
      <c r="BR77" s="143">
        <f t="shared" si="14"/>
        <v>0</v>
      </c>
      <c r="BS77" s="132"/>
      <c r="BT77" s="146">
        <f t="shared" si="15"/>
        <v>0</v>
      </c>
      <c r="BU77" s="132"/>
      <c r="BV77" s="143">
        <f t="shared" si="16"/>
        <v>0</v>
      </c>
      <c r="BW77" s="132"/>
      <c r="BX77" s="146">
        <f t="shared" si="17"/>
        <v>0</v>
      </c>
      <c r="BY77" s="132"/>
      <c r="BZ77" s="146">
        <f t="shared" si="18"/>
        <v>0</v>
      </c>
      <c r="CA77" s="132"/>
      <c r="CB77" s="146">
        <f t="shared" si="19"/>
        <v>0</v>
      </c>
      <c r="CC77" s="132"/>
      <c r="CD77" s="143">
        <f t="shared" si="20"/>
        <v>0</v>
      </c>
      <c r="CE77" s="132"/>
      <c r="CF77" s="143">
        <f t="shared" si="21"/>
        <v>0</v>
      </c>
      <c r="CG77" s="132"/>
      <c r="CH77" s="143">
        <f t="shared" si="22"/>
        <v>0</v>
      </c>
      <c r="CI77" s="132">
        <f t="shared" si="23"/>
        <v>0</v>
      </c>
      <c r="CJ77" s="143">
        <f t="shared" si="23"/>
        <v>0</v>
      </c>
    </row>
    <row r="78" spans="1:88" x14ac:dyDescent="0.3">
      <c r="A78" s="27"/>
      <c r="B78" s="27"/>
      <c r="C78" s="27"/>
      <c r="D78" s="27"/>
      <c r="E78" s="27"/>
      <c r="F78" s="27"/>
      <c r="G78" s="79"/>
      <c r="Q78" s="117" t="s">
        <v>526</v>
      </c>
      <c r="R78" s="117" t="s">
        <v>527</v>
      </c>
      <c r="T78" s="141" t="str">
        <f t="shared" si="12"/>
        <v xml:space="preserve"> </v>
      </c>
      <c r="X78" s="119" t="s">
        <v>528</v>
      </c>
      <c r="Y78" s="27"/>
      <c r="AE78" s="27"/>
      <c r="AH78" s="99"/>
      <c r="BD78" s="97"/>
      <c r="BE78" s="108"/>
      <c r="BF78" s="108"/>
      <c r="BG78" s="97"/>
      <c r="BH78" s="97"/>
      <c r="BI78" s="97"/>
      <c r="BJ78" s="97"/>
      <c r="BK78" s="110"/>
      <c r="BL78" s="97"/>
      <c r="BM78" s="97"/>
      <c r="BN78" s="97"/>
      <c r="BO78" s="148"/>
      <c r="BP78" s="143">
        <f t="shared" si="13"/>
        <v>0</v>
      </c>
      <c r="BQ78" s="148"/>
      <c r="BR78" s="143">
        <f t="shared" si="14"/>
        <v>0</v>
      </c>
      <c r="BS78" s="132"/>
      <c r="BT78" s="146">
        <f t="shared" si="15"/>
        <v>0</v>
      </c>
      <c r="BU78" s="149"/>
      <c r="BV78" s="143">
        <f t="shared" si="16"/>
        <v>0</v>
      </c>
      <c r="BW78" s="149"/>
      <c r="BX78" s="146">
        <f t="shared" si="17"/>
        <v>0</v>
      </c>
      <c r="BY78" s="149"/>
      <c r="BZ78" s="146">
        <f t="shared" si="18"/>
        <v>0</v>
      </c>
      <c r="CA78" s="149"/>
      <c r="CB78" s="146">
        <f t="shared" si="19"/>
        <v>0</v>
      </c>
      <c r="CC78" s="149"/>
      <c r="CD78" s="143">
        <f t="shared" si="20"/>
        <v>0</v>
      </c>
      <c r="CE78" s="149"/>
      <c r="CF78" s="143">
        <f t="shared" si="21"/>
        <v>0</v>
      </c>
      <c r="CG78" s="132"/>
      <c r="CH78" s="143">
        <f t="shared" si="22"/>
        <v>0</v>
      </c>
      <c r="CI78" s="132">
        <f t="shared" si="23"/>
        <v>0</v>
      </c>
      <c r="CJ78" s="143">
        <f t="shared" si="23"/>
        <v>0</v>
      </c>
    </row>
    <row r="79" spans="1:88" x14ac:dyDescent="0.3">
      <c r="A79" s="27"/>
      <c r="B79" s="27"/>
      <c r="C79" s="27"/>
      <c r="D79" s="27"/>
      <c r="E79" s="27"/>
      <c r="F79" s="27"/>
      <c r="G79" s="79"/>
      <c r="Q79" s="117" t="s">
        <v>529</v>
      </c>
      <c r="R79" s="117" t="s">
        <v>530</v>
      </c>
      <c r="T79" s="141" t="str">
        <f t="shared" si="12"/>
        <v xml:space="preserve"> </v>
      </c>
      <c r="X79" s="119" t="s">
        <v>531</v>
      </c>
      <c r="Y79" s="27"/>
      <c r="AE79" s="27"/>
      <c r="AH79" s="99"/>
      <c r="BD79" s="97"/>
      <c r="BE79" s="108"/>
      <c r="BF79" s="108"/>
      <c r="BG79" s="97"/>
      <c r="BH79" s="97"/>
      <c r="BI79" s="97"/>
      <c r="BJ79" s="97"/>
      <c r="BK79" s="110"/>
      <c r="BL79" s="97"/>
      <c r="BM79" s="97"/>
      <c r="BN79" s="97"/>
      <c r="BO79" s="142"/>
      <c r="BP79" s="143">
        <f t="shared" si="13"/>
        <v>0</v>
      </c>
      <c r="BQ79" s="142"/>
      <c r="BR79" s="143">
        <f t="shared" si="14"/>
        <v>0</v>
      </c>
      <c r="BS79" s="132"/>
      <c r="BT79" s="146">
        <f t="shared" si="15"/>
        <v>0</v>
      </c>
      <c r="BU79" s="132"/>
      <c r="BV79" s="143">
        <f t="shared" si="16"/>
        <v>0</v>
      </c>
      <c r="BW79" s="132"/>
      <c r="BX79" s="146">
        <f t="shared" si="17"/>
        <v>0</v>
      </c>
      <c r="BY79" s="132"/>
      <c r="BZ79" s="146">
        <f t="shared" si="18"/>
        <v>0</v>
      </c>
      <c r="CA79" s="132"/>
      <c r="CB79" s="146">
        <f t="shared" si="19"/>
        <v>0</v>
      </c>
      <c r="CC79" s="132"/>
      <c r="CD79" s="143">
        <f t="shared" si="20"/>
        <v>0</v>
      </c>
      <c r="CE79" s="132"/>
      <c r="CF79" s="143">
        <f t="shared" si="21"/>
        <v>0</v>
      </c>
      <c r="CG79" s="132"/>
      <c r="CH79" s="143">
        <f t="shared" si="22"/>
        <v>0</v>
      </c>
      <c r="CI79" s="132">
        <f t="shared" si="23"/>
        <v>0</v>
      </c>
      <c r="CJ79" s="143">
        <f t="shared" si="23"/>
        <v>0</v>
      </c>
    </row>
    <row r="80" spans="1:88" x14ac:dyDescent="0.3">
      <c r="A80" s="27"/>
      <c r="B80" s="27"/>
      <c r="C80" s="27"/>
      <c r="D80" s="27"/>
      <c r="E80" s="27"/>
      <c r="F80" s="27"/>
      <c r="G80" s="79"/>
      <c r="Q80" s="117" t="s">
        <v>532</v>
      </c>
      <c r="R80" s="117" t="s">
        <v>533</v>
      </c>
      <c r="T80" s="141" t="str">
        <f t="shared" si="12"/>
        <v xml:space="preserve"> </v>
      </c>
      <c r="X80" s="119" t="s">
        <v>534</v>
      </c>
      <c r="Y80" s="27"/>
      <c r="AE80" s="27"/>
      <c r="AH80" s="99"/>
      <c r="BD80" s="97"/>
      <c r="BE80" s="108"/>
      <c r="BF80" s="108"/>
      <c r="BG80" s="97"/>
      <c r="BH80" s="97"/>
      <c r="BI80" s="97"/>
      <c r="BJ80" s="97"/>
      <c r="BK80" s="110"/>
      <c r="BL80" s="97"/>
      <c r="BM80" s="97"/>
      <c r="BN80" s="97"/>
      <c r="BO80" s="142"/>
      <c r="BP80" s="143">
        <f t="shared" si="13"/>
        <v>0</v>
      </c>
      <c r="BQ80" s="142"/>
      <c r="BR80" s="143">
        <f t="shared" si="14"/>
        <v>0</v>
      </c>
      <c r="BS80" s="132"/>
      <c r="BT80" s="146">
        <f t="shared" si="15"/>
        <v>0</v>
      </c>
      <c r="BU80" s="132"/>
      <c r="BV80" s="143">
        <f t="shared" si="16"/>
        <v>0</v>
      </c>
      <c r="BW80" s="132"/>
      <c r="BX80" s="146">
        <f t="shared" si="17"/>
        <v>0</v>
      </c>
      <c r="BY80" s="132"/>
      <c r="BZ80" s="146">
        <f t="shared" si="18"/>
        <v>0</v>
      </c>
      <c r="CA80" s="132"/>
      <c r="CB80" s="146">
        <f t="shared" si="19"/>
        <v>0</v>
      </c>
      <c r="CC80" s="132"/>
      <c r="CD80" s="143">
        <f t="shared" si="20"/>
        <v>0</v>
      </c>
      <c r="CE80" s="132"/>
      <c r="CF80" s="143">
        <f t="shared" si="21"/>
        <v>0</v>
      </c>
      <c r="CG80" s="132"/>
      <c r="CH80" s="143">
        <f t="shared" si="22"/>
        <v>0</v>
      </c>
      <c r="CI80" s="132">
        <f t="shared" si="23"/>
        <v>0</v>
      </c>
      <c r="CJ80" s="143">
        <f t="shared" si="23"/>
        <v>0</v>
      </c>
    </row>
    <row r="81" spans="1:88" x14ac:dyDescent="0.3">
      <c r="A81" s="27"/>
      <c r="B81" s="27"/>
      <c r="C81" s="27"/>
      <c r="D81" s="27"/>
      <c r="E81" s="27"/>
      <c r="F81" s="27"/>
      <c r="G81" s="79"/>
      <c r="Q81" s="117" t="s">
        <v>535</v>
      </c>
      <c r="R81" s="117" t="s">
        <v>536</v>
      </c>
      <c r="T81" s="141" t="str">
        <f t="shared" si="12"/>
        <v xml:space="preserve"> </v>
      </c>
      <c r="X81" s="119" t="s">
        <v>537</v>
      </c>
      <c r="Y81" s="27"/>
      <c r="AE81" s="27"/>
      <c r="AH81" s="99"/>
      <c r="BD81" s="97"/>
      <c r="BE81" s="108"/>
      <c r="BF81" s="108"/>
      <c r="BG81" s="97"/>
      <c r="BH81" s="97"/>
      <c r="BI81" s="97"/>
      <c r="BJ81" s="97"/>
      <c r="BK81" s="110"/>
      <c r="BL81" s="97"/>
      <c r="BM81" s="97"/>
      <c r="BN81" s="97"/>
      <c r="BO81" s="142"/>
      <c r="BP81" s="143">
        <f t="shared" si="13"/>
        <v>0</v>
      </c>
      <c r="BQ81" s="142"/>
      <c r="BR81" s="143">
        <f t="shared" si="14"/>
        <v>0</v>
      </c>
      <c r="BS81" s="132"/>
      <c r="BT81" s="146">
        <f t="shared" si="15"/>
        <v>0</v>
      </c>
      <c r="BU81" s="132"/>
      <c r="BV81" s="143">
        <f t="shared" si="16"/>
        <v>0</v>
      </c>
      <c r="BW81" s="132"/>
      <c r="BX81" s="146">
        <f t="shared" si="17"/>
        <v>0</v>
      </c>
      <c r="BY81" s="132"/>
      <c r="BZ81" s="146">
        <f t="shared" si="18"/>
        <v>0</v>
      </c>
      <c r="CA81" s="132"/>
      <c r="CB81" s="146">
        <f t="shared" si="19"/>
        <v>0</v>
      </c>
      <c r="CC81" s="132"/>
      <c r="CD81" s="143">
        <f t="shared" si="20"/>
        <v>0</v>
      </c>
      <c r="CE81" s="132"/>
      <c r="CF81" s="143">
        <f t="shared" si="21"/>
        <v>0</v>
      </c>
      <c r="CG81" s="132"/>
      <c r="CH81" s="143">
        <f t="shared" si="22"/>
        <v>0</v>
      </c>
      <c r="CI81" s="132">
        <f t="shared" si="23"/>
        <v>0</v>
      </c>
      <c r="CJ81" s="143">
        <f t="shared" si="23"/>
        <v>0</v>
      </c>
    </row>
    <row r="82" spans="1:88" x14ac:dyDescent="0.3">
      <c r="A82" s="27"/>
      <c r="B82" s="27"/>
      <c r="C82" s="27"/>
      <c r="D82" s="27"/>
      <c r="E82" s="27"/>
      <c r="F82" s="27"/>
      <c r="G82" s="79"/>
      <c r="Q82" s="117" t="s">
        <v>538</v>
      </c>
      <c r="R82" s="117" t="s">
        <v>539</v>
      </c>
      <c r="T82" s="141" t="str">
        <f t="shared" si="12"/>
        <v xml:space="preserve"> </v>
      </c>
      <c r="X82" s="119" t="s">
        <v>540</v>
      </c>
      <c r="Y82" s="27"/>
      <c r="AE82" s="27"/>
      <c r="AH82" s="99"/>
      <c r="BD82" s="97"/>
      <c r="BE82" s="108"/>
      <c r="BF82" s="108"/>
      <c r="BG82" s="97"/>
      <c r="BH82" s="97"/>
      <c r="BI82" s="97"/>
      <c r="BJ82" s="97"/>
      <c r="BK82" s="110"/>
      <c r="BL82" s="97"/>
      <c r="BM82" s="97"/>
      <c r="BN82" s="97"/>
      <c r="BO82" s="142"/>
      <c r="BP82" s="143">
        <f t="shared" si="13"/>
        <v>0</v>
      </c>
      <c r="BQ82" s="142"/>
      <c r="BR82" s="143">
        <f t="shared" si="14"/>
        <v>0</v>
      </c>
      <c r="BS82" s="132"/>
      <c r="BT82" s="146">
        <f t="shared" si="15"/>
        <v>0</v>
      </c>
      <c r="BU82" s="132"/>
      <c r="BV82" s="143">
        <f t="shared" si="16"/>
        <v>0</v>
      </c>
      <c r="BW82" s="132"/>
      <c r="BX82" s="146">
        <f t="shared" si="17"/>
        <v>0</v>
      </c>
      <c r="BY82" s="132"/>
      <c r="BZ82" s="146">
        <f t="shared" si="18"/>
        <v>0</v>
      </c>
      <c r="CA82" s="132"/>
      <c r="CB82" s="146">
        <f t="shared" si="19"/>
        <v>0</v>
      </c>
      <c r="CC82" s="132"/>
      <c r="CD82" s="143">
        <f t="shared" si="20"/>
        <v>0</v>
      </c>
      <c r="CE82" s="132"/>
      <c r="CF82" s="143">
        <f t="shared" si="21"/>
        <v>0</v>
      </c>
      <c r="CG82" s="132"/>
      <c r="CH82" s="143">
        <f t="shared" si="22"/>
        <v>0</v>
      </c>
      <c r="CI82" s="132">
        <f t="shared" si="23"/>
        <v>0</v>
      </c>
      <c r="CJ82" s="143">
        <f t="shared" si="23"/>
        <v>0</v>
      </c>
    </row>
    <row r="83" spans="1:88" x14ac:dyDescent="0.3">
      <c r="A83" s="27"/>
      <c r="B83" s="27"/>
      <c r="C83" s="27"/>
      <c r="D83" s="27"/>
      <c r="E83" s="27"/>
      <c r="F83" s="27"/>
      <c r="G83" s="79"/>
      <c r="Q83" s="117" t="s">
        <v>541</v>
      </c>
      <c r="R83" s="117" t="s">
        <v>542</v>
      </c>
      <c r="T83" s="141" t="str">
        <f t="shared" si="12"/>
        <v xml:space="preserve"> </v>
      </c>
      <c r="X83" s="119" t="s">
        <v>543</v>
      </c>
      <c r="Y83" s="27"/>
      <c r="AE83" s="27"/>
      <c r="AH83" s="99"/>
      <c r="BD83" s="97"/>
      <c r="BE83" s="108"/>
      <c r="BF83" s="108"/>
      <c r="BG83" s="97"/>
      <c r="BH83" s="97"/>
      <c r="BI83" s="97"/>
      <c r="BJ83" s="97"/>
      <c r="BK83" s="110"/>
      <c r="BL83" s="97"/>
      <c r="BM83" s="97"/>
      <c r="BN83" s="97"/>
      <c r="BO83" s="148"/>
      <c r="BP83" s="143">
        <f t="shared" si="13"/>
        <v>0</v>
      </c>
      <c r="BQ83" s="148"/>
      <c r="BR83" s="143">
        <f t="shared" si="14"/>
        <v>0</v>
      </c>
      <c r="BS83" s="132"/>
      <c r="BT83" s="146">
        <f t="shared" si="15"/>
        <v>0</v>
      </c>
      <c r="BU83" s="149"/>
      <c r="BV83" s="143">
        <f t="shared" si="16"/>
        <v>0</v>
      </c>
      <c r="BW83" s="149"/>
      <c r="BX83" s="146">
        <f t="shared" si="17"/>
        <v>0</v>
      </c>
      <c r="BY83" s="149"/>
      <c r="BZ83" s="146">
        <f t="shared" si="18"/>
        <v>0</v>
      </c>
      <c r="CA83" s="149"/>
      <c r="CB83" s="146">
        <f t="shared" si="19"/>
        <v>0</v>
      </c>
      <c r="CC83" s="149"/>
      <c r="CD83" s="143">
        <f t="shared" si="20"/>
        <v>0</v>
      </c>
      <c r="CE83" s="149"/>
      <c r="CF83" s="143">
        <f t="shared" si="21"/>
        <v>0</v>
      </c>
      <c r="CG83" s="132"/>
      <c r="CH83" s="143">
        <f t="shared" si="22"/>
        <v>0</v>
      </c>
      <c r="CI83" s="132">
        <f t="shared" si="23"/>
        <v>0</v>
      </c>
      <c r="CJ83" s="143">
        <f t="shared" si="23"/>
        <v>0</v>
      </c>
    </row>
    <row r="84" spans="1:88" x14ac:dyDescent="0.3">
      <c r="A84" s="27"/>
      <c r="B84" s="27"/>
      <c r="C84" s="27"/>
      <c r="D84" s="27"/>
      <c r="E84" s="27"/>
      <c r="F84" s="27"/>
      <c r="G84" s="79"/>
      <c r="Q84" s="117" t="s">
        <v>544</v>
      </c>
      <c r="R84" s="117" t="s">
        <v>545</v>
      </c>
      <c r="T84" s="141" t="str">
        <f t="shared" si="12"/>
        <v xml:space="preserve"> </v>
      </c>
      <c r="X84" s="119" t="s">
        <v>546</v>
      </c>
      <c r="Y84" s="27"/>
      <c r="AE84" s="27"/>
      <c r="AH84" s="99"/>
      <c r="BD84" s="97"/>
      <c r="BE84" s="108"/>
      <c r="BF84" s="108"/>
      <c r="BG84" s="97"/>
      <c r="BH84" s="97"/>
      <c r="BI84" s="97"/>
      <c r="BJ84" s="97"/>
      <c r="BK84" s="110"/>
      <c r="BL84" s="97"/>
      <c r="BM84" s="97"/>
      <c r="BN84" s="97"/>
      <c r="BO84" s="142"/>
      <c r="BP84" s="143">
        <f t="shared" si="13"/>
        <v>0</v>
      </c>
      <c r="BQ84" s="142"/>
      <c r="BR84" s="143">
        <f t="shared" si="14"/>
        <v>0</v>
      </c>
      <c r="BS84" s="132"/>
      <c r="BT84" s="146">
        <f t="shared" si="15"/>
        <v>0</v>
      </c>
      <c r="BU84" s="132"/>
      <c r="BV84" s="143">
        <f t="shared" si="16"/>
        <v>0</v>
      </c>
      <c r="BW84" s="132"/>
      <c r="BX84" s="146">
        <f t="shared" si="17"/>
        <v>0</v>
      </c>
      <c r="BY84" s="132"/>
      <c r="BZ84" s="146">
        <f t="shared" si="18"/>
        <v>0</v>
      </c>
      <c r="CA84" s="132"/>
      <c r="CB84" s="146">
        <f t="shared" si="19"/>
        <v>0</v>
      </c>
      <c r="CC84" s="132"/>
      <c r="CD84" s="143">
        <f t="shared" si="20"/>
        <v>0</v>
      </c>
      <c r="CE84" s="132"/>
      <c r="CF84" s="143">
        <f t="shared" si="21"/>
        <v>0</v>
      </c>
      <c r="CG84" s="132"/>
      <c r="CH84" s="143">
        <f t="shared" si="22"/>
        <v>0</v>
      </c>
      <c r="CI84" s="132">
        <f t="shared" si="23"/>
        <v>0</v>
      </c>
      <c r="CJ84" s="143">
        <f t="shared" si="23"/>
        <v>0</v>
      </c>
    </row>
    <row r="85" spans="1:88" x14ac:dyDescent="0.3">
      <c r="A85" s="27"/>
      <c r="B85" s="27"/>
      <c r="C85" s="27"/>
      <c r="D85" s="27"/>
      <c r="E85" s="27"/>
      <c r="F85" s="27"/>
      <c r="G85" s="79"/>
      <c r="Q85" s="117" t="s">
        <v>547</v>
      </c>
      <c r="R85" s="117" t="s">
        <v>548</v>
      </c>
      <c r="T85" s="141" t="str">
        <f t="shared" si="12"/>
        <v xml:space="preserve"> </v>
      </c>
      <c r="X85" s="119" t="s">
        <v>549</v>
      </c>
      <c r="Y85" s="27"/>
      <c r="AE85" s="27"/>
      <c r="AH85" s="99"/>
      <c r="BD85" s="97"/>
      <c r="BE85" s="108"/>
      <c r="BF85" s="108"/>
      <c r="BG85" s="97"/>
      <c r="BH85" s="97"/>
      <c r="BI85" s="97"/>
      <c r="BJ85" s="97"/>
      <c r="BK85" s="110"/>
      <c r="BL85" s="97"/>
      <c r="BM85" s="97"/>
      <c r="BN85" s="97"/>
      <c r="BO85" s="142"/>
      <c r="BP85" s="143">
        <f t="shared" si="13"/>
        <v>0</v>
      </c>
      <c r="BQ85" s="142"/>
      <c r="BR85" s="143">
        <f t="shared" si="14"/>
        <v>0</v>
      </c>
      <c r="BS85" s="132"/>
      <c r="BT85" s="146">
        <f t="shared" si="15"/>
        <v>0</v>
      </c>
      <c r="BU85" s="132"/>
      <c r="BV85" s="143">
        <f t="shared" si="16"/>
        <v>0</v>
      </c>
      <c r="BW85" s="132"/>
      <c r="BX85" s="146">
        <f t="shared" si="17"/>
        <v>0</v>
      </c>
      <c r="BY85" s="132"/>
      <c r="BZ85" s="146">
        <f t="shared" si="18"/>
        <v>0</v>
      </c>
      <c r="CA85" s="132"/>
      <c r="CB85" s="146">
        <f t="shared" si="19"/>
        <v>0</v>
      </c>
      <c r="CC85" s="132"/>
      <c r="CD85" s="143">
        <f t="shared" si="20"/>
        <v>0</v>
      </c>
      <c r="CE85" s="132"/>
      <c r="CF85" s="143">
        <f t="shared" si="21"/>
        <v>0</v>
      </c>
      <c r="CG85" s="132"/>
      <c r="CH85" s="143">
        <f t="shared" si="22"/>
        <v>0</v>
      </c>
      <c r="CI85" s="132">
        <f t="shared" si="23"/>
        <v>0</v>
      </c>
      <c r="CJ85" s="143">
        <f t="shared" si="23"/>
        <v>0</v>
      </c>
    </row>
    <row r="86" spans="1:88" ht="27.6" x14ac:dyDescent="0.3">
      <c r="A86" s="27"/>
      <c r="B86" s="27"/>
      <c r="C86" s="27"/>
      <c r="D86" s="27"/>
      <c r="E86" s="27"/>
      <c r="F86" s="27"/>
      <c r="G86" s="79"/>
      <c r="Q86" s="117" t="s">
        <v>550</v>
      </c>
      <c r="R86" s="117" t="s">
        <v>551</v>
      </c>
      <c r="T86" s="141" t="str">
        <f t="shared" si="12"/>
        <v xml:space="preserve"> </v>
      </c>
      <c r="X86" s="119" t="s">
        <v>552</v>
      </c>
      <c r="Y86" s="27"/>
      <c r="AE86" s="27"/>
      <c r="AH86" s="99"/>
      <c r="BD86" s="97"/>
      <c r="BE86" s="108"/>
      <c r="BF86" s="108"/>
      <c r="BG86" s="97"/>
      <c r="BH86" s="97"/>
      <c r="BI86" s="97"/>
      <c r="BJ86" s="97"/>
      <c r="BK86" s="110"/>
      <c r="BL86" s="97"/>
      <c r="BM86" s="97"/>
      <c r="BN86" s="97"/>
      <c r="BO86" s="142"/>
      <c r="BP86" s="143">
        <f t="shared" si="13"/>
        <v>0</v>
      </c>
      <c r="BQ86" s="142"/>
      <c r="BR86" s="143">
        <f t="shared" si="14"/>
        <v>0</v>
      </c>
      <c r="BS86" s="132"/>
      <c r="BT86" s="146">
        <f t="shared" si="15"/>
        <v>0</v>
      </c>
      <c r="BU86" s="132"/>
      <c r="BV86" s="143">
        <f t="shared" si="16"/>
        <v>0</v>
      </c>
      <c r="BW86" s="132"/>
      <c r="BX86" s="146">
        <f t="shared" si="17"/>
        <v>0</v>
      </c>
      <c r="BY86" s="132"/>
      <c r="BZ86" s="146">
        <f t="shared" si="18"/>
        <v>0</v>
      </c>
      <c r="CA86" s="132"/>
      <c r="CB86" s="146">
        <f t="shared" si="19"/>
        <v>0</v>
      </c>
      <c r="CC86" s="132"/>
      <c r="CD86" s="143">
        <f t="shared" si="20"/>
        <v>0</v>
      </c>
      <c r="CE86" s="132"/>
      <c r="CF86" s="143">
        <f t="shared" si="21"/>
        <v>0</v>
      </c>
      <c r="CG86" s="132"/>
      <c r="CH86" s="143">
        <f t="shared" si="22"/>
        <v>0</v>
      </c>
      <c r="CI86" s="132">
        <f t="shared" si="23"/>
        <v>0</v>
      </c>
      <c r="CJ86" s="143">
        <f t="shared" si="23"/>
        <v>0</v>
      </c>
    </row>
    <row r="87" spans="1:88" x14ac:dyDescent="0.3">
      <c r="A87" s="27"/>
      <c r="B87" s="27"/>
      <c r="C87" s="27"/>
      <c r="D87" s="27"/>
      <c r="E87" s="27"/>
      <c r="F87" s="27"/>
      <c r="G87" s="79"/>
      <c r="Q87" s="117" t="s">
        <v>553</v>
      </c>
      <c r="R87" s="117" t="s">
        <v>554</v>
      </c>
      <c r="T87" s="141" t="str">
        <f t="shared" si="12"/>
        <v xml:space="preserve"> </v>
      </c>
      <c r="X87" s="119" t="s">
        <v>555</v>
      </c>
      <c r="Y87" s="27"/>
      <c r="AE87" s="27"/>
      <c r="AH87" s="99"/>
      <c r="BD87" s="97"/>
      <c r="BE87" s="108"/>
      <c r="BF87" s="108"/>
      <c r="BG87" s="97"/>
      <c r="BH87" s="97"/>
      <c r="BI87" s="97"/>
      <c r="BJ87" s="97"/>
      <c r="BK87" s="110"/>
      <c r="BL87" s="97"/>
      <c r="BM87" s="97"/>
      <c r="BN87" s="97"/>
      <c r="BO87" s="142"/>
      <c r="BP87" s="143">
        <f t="shared" si="13"/>
        <v>0</v>
      </c>
      <c r="BQ87" s="142"/>
      <c r="BR87" s="143">
        <f t="shared" si="14"/>
        <v>0</v>
      </c>
      <c r="BS87" s="132"/>
      <c r="BT87" s="146">
        <f t="shared" si="15"/>
        <v>0</v>
      </c>
      <c r="BU87" s="132"/>
      <c r="BV87" s="143">
        <f t="shared" si="16"/>
        <v>0</v>
      </c>
      <c r="BW87" s="132"/>
      <c r="BX87" s="146">
        <f t="shared" si="17"/>
        <v>0</v>
      </c>
      <c r="BY87" s="132"/>
      <c r="BZ87" s="146">
        <f t="shared" si="18"/>
        <v>0</v>
      </c>
      <c r="CA87" s="132"/>
      <c r="CB87" s="146">
        <f t="shared" si="19"/>
        <v>0</v>
      </c>
      <c r="CC87" s="132"/>
      <c r="CD87" s="143">
        <f t="shared" si="20"/>
        <v>0</v>
      </c>
      <c r="CE87" s="132"/>
      <c r="CF87" s="143">
        <f t="shared" si="21"/>
        <v>0</v>
      </c>
      <c r="CG87" s="132"/>
      <c r="CH87" s="143">
        <f t="shared" si="22"/>
        <v>0</v>
      </c>
      <c r="CI87" s="132">
        <f t="shared" si="23"/>
        <v>0</v>
      </c>
      <c r="CJ87" s="143">
        <f t="shared" si="23"/>
        <v>0</v>
      </c>
    </row>
    <row r="88" spans="1:88" x14ac:dyDescent="0.3">
      <c r="A88" s="27"/>
      <c r="B88" s="27"/>
      <c r="C88" s="27"/>
      <c r="D88" s="27"/>
      <c r="E88" s="27"/>
      <c r="F88" s="27"/>
      <c r="Q88" s="117" t="s">
        <v>269</v>
      </c>
      <c r="R88" s="117" t="s">
        <v>556</v>
      </c>
      <c r="T88" s="141" t="str">
        <f t="shared" si="12"/>
        <v xml:space="preserve"> </v>
      </c>
      <c r="X88" s="119" t="s">
        <v>557</v>
      </c>
      <c r="Y88" s="27"/>
      <c r="AE88" s="27"/>
      <c r="AH88" s="99"/>
      <c r="BD88" s="97"/>
      <c r="BE88" s="108"/>
      <c r="BF88" s="108"/>
      <c r="BG88" s="97"/>
      <c r="BH88" s="97"/>
      <c r="BI88" s="97"/>
      <c r="BJ88" s="97"/>
      <c r="BK88" s="110"/>
      <c r="BL88" s="97"/>
      <c r="BM88" s="97"/>
      <c r="BN88" s="97"/>
      <c r="BO88" s="142"/>
      <c r="BP88" s="143">
        <f t="shared" si="13"/>
        <v>0</v>
      </c>
      <c r="BQ88" s="142"/>
      <c r="BR88" s="143">
        <f t="shared" si="14"/>
        <v>0</v>
      </c>
      <c r="BS88" s="132"/>
      <c r="BT88" s="146">
        <f t="shared" si="15"/>
        <v>0</v>
      </c>
      <c r="BU88" s="132"/>
      <c r="BV88" s="143">
        <f t="shared" si="16"/>
        <v>0</v>
      </c>
      <c r="BW88" s="132"/>
      <c r="BX88" s="146">
        <f t="shared" si="17"/>
        <v>0</v>
      </c>
      <c r="BY88" s="132"/>
      <c r="BZ88" s="146">
        <f t="shared" si="18"/>
        <v>0</v>
      </c>
      <c r="CA88" s="132"/>
      <c r="CB88" s="146">
        <f t="shared" si="19"/>
        <v>0</v>
      </c>
      <c r="CC88" s="132"/>
      <c r="CD88" s="143">
        <f t="shared" si="20"/>
        <v>0</v>
      </c>
      <c r="CE88" s="132"/>
      <c r="CF88" s="143">
        <f t="shared" si="21"/>
        <v>0</v>
      </c>
      <c r="CG88" s="132"/>
      <c r="CH88" s="143">
        <f t="shared" si="22"/>
        <v>0</v>
      </c>
      <c r="CI88" s="132">
        <f t="shared" si="23"/>
        <v>0</v>
      </c>
      <c r="CJ88" s="143">
        <f t="shared" si="23"/>
        <v>0</v>
      </c>
    </row>
    <row r="89" spans="1:88" x14ac:dyDescent="0.3">
      <c r="A89" s="27"/>
      <c r="B89" s="27"/>
      <c r="C89" s="27"/>
      <c r="D89" s="27"/>
      <c r="E89" s="27"/>
      <c r="F89" s="27"/>
      <c r="Q89" s="117" t="s">
        <v>558</v>
      </c>
      <c r="R89" s="117" t="s">
        <v>559</v>
      </c>
      <c r="T89" s="141" t="str">
        <f t="shared" si="12"/>
        <v xml:space="preserve"> </v>
      </c>
      <c r="X89" s="119" t="s">
        <v>560</v>
      </c>
      <c r="Y89" s="27"/>
      <c r="AE89" s="27"/>
      <c r="AH89" s="99"/>
      <c r="BD89" s="97"/>
      <c r="BE89" s="108"/>
      <c r="BF89" s="108"/>
      <c r="BG89" s="97"/>
      <c r="BH89" s="97"/>
      <c r="BI89" s="97"/>
      <c r="BJ89" s="97"/>
      <c r="BK89" s="110"/>
      <c r="BL89" s="97"/>
      <c r="BM89" s="97"/>
      <c r="BN89" s="97"/>
      <c r="BO89" s="142"/>
      <c r="BP89" s="143">
        <f t="shared" si="13"/>
        <v>0</v>
      </c>
      <c r="BQ89" s="142"/>
      <c r="BR89" s="143">
        <f t="shared" si="14"/>
        <v>0</v>
      </c>
      <c r="BS89" s="132"/>
      <c r="BT89" s="146">
        <f t="shared" si="15"/>
        <v>0</v>
      </c>
      <c r="BU89" s="132"/>
      <c r="BV89" s="143">
        <f t="shared" si="16"/>
        <v>0</v>
      </c>
      <c r="BW89" s="132"/>
      <c r="BX89" s="146">
        <f t="shared" si="17"/>
        <v>0</v>
      </c>
      <c r="BY89" s="132"/>
      <c r="BZ89" s="146">
        <f t="shared" si="18"/>
        <v>0</v>
      </c>
      <c r="CA89" s="132"/>
      <c r="CB89" s="146">
        <f t="shared" si="19"/>
        <v>0</v>
      </c>
      <c r="CC89" s="132"/>
      <c r="CD89" s="143">
        <f t="shared" si="20"/>
        <v>0</v>
      </c>
      <c r="CE89" s="132"/>
      <c r="CF89" s="143">
        <f t="shared" si="21"/>
        <v>0</v>
      </c>
      <c r="CG89" s="132"/>
      <c r="CH89" s="143">
        <f t="shared" si="22"/>
        <v>0</v>
      </c>
      <c r="CI89" s="132">
        <f t="shared" si="23"/>
        <v>0</v>
      </c>
      <c r="CJ89" s="143">
        <f t="shared" si="23"/>
        <v>0</v>
      </c>
    </row>
    <row r="90" spans="1:88" x14ac:dyDescent="0.3">
      <c r="A90" s="27"/>
      <c r="B90" s="27"/>
      <c r="C90" s="27"/>
      <c r="D90" s="27"/>
      <c r="E90" s="27"/>
      <c r="F90" s="27"/>
      <c r="Q90" s="117" t="s">
        <v>561</v>
      </c>
      <c r="R90" s="117" t="s">
        <v>562</v>
      </c>
      <c r="T90" s="141" t="str">
        <f t="shared" si="12"/>
        <v xml:space="preserve"> </v>
      </c>
      <c r="X90" s="119" t="s">
        <v>563</v>
      </c>
      <c r="Y90" s="27"/>
      <c r="AE90" s="27"/>
      <c r="AH90" s="99"/>
      <c r="BD90" s="97"/>
      <c r="BE90" s="108"/>
      <c r="BF90" s="108"/>
      <c r="BG90" s="97"/>
      <c r="BH90" s="97"/>
      <c r="BI90" s="97"/>
      <c r="BJ90" s="97"/>
      <c r="BK90" s="110"/>
      <c r="BL90" s="97"/>
      <c r="BM90" s="97"/>
      <c r="BN90" s="97"/>
      <c r="BO90" s="142"/>
      <c r="BP90" s="143">
        <f t="shared" si="13"/>
        <v>0</v>
      </c>
      <c r="BQ90" s="142"/>
      <c r="BR90" s="143">
        <f t="shared" si="14"/>
        <v>0</v>
      </c>
      <c r="BS90" s="132"/>
      <c r="BT90" s="146">
        <f t="shared" si="15"/>
        <v>0</v>
      </c>
      <c r="BU90" s="132"/>
      <c r="BV90" s="143">
        <f t="shared" si="16"/>
        <v>0</v>
      </c>
      <c r="BW90" s="132"/>
      <c r="BX90" s="146">
        <f t="shared" si="17"/>
        <v>0</v>
      </c>
      <c r="BY90" s="132"/>
      <c r="BZ90" s="146">
        <f t="shared" si="18"/>
        <v>0</v>
      </c>
      <c r="CA90" s="132"/>
      <c r="CB90" s="146">
        <f t="shared" si="19"/>
        <v>0</v>
      </c>
      <c r="CC90" s="132"/>
      <c r="CD90" s="143">
        <f t="shared" si="20"/>
        <v>0</v>
      </c>
      <c r="CE90" s="132"/>
      <c r="CF90" s="143">
        <f t="shared" si="21"/>
        <v>0</v>
      </c>
      <c r="CG90" s="132"/>
      <c r="CH90" s="143">
        <f t="shared" si="22"/>
        <v>0</v>
      </c>
      <c r="CI90" s="132">
        <f t="shared" si="23"/>
        <v>0</v>
      </c>
      <c r="CJ90" s="143">
        <f t="shared" si="23"/>
        <v>0</v>
      </c>
    </row>
    <row r="91" spans="1:88" x14ac:dyDescent="0.3">
      <c r="A91" s="27"/>
      <c r="B91" s="27"/>
      <c r="C91" s="27"/>
      <c r="D91" s="27"/>
      <c r="E91" s="27"/>
      <c r="F91" s="27"/>
      <c r="Q91" s="117" t="s">
        <v>564</v>
      </c>
      <c r="R91" s="117" t="s">
        <v>565</v>
      </c>
      <c r="T91" s="141" t="str">
        <f t="shared" si="12"/>
        <v xml:space="preserve"> </v>
      </c>
      <c r="X91" s="119" t="s">
        <v>566</v>
      </c>
      <c r="Y91" s="27"/>
      <c r="AE91" s="27"/>
      <c r="AH91" s="99"/>
      <c r="BD91" s="97"/>
      <c r="BE91" s="108"/>
      <c r="BF91" s="108"/>
      <c r="BG91" s="97"/>
      <c r="BH91" s="97"/>
      <c r="BI91" s="97"/>
      <c r="BJ91" s="97"/>
      <c r="BK91" s="110"/>
      <c r="BL91" s="97"/>
      <c r="BM91" s="97"/>
      <c r="BN91" s="97"/>
      <c r="BO91" s="148"/>
      <c r="BP91" s="143">
        <f t="shared" si="13"/>
        <v>0</v>
      </c>
      <c r="BQ91" s="148"/>
      <c r="BR91" s="143">
        <f t="shared" si="14"/>
        <v>0</v>
      </c>
      <c r="BS91" s="132"/>
      <c r="BT91" s="146">
        <f t="shared" si="15"/>
        <v>0</v>
      </c>
      <c r="BU91" s="149"/>
      <c r="BV91" s="143">
        <f t="shared" si="16"/>
        <v>0</v>
      </c>
      <c r="BW91" s="149"/>
      <c r="BX91" s="146">
        <f t="shared" si="17"/>
        <v>0</v>
      </c>
      <c r="BY91" s="149"/>
      <c r="BZ91" s="146">
        <f t="shared" si="18"/>
        <v>0</v>
      </c>
      <c r="CA91" s="149"/>
      <c r="CB91" s="146">
        <f t="shared" si="19"/>
        <v>0</v>
      </c>
      <c r="CC91" s="149"/>
      <c r="CD91" s="143">
        <f t="shared" si="20"/>
        <v>0</v>
      </c>
      <c r="CE91" s="149"/>
      <c r="CF91" s="143">
        <f t="shared" si="21"/>
        <v>0</v>
      </c>
      <c r="CG91" s="132"/>
      <c r="CH91" s="143">
        <f t="shared" si="22"/>
        <v>0</v>
      </c>
      <c r="CI91" s="132">
        <f t="shared" si="23"/>
        <v>0</v>
      </c>
      <c r="CJ91" s="143">
        <f t="shared" si="23"/>
        <v>0</v>
      </c>
    </row>
    <row r="92" spans="1:88" x14ac:dyDescent="0.3">
      <c r="A92" s="27"/>
      <c r="B92" s="27"/>
      <c r="C92" s="27"/>
      <c r="D92" s="27"/>
      <c r="E92" s="27"/>
      <c r="F92" s="27"/>
      <c r="Q92" s="117" t="s">
        <v>567</v>
      </c>
      <c r="R92" s="117" t="s">
        <v>568</v>
      </c>
      <c r="T92" s="141" t="str">
        <f t="shared" si="12"/>
        <v xml:space="preserve"> </v>
      </c>
      <c r="X92" s="119" t="s">
        <v>569</v>
      </c>
      <c r="Y92" s="27"/>
      <c r="AE92" s="27"/>
      <c r="AH92" s="99"/>
      <c r="BD92" s="97"/>
      <c r="BE92" s="108"/>
      <c r="BF92" s="108"/>
      <c r="BG92" s="97"/>
      <c r="BH92" s="97"/>
      <c r="BI92" s="97"/>
      <c r="BJ92" s="97"/>
      <c r="BK92" s="110"/>
      <c r="BL92" s="97"/>
      <c r="BM92" s="97"/>
      <c r="BN92" s="97"/>
      <c r="BO92" s="142"/>
      <c r="BP92" s="143">
        <f t="shared" si="13"/>
        <v>0</v>
      </c>
      <c r="BQ92" s="142"/>
      <c r="BR92" s="143">
        <f t="shared" si="14"/>
        <v>0</v>
      </c>
      <c r="BS92" s="132"/>
      <c r="BT92" s="146">
        <f t="shared" si="15"/>
        <v>0</v>
      </c>
      <c r="BU92" s="132"/>
      <c r="BV92" s="143">
        <f t="shared" si="16"/>
        <v>0</v>
      </c>
      <c r="BW92" s="132"/>
      <c r="BX92" s="146">
        <f t="shared" si="17"/>
        <v>0</v>
      </c>
      <c r="BY92" s="132"/>
      <c r="BZ92" s="146">
        <f t="shared" si="18"/>
        <v>0</v>
      </c>
      <c r="CA92" s="132"/>
      <c r="CB92" s="146">
        <f t="shared" si="19"/>
        <v>0</v>
      </c>
      <c r="CC92" s="132"/>
      <c r="CD92" s="143">
        <f t="shared" si="20"/>
        <v>0</v>
      </c>
      <c r="CE92" s="132"/>
      <c r="CF92" s="143">
        <f t="shared" si="21"/>
        <v>0</v>
      </c>
      <c r="CG92" s="132"/>
      <c r="CH92" s="143">
        <f t="shared" si="22"/>
        <v>0</v>
      </c>
      <c r="CI92" s="132">
        <f t="shared" si="23"/>
        <v>0</v>
      </c>
      <c r="CJ92" s="143">
        <f t="shared" si="23"/>
        <v>0</v>
      </c>
    </row>
    <row r="93" spans="1:88" x14ac:dyDescent="0.3">
      <c r="A93" s="27"/>
      <c r="B93" s="27"/>
      <c r="C93" s="27"/>
      <c r="D93" s="27"/>
      <c r="E93" s="27"/>
      <c r="F93" s="27"/>
      <c r="Q93" s="117" t="s">
        <v>570</v>
      </c>
      <c r="R93" s="117" t="s">
        <v>571</v>
      </c>
      <c r="T93" s="141" t="str">
        <f t="shared" si="12"/>
        <v xml:space="preserve"> </v>
      </c>
      <c r="X93" s="119" t="s">
        <v>572</v>
      </c>
      <c r="Y93" s="27"/>
      <c r="AE93" s="27"/>
      <c r="AH93" s="99"/>
      <c r="BD93" s="129"/>
      <c r="BE93" s="108"/>
      <c r="BF93" s="108"/>
      <c r="BG93" s="97"/>
      <c r="BH93" s="97"/>
      <c r="BI93" s="97"/>
      <c r="BJ93" s="97"/>
      <c r="BK93" s="110"/>
      <c r="BL93" s="97"/>
      <c r="BM93" s="97"/>
      <c r="BN93" s="97"/>
      <c r="BO93" s="142"/>
      <c r="BP93" s="143">
        <f t="shared" si="13"/>
        <v>0</v>
      </c>
      <c r="BQ93" s="142"/>
      <c r="BR93" s="143">
        <f t="shared" si="14"/>
        <v>0</v>
      </c>
      <c r="BS93" s="132"/>
      <c r="BT93" s="146">
        <f t="shared" si="15"/>
        <v>0</v>
      </c>
      <c r="BU93" s="132"/>
      <c r="BV93" s="143">
        <f t="shared" si="16"/>
        <v>0</v>
      </c>
      <c r="BW93" s="132"/>
      <c r="BX93" s="146">
        <f t="shared" si="17"/>
        <v>0</v>
      </c>
      <c r="BY93" s="132"/>
      <c r="BZ93" s="146">
        <f t="shared" si="18"/>
        <v>0</v>
      </c>
      <c r="CA93" s="132"/>
      <c r="CB93" s="146">
        <f t="shared" si="19"/>
        <v>0</v>
      </c>
      <c r="CC93" s="132"/>
      <c r="CD93" s="143">
        <f t="shared" si="20"/>
        <v>0</v>
      </c>
      <c r="CE93" s="132"/>
      <c r="CF93" s="143">
        <f t="shared" si="21"/>
        <v>0</v>
      </c>
      <c r="CG93" s="132"/>
      <c r="CH93" s="143">
        <f t="shared" si="22"/>
        <v>0</v>
      </c>
      <c r="CI93" s="132">
        <f t="shared" si="23"/>
        <v>0</v>
      </c>
      <c r="CJ93" s="143">
        <f t="shared" si="23"/>
        <v>0</v>
      </c>
    </row>
    <row r="94" spans="1:88" x14ac:dyDescent="0.3">
      <c r="A94" s="27"/>
      <c r="B94" s="27"/>
      <c r="C94" s="27"/>
      <c r="D94" s="27"/>
      <c r="E94" s="27"/>
      <c r="F94" s="27"/>
      <c r="Q94" s="117" t="s">
        <v>573</v>
      </c>
      <c r="R94" s="117" t="s">
        <v>574</v>
      </c>
      <c r="T94" s="141" t="str">
        <f t="shared" si="12"/>
        <v xml:space="preserve"> </v>
      </c>
      <c r="X94" s="119" t="s">
        <v>575</v>
      </c>
      <c r="Y94" s="27"/>
      <c r="AE94" s="27"/>
      <c r="AH94" s="99"/>
      <c r="BD94" s="129"/>
      <c r="BE94" s="108"/>
      <c r="BF94" s="108"/>
      <c r="BG94" s="97"/>
      <c r="BH94" s="97"/>
      <c r="BI94" s="97"/>
      <c r="BJ94" s="97"/>
      <c r="BK94" s="110"/>
      <c r="BL94" s="97"/>
      <c r="BM94" s="97"/>
      <c r="BN94" s="97"/>
      <c r="BO94" s="142"/>
      <c r="BP94" s="143">
        <f t="shared" si="13"/>
        <v>0</v>
      </c>
      <c r="BQ94" s="142"/>
      <c r="BR94" s="143">
        <f t="shared" si="14"/>
        <v>0</v>
      </c>
      <c r="BS94" s="132"/>
      <c r="BT94" s="146">
        <f t="shared" si="15"/>
        <v>0</v>
      </c>
      <c r="BU94" s="132"/>
      <c r="BV94" s="143">
        <f t="shared" si="16"/>
        <v>0</v>
      </c>
      <c r="BW94" s="132"/>
      <c r="BX94" s="146">
        <f t="shared" si="17"/>
        <v>0</v>
      </c>
      <c r="BY94" s="132"/>
      <c r="BZ94" s="146">
        <f t="shared" si="18"/>
        <v>0</v>
      </c>
      <c r="CA94" s="132"/>
      <c r="CB94" s="146">
        <f t="shared" si="19"/>
        <v>0</v>
      </c>
      <c r="CC94" s="132"/>
      <c r="CD94" s="143">
        <f t="shared" si="20"/>
        <v>0</v>
      </c>
      <c r="CE94" s="132"/>
      <c r="CF94" s="143">
        <f t="shared" si="21"/>
        <v>0</v>
      </c>
      <c r="CG94" s="132"/>
      <c r="CH94" s="143">
        <f t="shared" si="22"/>
        <v>0</v>
      </c>
      <c r="CI94" s="132">
        <f t="shared" si="23"/>
        <v>0</v>
      </c>
      <c r="CJ94" s="143">
        <f t="shared" si="23"/>
        <v>0</v>
      </c>
    </row>
    <row r="95" spans="1:88" x14ac:dyDescent="0.3">
      <c r="A95" s="27"/>
      <c r="B95" s="27"/>
      <c r="C95" s="27"/>
      <c r="D95" s="27"/>
      <c r="E95" s="27"/>
      <c r="F95" s="27"/>
      <c r="Q95" s="117" t="s">
        <v>576</v>
      </c>
      <c r="R95" s="117" t="s">
        <v>577</v>
      </c>
      <c r="T95" s="141" t="str">
        <f t="shared" si="12"/>
        <v xml:space="preserve"> </v>
      </c>
      <c r="X95" s="119" t="s">
        <v>578</v>
      </c>
      <c r="Y95" s="27"/>
      <c r="AE95" s="27"/>
      <c r="AH95" s="99"/>
      <c r="BD95" s="129"/>
      <c r="BE95" s="108"/>
      <c r="BF95" s="108"/>
      <c r="BG95" s="97"/>
      <c r="BH95" s="97"/>
      <c r="BI95" s="97"/>
      <c r="BJ95" s="97"/>
      <c r="BK95" s="110"/>
      <c r="BL95" s="97"/>
      <c r="BM95" s="97"/>
      <c r="BN95" s="97"/>
      <c r="BO95" s="142"/>
      <c r="BP95" s="143">
        <f t="shared" si="13"/>
        <v>0</v>
      </c>
      <c r="BQ95" s="142"/>
      <c r="BR95" s="143">
        <f t="shared" si="14"/>
        <v>0</v>
      </c>
      <c r="BS95" s="132"/>
      <c r="BT95" s="146">
        <f t="shared" si="15"/>
        <v>0</v>
      </c>
      <c r="BU95" s="132"/>
      <c r="BV95" s="143">
        <f t="shared" si="16"/>
        <v>0</v>
      </c>
      <c r="BW95" s="132"/>
      <c r="BX95" s="146">
        <f t="shared" si="17"/>
        <v>0</v>
      </c>
      <c r="BY95" s="132"/>
      <c r="BZ95" s="146">
        <f t="shared" si="18"/>
        <v>0</v>
      </c>
      <c r="CA95" s="132"/>
      <c r="CB95" s="146">
        <f t="shared" si="19"/>
        <v>0</v>
      </c>
      <c r="CC95" s="132"/>
      <c r="CD95" s="143">
        <f t="shared" si="20"/>
        <v>0</v>
      </c>
      <c r="CE95" s="132"/>
      <c r="CF95" s="143">
        <f t="shared" si="21"/>
        <v>0</v>
      </c>
      <c r="CG95" s="132"/>
      <c r="CH95" s="143">
        <f t="shared" si="22"/>
        <v>0</v>
      </c>
      <c r="CI95" s="132">
        <f t="shared" si="23"/>
        <v>0</v>
      </c>
      <c r="CJ95" s="143">
        <f t="shared" si="23"/>
        <v>0</v>
      </c>
    </row>
    <row r="96" spans="1:88" x14ac:dyDescent="0.3">
      <c r="A96" s="27"/>
      <c r="B96" s="27"/>
      <c r="C96" s="27"/>
      <c r="D96" s="27"/>
      <c r="E96" s="27"/>
      <c r="F96" s="27"/>
      <c r="Q96" s="117" t="s">
        <v>579</v>
      </c>
      <c r="R96" s="117" t="s">
        <v>580</v>
      </c>
      <c r="T96" s="141" t="str">
        <f t="shared" si="12"/>
        <v xml:space="preserve"> </v>
      </c>
      <c r="X96" s="119" t="s">
        <v>581</v>
      </c>
      <c r="Y96" s="27"/>
      <c r="AE96" s="27"/>
      <c r="AH96" s="99"/>
      <c r="BD96" s="129"/>
      <c r="BE96" s="108"/>
      <c r="BF96" s="108"/>
      <c r="BG96" s="97"/>
      <c r="BH96" s="97"/>
      <c r="BI96" s="97"/>
      <c r="BJ96" s="97"/>
      <c r="BK96" s="110"/>
      <c r="BL96" s="97"/>
      <c r="BM96" s="97"/>
      <c r="BN96" s="97"/>
      <c r="BO96" s="142"/>
      <c r="BP96" s="143">
        <f t="shared" si="13"/>
        <v>0</v>
      </c>
      <c r="BQ96" s="142"/>
      <c r="BR96" s="143">
        <f t="shared" si="14"/>
        <v>0</v>
      </c>
      <c r="BS96" s="132"/>
      <c r="BT96" s="146">
        <f t="shared" si="15"/>
        <v>0</v>
      </c>
      <c r="BU96" s="132"/>
      <c r="BV96" s="143">
        <f t="shared" si="16"/>
        <v>0</v>
      </c>
      <c r="BW96" s="132"/>
      <c r="BX96" s="146">
        <f t="shared" si="17"/>
        <v>0</v>
      </c>
      <c r="BY96" s="132"/>
      <c r="BZ96" s="146">
        <f t="shared" si="18"/>
        <v>0</v>
      </c>
      <c r="CA96" s="132"/>
      <c r="CB96" s="146">
        <f t="shared" si="19"/>
        <v>0</v>
      </c>
      <c r="CC96" s="132"/>
      <c r="CD96" s="143">
        <f t="shared" si="20"/>
        <v>0</v>
      </c>
      <c r="CE96" s="132"/>
      <c r="CF96" s="143">
        <f t="shared" si="21"/>
        <v>0</v>
      </c>
      <c r="CG96" s="132"/>
      <c r="CH96" s="143">
        <f t="shared" si="22"/>
        <v>0</v>
      </c>
      <c r="CI96" s="132">
        <f t="shared" si="23"/>
        <v>0</v>
      </c>
      <c r="CJ96" s="143">
        <f t="shared" si="23"/>
        <v>0</v>
      </c>
    </row>
    <row r="97" spans="1:88" x14ac:dyDescent="0.3">
      <c r="A97" s="27"/>
      <c r="B97" s="27"/>
      <c r="C97" s="27"/>
      <c r="D97" s="27"/>
      <c r="E97" s="27"/>
      <c r="F97" s="27"/>
      <c r="Q97" s="117" t="s">
        <v>582</v>
      </c>
      <c r="R97" s="117" t="s">
        <v>583</v>
      </c>
      <c r="T97" s="141" t="str">
        <f t="shared" si="12"/>
        <v xml:space="preserve"> </v>
      </c>
      <c r="X97" s="119" t="s">
        <v>584</v>
      </c>
      <c r="Y97" s="27"/>
      <c r="AE97" s="27"/>
      <c r="AH97" s="99"/>
      <c r="BD97" s="129"/>
      <c r="BE97" s="108"/>
      <c r="BF97" s="108"/>
      <c r="BG97" s="97"/>
      <c r="BH97" s="97"/>
      <c r="BI97" s="97"/>
      <c r="BJ97" s="97"/>
      <c r="BK97" s="110"/>
      <c r="BL97" s="97"/>
      <c r="BM97" s="97"/>
      <c r="BN97" s="97"/>
      <c r="BO97" s="142"/>
      <c r="BP97" s="143">
        <f t="shared" si="13"/>
        <v>0</v>
      </c>
      <c r="BQ97" s="142"/>
      <c r="BR97" s="143">
        <f t="shared" si="14"/>
        <v>0</v>
      </c>
      <c r="BS97" s="132"/>
      <c r="BT97" s="146">
        <f t="shared" si="15"/>
        <v>0</v>
      </c>
      <c r="BU97" s="132"/>
      <c r="BV97" s="143">
        <f t="shared" si="16"/>
        <v>0</v>
      </c>
      <c r="BW97" s="132"/>
      <c r="BX97" s="146">
        <f t="shared" si="17"/>
        <v>0</v>
      </c>
      <c r="BY97" s="132"/>
      <c r="BZ97" s="146">
        <f t="shared" si="18"/>
        <v>0</v>
      </c>
      <c r="CA97" s="132"/>
      <c r="CB97" s="146">
        <f t="shared" si="19"/>
        <v>0</v>
      </c>
      <c r="CC97" s="132"/>
      <c r="CD97" s="143">
        <f t="shared" si="20"/>
        <v>0</v>
      </c>
      <c r="CE97" s="132"/>
      <c r="CF97" s="143">
        <f t="shared" si="21"/>
        <v>0</v>
      </c>
      <c r="CG97" s="132"/>
      <c r="CH97" s="143">
        <f t="shared" si="22"/>
        <v>0</v>
      </c>
      <c r="CI97" s="132">
        <f t="shared" si="23"/>
        <v>0</v>
      </c>
      <c r="CJ97" s="143">
        <f t="shared" si="23"/>
        <v>0</v>
      </c>
    </row>
    <row r="98" spans="1:88" ht="27.6" x14ac:dyDescent="0.3">
      <c r="A98" s="27"/>
      <c r="B98" s="27"/>
      <c r="C98" s="27"/>
      <c r="D98" s="27"/>
      <c r="E98" s="27"/>
      <c r="F98" s="27"/>
      <c r="Q98" s="117" t="s">
        <v>585</v>
      </c>
      <c r="R98" s="117" t="s">
        <v>586</v>
      </c>
      <c r="T98" s="141" t="str">
        <f t="shared" si="12"/>
        <v xml:space="preserve"> </v>
      </c>
      <c r="X98" s="119" t="s">
        <v>587</v>
      </c>
      <c r="Y98" s="27"/>
      <c r="AE98" s="27"/>
      <c r="AH98" s="99"/>
      <c r="BD98" s="129"/>
      <c r="BE98" s="108"/>
      <c r="BF98" s="108"/>
      <c r="BG98" s="97"/>
      <c r="BH98" s="97"/>
      <c r="BI98" s="97"/>
      <c r="BJ98" s="97"/>
      <c r="BK98" s="110"/>
      <c r="BL98" s="97"/>
      <c r="BM98" s="97"/>
      <c r="BN98" s="97"/>
      <c r="BO98" s="142"/>
      <c r="BP98" s="143">
        <f t="shared" si="13"/>
        <v>0</v>
      </c>
      <c r="BQ98" s="142"/>
      <c r="BR98" s="143">
        <f t="shared" si="14"/>
        <v>0</v>
      </c>
      <c r="BS98" s="132"/>
      <c r="BT98" s="146">
        <f t="shared" si="15"/>
        <v>0</v>
      </c>
      <c r="BU98" s="132"/>
      <c r="BV98" s="143">
        <f t="shared" si="16"/>
        <v>0</v>
      </c>
      <c r="BW98" s="132"/>
      <c r="BX98" s="146">
        <f t="shared" si="17"/>
        <v>0</v>
      </c>
      <c r="BY98" s="132"/>
      <c r="BZ98" s="146">
        <f t="shared" si="18"/>
        <v>0</v>
      </c>
      <c r="CA98" s="132"/>
      <c r="CB98" s="146">
        <f t="shared" si="19"/>
        <v>0</v>
      </c>
      <c r="CC98" s="132"/>
      <c r="CD98" s="143">
        <f t="shared" si="20"/>
        <v>0</v>
      </c>
      <c r="CE98" s="132"/>
      <c r="CF98" s="143">
        <f t="shared" si="21"/>
        <v>0</v>
      </c>
      <c r="CG98" s="132"/>
      <c r="CH98" s="143">
        <f t="shared" si="22"/>
        <v>0</v>
      </c>
      <c r="CI98" s="132">
        <f t="shared" si="23"/>
        <v>0</v>
      </c>
      <c r="CJ98" s="143">
        <f t="shared" si="23"/>
        <v>0</v>
      </c>
    </row>
    <row r="99" spans="1:88" ht="27.6" x14ac:dyDescent="0.3">
      <c r="A99" s="27"/>
      <c r="B99" s="27"/>
      <c r="C99" s="27"/>
      <c r="D99" s="27"/>
      <c r="E99" s="27"/>
      <c r="F99" s="27"/>
      <c r="Q99" s="117" t="s">
        <v>588</v>
      </c>
      <c r="R99" s="117" t="s">
        <v>589</v>
      </c>
      <c r="T99" s="141" t="str">
        <f t="shared" ref="T99:T162" si="24">TRIM(U99)&amp;" "&amp;TRIM(V99)</f>
        <v xml:space="preserve"> </v>
      </c>
      <c r="X99" s="119" t="s">
        <v>590</v>
      </c>
      <c r="Y99" s="27"/>
      <c r="AE99" s="27"/>
      <c r="AH99" s="99"/>
      <c r="BD99" s="129"/>
      <c r="BE99" s="108"/>
      <c r="BF99" s="108"/>
      <c r="BG99" s="97"/>
      <c r="BH99" s="97"/>
      <c r="BI99" s="97"/>
      <c r="BJ99" s="97"/>
      <c r="BK99" s="110"/>
      <c r="BL99" s="97"/>
      <c r="BM99" s="97"/>
      <c r="BN99" s="97"/>
      <c r="BO99" s="142"/>
      <c r="BP99" s="143">
        <f t="shared" si="13"/>
        <v>0</v>
      </c>
      <c r="BQ99" s="142"/>
      <c r="BR99" s="143">
        <f t="shared" si="14"/>
        <v>0</v>
      </c>
      <c r="BS99" s="132"/>
      <c r="BT99" s="146">
        <f t="shared" si="15"/>
        <v>0</v>
      </c>
      <c r="BU99" s="132"/>
      <c r="BV99" s="143">
        <f t="shared" si="16"/>
        <v>0</v>
      </c>
      <c r="BW99" s="132"/>
      <c r="BX99" s="146">
        <f t="shared" si="17"/>
        <v>0</v>
      </c>
      <c r="BY99" s="132"/>
      <c r="BZ99" s="146">
        <f t="shared" si="18"/>
        <v>0</v>
      </c>
      <c r="CA99" s="132"/>
      <c r="CB99" s="146">
        <f t="shared" si="19"/>
        <v>0</v>
      </c>
      <c r="CC99" s="132"/>
      <c r="CD99" s="143">
        <f t="shared" si="20"/>
        <v>0</v>
      </c>
      <c r="CE99" s="132"/>
      <c r="CF99" s="143">
        <f t="shared" si="21"/>
        <v>0</v>
      </c>
      <c r="CG99" s="132"/>
      <c r="CH99" s="143">
        <f t="shared" si="22"/>
        <v>0</v>
      </c>
      <c r="CI99" s="132">
        <f t="shared" si="23"/>
        <v>0</v>
      </c>
      <c r="CJ99" s="143">
        <f t="shared" si="23"/>
        <v>0</v>
      </c>
    </row>
    <row r="100" spans="1:88" x14ac:dyDescent="0.3">
      <c r="A100" s="27"/>
      <c r="B100" s="27"/>
      <c r="C100" s="27"/>
      <c r="D100" s="27"/>
      <c r="E100" s="27"/>
      <c r="F100" s="27"/>
      <c r="Q100" s="117" t="s">
        <v>591</v>
      </c>
      <c r="R100" s="117" t="s">
        <v>592</v>
      </c>
      <c r="T100" s="141" t="str">
        <f t="shared" si="24"/>
        <v xml:space="preserve"> </v>
      </c>
      <c r="X100" s="119" t="s">
        <v>593</v>
      </c>
      <c r="Y100" s="27"/>
      <c r="AE100" s="27"/>
      <c r="AH100" s="99"/>
      <c r="BD100" s="129"/>
      <c r="BE100" s="108"/>
      <c r="BF100" s="108"/>
      <c r="BG100" s="97"/>
      <c r="BH100" s="97"/>
      <c r="BI100" s="97"/>
      <c r="BJ100" s="97"/>
      <c r="BK100" s="110"/>
      <c r="BL100" s="97"/>
      <c r="BM100" s="97"/>
      <c r="BN100" s="97"/>
      <c r="BO100" s="142"/>
      <c r="BP100" s="143">
        <f t="shared" si="13"/>
        <v>0</v>
      </c>
      <c r="BQ100" s="142"/>
      <c r="BR100" s="143">
        <f t="shared" si="14"/>
        <v>0</v>
      </c>
      <c r="BS100" s="132"/>
      <c r="BT100" s="146">
        <f t="shared" si="15"/>
        <v>0</v>
      </c>
      <c r="BU100" s="132"/>
      <c r="BV100" s="143">
        <f t="shared" si="16"/>
        <v>0</v>
      </c>
      <c r="BW100" s="132"/>
      <c r="BX100" s="146">
        <f t="shared" si="17"/>
        <v>0</v>
      </c>
      <c r="BY100" s="132"/>
      <c r="BZ100" s="146">
        <f t="shared" si="18"/>
        <v>0</v>
      </c>
      <c r="CA100" s="132"/>
      <c r="CB100" s="146">
        <f t="shared" si="19"/>
        <v>0</v>
      </c>
      <c r="CC100" s="132"/>
      <c r="CD100" s="143">
        <f t="shared" si="20"/>
        <v>0</v>
      </c>
      <c r="CE100" s="132"/>
      <c r="CF100" s="143">
        <f t="shared" si="21"/>
        <v>0</v>
      </c>
      <c r="CG100" s="132"/>
      <c r="CH100" s="143">
        <f t="shared" si="22"/>
        <v>0</v>
      </c>
      <c r="CI100" s="132">
        <f t="shared" si="23"/>
        <v>0</v>
      </c>
      <c r="CJ100" s="143">
        <f t="shared" si="23"/>
        <v>0</v>
      </c>
    </row>
    <row r="101" spans="1:88" ht="27.6" x14ac:dyDescent="0.3">
      <c r="A101" s="27"/>
      <c r="B101" s="27"/>
      <c r="C101" s="27"/>
      <c r="D101" s="27"/>
      <c r="E101" s="27"/>
      <c r="F101" s="27"/>
      <c r="Q101" s="117" t="s">
        <v>594</v>
      </c>
      <c r="R101" s="117" t="s">
        <v>595</v>
      </c>
      <c r="T101" s="141" t="str">
        <f t="shared" si="24"/>
        <v xml:space="preserve"> </v>
      </c>
      <c r="X101" s="119" t="s">
        <v>596</v>
      </c>
      <c r="Y101" s="27"/>
      <c r="AE101" s="27"/>
      <c r="AH101" s="99"/>
      <c r="BD101" s="129"/>
      <c r="BE101" s="108"/>
      <c r="BF101" s="108"/>
      <c r="BG101" s="97"/>
      <c r="BH101" s="97"/>
      <c r="BI101" s="97"/>
      <c r="BJ101" s="97"/>
      <c r="BK101" s="110"/>
      <c r="BL101" s="97"/>
      <c r="BM101" s="97"/>
      <c r="BN101" s="97"/>
      <c r="BO101" s="142"/>
      <c r="BP101" s="143">
        <f t="shared" si="13"/>
        <v>0</v>
      </c>
      <c r="BQ101" s="142"/>
      <c r="BR101" s="143">
        <f t="shared" si="14"/>
        <v>0</v>
      </c>
      <c r="BS101" s="132"/>
      <c r="BT101" s="146">
        <f t="shared" si="15"/>
        <v>0</v>
      </c>
      <c r="BU101" s="132"/>
      <c r="BV101" s="143">
        <f t="shared" si="16"/>
        <v>0</v>
      </c>
      <c r="BW101" s="132"/>
      <c r="BX101" s="146">
        <f t="shared" si="17"/>
        <v>0</v>
      </c>
      <c r="BY101" s="132"/>
      <c r="BZ101" s="146">
        <f t="shared" si="18"/>
        <v>0</v>
      </c>
      <c r="CA101" s="132"/>
      <c r="CB101" s="146">
        <f t="shared" si="19"/>
        <v>0</v>
      </c>
      <c r="CC101" s="132"/>
      <c r="CD101" s="143">
        <f t="shared" si="20"/>
        <v>0</v>
      </c>
      <c r="CE101" s="132"/>
      <c r="CF101" s="143">
        <f t="shared" si="21"/>
        <v>0</v>
      </c>
      <c r="CG101" s="132"/>
      <c r="CH101" s="143">
        <f t="shared" si="22"/>
        <v>0</v>
      </c>
      <c r="CI101" s="132">
        <f t="shared" si="23"/>
        <v>0</v>
      </c>
      <c r="CJ101" s="143">
        <f t="shared" si="23"/>
        <v>0</v>
      </c>
    </row>
    <row r="102" spans="1:88" x14ac:dyDescent="0.3">
      <c r="A102" s="27"/>
      <c r="B102" s="27"/>
      <c r="C102" s="27"/>
      <c r="D102" s="27"/>
      <c r="E102" s="27"/>
      <c r="F102" s="27"/>
      <c r="G102" s="27"/>
      <c r="H102" s="27"/>
      <c r="I102" s="27"/>
      <c r="J102" s="27"/>
      <c r="K102" s="27"/>
      <c r="L102" s="27"/>
      <c r="N102" s="27"/>
      <c r="O102" s="27"/>
      <c r="P102" s="27"/>
      <c r="Q102" s="117" t="s">
        <v>597</v>
      </c>
      <c r="T102" s="141" t="str">
        <f t="shared" si="24"/>
        <v xml:space="preserve"> </v>
      </c>
      <c r="X102" s="119" t="s">
        <v>598</v>
      </c>
      <c r="Y102" s="27"/>
      <c r="AE102" s="27"/>
      <c r="AH102" s="99"/>
      <c r="BD102" s="129"/>
      <c r="BE102" s="108"/>
      <c r="BF102" s="108"/>
      <c r="BG102" s="97"/>
      <c r="BH102" s="97"/>
      <c r="BI102" s="97"/>
      <c r="BJ102" s="97"/>
      <c r="BK102" s="110"/>
      <c r="BL102" s="97"/>
      <c r="BM102" s="97"/>
      <c r="BN102" s="97"/>
      <c r="BO102" s="148"/>
      <c r="BP102" s="143">
        <f t="shared" si="13"/>
        <v>0</v>
      </c>
      <c r="BQ102" s="148"/>
      <c r="BR102" s="143">
        <f t="shared" si="14"/>
        <v>0</v>
      </c>
      <c r="BS102" s="132"/>
      <c r="BT102" s="146">
        <f t="shared" si="15"/>
        <v>0</v>
      </c>
      <c r="BU102" s="149"/>
      <c r="BV102" s="143">
        <f t="shared" si="16"/>
        <v>0</v>
      </c>
      <c r="BW102" s="149"/>
      <c r="BX102" s="146">
        <f t="shared" si="17"/>
        <v>0</v>
      </c>
      <c r="BY102" s="149"/>
      <c r="BZ102" s="146">
        <f t="shared" si="18"/>
        <v>0</v>
      </c>
      <c r="CA102" s="149"/>
      <c r="CB102" s="146">
        <f t="shared" si="19"/>
        <v>0</v>
      </c>
      <c r="CC102" s="149"/>
      <c r="CD102" s="143">
        <f t="shared" si="20"/>
        <v>0</v>
      </c>
      <c r="CE102" s="149"/>
      <c r="CF102" s="143">
        <f t="shared" si="21"/>
        <v>0</v>
      </c>
      <c r="CG102" s="132"/>
      <c r="CH102" s="143">
        <f t="shared" si="22"/>
        <v>0</v>
      </c>
      <c r="CI102" s="132">
        <f t="shared" si="23"/>
        <v>0</v>
      </c>
      <c r="CJ102" s="143">
        <f t="shared" si="23"/>
        <v>0</v>
      </c>
    </row>
    <row r="103" spans="1:88" x14ac:dyDescent="0.3">
      <c r="A103" s="27"/>
      <c r="B103" s="27"/>
      <c r="C103" s="27"/>
      <c r="D103" s="27"/>
      <c r="E103" s="27"/>
      <c r="F103" s="27"/>
      <c r="G103" s="27"/>
      <c r="H103" s="27"/>
      <c r="I103" s="27"/>
      <c r="J103" s="27"/>
      <c r="K103" s="27"/>
      <c r="L103" s="27"/>
      <c r="N103" s="27"/>
      <c r="O103" s="27"/>
      <c r="P103" s="27"/>
      <c r="Q103" s="117" t="s">
        <v>599</v>
      </c>
      <c r="T103" s="141" t="str">
        <f t="shared" si="24"/>
        <v xml:space="preserve"> </v>
      </c>
      <c r="X103" s="119" t="s">
        <v>600</v>
      </c>
      <c r="Y103" s="27"/>
      <c r="AE103" s="27"/>
      <c r="AH103" s="99"/>
      <c r="BD103" s="129"/>
      <c r="BE103" s="108"/>
      <c r="BF103" s="108"/>
      <c r="BG103" s="97"/>
      <c r="BH103" s="97"/>
      <c r="BI103" s="97"/>
      <c r="BJ103" s="97"/>
      <c r="BK103" s="110"/>
      <c r="BL103" s="97"/>
      <c r="BM103" s="97"/>
      <c r="BN103" s="97"/>
      <c r="BO103" s="142"/>
      <c r="BP103" s="143">
        <f t="shared" si="13"/>
        <v>0</v>
      </c>
      <c r="BQ103" s="142"/>
      <c r="BR103" s="143">
        <f t="shared" si="14"/>
        <v>0</v>
      </c>
      <c r="BS103" s="132"/>
      <c r="BT103" s="146">
        <f t="shared" si="15"/>
        <v>0</v>
      </c>
      <c r="BU103" s="132"/>
      <c r="BV103" s="143">
        <f t="shared" si="16"/>
        <v>0</v>
      </c>
      <c r="BW103" s="132"/>
      <c r="BX103" s="146">
        <f t="shared" si="17"/>
        <v>0</v>
      </c>
      <c r="BY103" s="132"/>
      <c r="BZ103" s="146">
        <f t="shared" si="18"/>
        <v>0</v>
      </c>
      <c r="CA103" s="132"/>
      <c r="CB103" s="146">
        <f t="shared" si="19"/>
        <v>0</v>
      </c>
      <c r="CC103" s="132"/>
      <c r="CD103" s="143">
        <f t="shared" si="20"/>
        <v>0</v>
      </c>
      <c r="CE103" s="132"/>
      <c r="CF103" s="143">
        <f t="shared" si="21"/>
        <v>0</v>
      </c>
      <c r="CG103" s="132"/>
      <c r="CH103" s="143">
        <f t="shared" si="22"/>
        <v>0</v>
      </c>
      <c r="CI103" s="132">
        <f t="shared" si="23"/>
        <v>0</v>
      </c>
      <c r="CJ103" s="143">
        <f t="shared" si="23"/>
        <v>0</v>
      </c>
    </row>
    <row r="104" spans="1:88" ht="27.6" x14ac:dyDescent="0.3">
      <c r="A104" s="27"/>
      <c r="B104" s="27"/>
      <c r="C104" s="27"/>
      <c r="D104" s="27"/>
      <c r="E104" s="27"/>
      <c r="F104" s="27"/>
      <c r="G104" s="27"/>
      <c r="H104" s="27"/>
      <c r="I104" s="27"/>
      <c r="J104" s="27"/>
      <c r="K104" s="27"/>
      <c r="L104" s="27"/>
      <c r="N104" s="27"/>
      <c r="O104" s="27"/>
      <c r="P104" s="27"/>
      <c r="Q104" s="117" t="s">
        <v>601</v>
      </c>
      <c r="T104" s="141" t="str">
        <f t="shared" si="24"/>
        <v xml:space="preserve"> </v>
      </c>
      <c r="X104" s="119" t="s">
        <v>602</v>
      </c>
      <c r="Y104" s="27"/>
      <c r="AE104" s="27"/>
      <c r="AH104" s="99"/>
      <c r="BD104" s="129"/>
      <c r="BE104" s="108"/>
      <c r="BF104" s="108"/>
      <c r="BG104" s="97"/>
      <c r="BH104" s="97"/>
      <c r="BI104" s="97"/>
      <c r="BJ104" s="97"/>
      <c r="BK104" s="110"/>
      <c r="BL104" s="97"/>
      <c r="BM104" s="97"/>
      <c r="BN104" s="97"/>
      <c r="BO104" s="142"/>
      <c r="BP104" s="143">
        <f t="shared" si="13"/>
        <v>0</v>
      </c>
      <c r="BQ104" s="142"/>
      <c r="BR104" s="143">
        <f t="shared" si="14"/>
        <v>0</v>
      </c>
      <c r="BS104" s="132"/>
      <c r="BT104" s="146">
        <f t="shared" si="15"/>
        <v>0</v>
      </c>
      <c r="BU104" s="132"/>
      <c r="BV104" s="143">
        <f t="shared" si="16"/>
        <v>0</v>
      </c>
      <c r="BW104" s="132"/>
      <c r="BX104" s="146">
        <f t="shared" si="17"/>
        <v>0</v>
      </c>
      <c r="BY104" s="132"/>
      <c r="BZ104" s="146">
        <f t="shared" si="18"/>
        <v>0</v>
      </c>
      <c r="CA104" s="132"/>
      <c r="CB104" s="146">
        <f t="shared" si="19"/>
        <v>0</v>
      </c>
      <c r="CC104" s="132"/>
      <c r="CD104" s="143">
        <f t="shared" si="20"/>
        <v>0</v>
      </c>
      <c r="CE104" s="132"/>
      <c r="CF104" s="143">
        <f t="shared" si="21"/>
        <v>0</v>
      </c>
      <c r="CG104" s="132"/>
      <c r="CH104" s="143">
        <f t="shared" si="22"/>
        <v>0</v>
      </c>
      <c r="CI104" s="132">
        <f t="shared" si="23"/>
        <v>0</v>
      </c>
      <c r="CJ104" s="143">
        <f t="shared" si="23"/>
        <v>0</v>
      </c>
    </row>
    <row r="105" spans="1:88" x14ac:dyDescent="0.3">
      <c r="A105" s="27"/>
      <c r="B105" s="27"/>
      <c r="C105" s="27"/>
      <c r="D105" s="27"/>
      <c r="E105" s="27"/>
      <c r="F105" s="27"/>
      <c r="G105" s="27"/>
      <c r="H105" s="27"/>
      <c r="I105" s="27"/>
      <c r="J105" s="27"/>
      <c r="K105" s="27"/>
      <c r="L105" s="27"/>
      <c r="N105" s="27"/>
      <c r="O105" s="27"/>
      <c r="P105" s="27"/>
      <c r="Q105" s="117" t="s">
        <v>603</v>
      </c>
      <c r="T105" s="141" t="str">
        <f t="shared" si="24"/>
        <v xml:space="preserve"> </v>
      </c>
      <c r="X105" s="119" t="s">
        <v>604</v>
      </c>
      <c r="Y105" s="27"/>
      <c r="AE105" s="27"/>
      <c r="AH105" s="99"/>
      <c r="BD105" s="129"/>
      <c r="BE105" s="108"/>
      <c r="BF105" s="108"/>
      <c r="BG105" s="97"/>
      <c r="BH105" s="97"/>
      <c r="BI105" s="97"/>
      <c r="BJ105" s="97"/>
      <c r="BK105" s="110"/>
      <c r="BL105" s="97"/>
      <c r="BM105" s="97"/>
      <c r="BN105" s="97"/>
      <c r="BO105" s="142"/>
      <c r="BP105" s="143">
        <f t="shared" si="13"/>
        <v>0</v>
      </c>
      <c r="BQ105" s="142"/>
      <c r="BR105" s="143">
        <f t="shared" si="14"/>
        <v>0</v>
      </c>
      <c r="BS105" s="132"/>
      <c r="BT105" s="146">
        <f t="shared" si="15"/>
        <v>0</v>
      </c>
      <c r="BU105" s="132"/>
      <c r="BV105" s="143">
        <f t="shared" si="16"/>
        <v>0</v>
      </c>
      <c r="BW105" s="132"/>
      <c r="BX105" s="146">
        <f t="shared" si="17"/>
        <v>0</v>
      </c>
      <c r="BY105" s="132"/>
      <c r="BZ105" s="146">
        <f t="shared" si="18"/>
        <v>0</v>
      </c>
      <c r="CA105" s="132"/>
      <c r="CB105" s="146">
        <f t="shared" si="19"/>
        <v>0</v>
      </c>
      <c r="CC105" s="132"/>
      <c r="CD105" s="143">
        <f t="shared" si="20"/>
        <v>0</v>
      </c>
      <c r="CE105" s="132"/>
      <c r="CF105" s="143">
        <f t="shared" si="21"/>
        <v>0</v>
      </c>
      <c r="CG105" s="132"/>
      <c r="CH105" s="143">
        <f t="shared" si="22"/>
        <v>0</v>
      </c>
      <c r="CI105" s="132">
        <f t="shared" si="23"/>
        <v>0</v>
      </c>
      <c r="CJ105" s="143">
        <f t="shared" si="23"/>
        <v>0</v>
      </c>
    </row>
    <row r="106" spans="1:88" x14ac:dyDescent="0.3">
      <c r="A106" s="27"/>
      <c r="B106" s="27"/>
      <c r="C106" s="27"/>
      <c r="D106" s="27"/>
      <c r="E106" s="27"/>
      <c r="F106" s="27"/>
      <c r="G106" s="27"/>
      <c r="H106" s="27"/>
      <c r="I106" s="27"/>
      <c r="J106" s="27"/>
      <c r="K106" s="27"/>
      <c r="L106" s="27"/>
      <c r="N106" s="27"/>
      <c r="O106" s="27"/>
      <c r="P106" s="27"/>
      <c r="Q106" s="117" t="s">
        <v>605</v>
      </c>
      <c r="T106" s="141" t="str">
        <f t="shared" si="24"/>
        <v xml:space="preserve"> </v>
      </c>
      <c r="X106" s="119" t="s">
        <v>606</v>
      </c>
      <c r="Y106" s="27"/>
      <c r="AE106" s="27"/>
      <c r="AH106" s="99"/>
      <c r="BD106" s="129"/>
      <c r="BE106" s="108"/>
      <c r="BF106" s="108"/>
      <c r="BG106" s="97"/>
      <c r="BH106" s="97"/>
      <c r="BI106" s="97"/>
      <c r="BJ106" s="97"/>
      <c r="BK106" s="110"/>
      <c r="BL106" s="97"/>
      <c r="BM106" s="97"/>
      <c r="BN106" s="97"/>
      <c r="BO106" s="142"/>
      <c r="BP106" s="143">
        <f t="shared" si="13"/>
        <v>0</v>
      </c>
      <c r="BQ106" s="142"/>
      <c r="BR106" s="143">
        <f t="shared" si="14"/>
        <v>0</v>
      </c>
      <c r="BS106" s="132"/>
      <c r="BT106" s="146">
        <f t="shared" si="15"/>
        <v>0</v>
      </c>
      <c r="BU106" s="132"/>
      <c r="BV106" s="143">
        <f t="shared" si="16"/>
        <v>0</v>
      </c>
      <c r="BW106" s="132"/>
      <c r="BX106" s="146">
        <f t="shared" si="17"/>
        <v>0</v>
      </c>
      <c r="BY106" s="132"/>
      <c r="BZ106" s="146">
        <f t="shared" si="18"/>
        <v>0</v>
      </c>
      <c r="CA106" s="132"/>
      <c r="CB106" s="146">
        <f t="shared" si="19"/>
        <v>0</v>
      </c>
      <c r="CC106" s="132"/>
      <c r="CD106" s="143">
        <f t="shared" si="20"/>
        <v>0</v>
      </c>
      <c r="CE106" s="132"/>
      <c r="CF106" s="143">
        <f t="shared" si="21"/>
        <v>0</v>
      </c>
      <c r="CG106" s="132"/>
      <c r="CH106" s="143">
        <f t="shared" si="22"/>
        <v>0</v>
      </c>
      <c r="CI106" s="132">
        <f t="shared" si="23"/>
        <v>0</v>
      </c>
      <c r="CJ106" s="143">
        <f t="shared" si="23"/>
        <v>0</v>
      </c>
    </row>
    <row r="107" spans="1:88" x14ac:dyDescent="0.3">
      <c r="A107" s="27"/>
      <c r="B107" s="27"/>
      <c r="C107" s="27"/>
      <c r="D107" s="27"/>
      <c r="E107" s="27"/>
      <c r="F107" s="27"/>
      <c r="G107" s="27"/>
      <c r="H107" s="27"/>
      <c r="I107" s="27"/>
      <c r="J107" s="27"/>
      <c r="K107" s="27"/>
      <c r="L107" s="27"/>
      <c r="N107" s="27"/>
      <c r="O107" s="27"/>
      <c r="P107" s="27"/>
      <c r="Q107" s="117" t="s">
        <v>607</v>
      </c>
      <c r="T107" s="141" t="str">
        <f t="shared" si="24"/>
        <v xml:space="preserve"> </v>
      </c>
      <c r="X107" s="119" t="s">
        <v>608</v>
      </c>
      <c r="Y107" s="27"/>
      <c r="AE107" s="27"/>
      <c r="AH107" s="99"/>
      <c r="BD107" s="129"/>
      <c r="BE107" s="108"/>
      <c r="BF107" s="108"/>
      <c r="BG107" s="97"/>
      <c r="BH107" s="97"/>
      <c r="BI107" s="97"/>
      <c r="BJ107" s="97"/>
      <c r="BK107" s="110"/>
      <c r="BL107" s="97"/>
      <c r="BM107" s="97"/>
      <c r="BN107" s="97"/>
      <c r="BO107" s="142"/>
      <c r="BP107" s="143">
        <f t="shared" si="13"/>
        <v>0</v>
      </c>
      <c r="BQ107" s="142"/>
      <c r="BR107" s="143">
        <f t="shared" si="14"/>
        <v>0</v>
      </c>
      <c r="BS107" s="132"/>
      <c r="BT107" s="146">
        <f t="shared" si="15"/>
        <v>0</v>
      </c>
      <c r="BU107" s="132"/>
      <c r="BV107" s="143">
        <f t="shared" si="16"/>
        <v>0</v>
      </c>
      <c r="BW107" s="132"/>
      <c r="BX107" s="146">
        <f t="shared" si="17"/>
        <v>0</v>
      </c>
      <c r="BY107" s="132"/>
      <c r="BZ107" s="146">
        <f t="shared" si="18"/>
        <v>0</v>
      </c>
      <c r="CA107" s="132"/>
      <c r="CB107" s="146">
        <f t="shared" si="19"/>
        <v>0</v>
      </c>
      <c r="CC107" s="132"/>
      <c r="CD107" s="143">
        <f t="shared" si="20"/>
        <v>0</v>
      </c>
      <c r="CE107" s="132"/>
      <c r="CF107" s="143">
        <f t="shared" si="21"/>
        <v>0</v>
      </c>
      <c r="CG107" s="132"/>
      <c r="CH107" s="143">
        <f t="shared" si="22"/>
        <v>0</v>
      </c>
      <c r="CI107" s="132">
        <f t="shared" si="23"/>
        <v>0</v>
      </c>
      <c r="CJ107" s="143">
        <f t="shared" si="23"/>
        <v>0</v>
      </c>
    </row>
    <row r="108" spans="1:88" x14ac:dyDescent="0.3">
      <c r="A108" s="27"/>
      <c r="B108" s="27"/>
      <c r="C108" s="27"/>
      <c r="D108" s="27"/>
      <c r="E108" s="27"/>
      <c r="F108" s="27"/>
      <c r="G108" s="27"/>
      <c r="H108" s="27"/>
      <c r="I108" s="27"/>
      <c r="J108" s="27"/>
      <c r="K108" s="27"/>
      <c r="L108" s="27"/>
      <c r="N108" s="27"/>
      <c r="O108" s="27"/>
      <c r="P108" s="27"/>
      <c r="Q108" s="117" t="s">
        <v>609</v>
      </c>
      <c r="T108" s="141" t="str">
        <f t="shared" si="24"/>
        <v xml:space="preserve"> </v>
      </c>
      <c r="X108" s="119" t="s">
        <v>610</v>
      </c>
      <c r="Y108" s="27"/>
      <c r="AE108" s="27"/>
      <c r="AH108" s="99"/>
      <c r="BD108" s="129"/>
      <c r="BE108" s="108"/>
      <c r="BF108" s="108"/>
      <c r="BG108" s="97"/>
      <c r="BH108" s="97"/>
      <c r="BI108" s="97"/>
      <c r="BJ108" s="97"/>
      <c r="BK108" s="110"/>
      <c r="BL108" s="97"/>
      <c r="BM108" s="97"/>
      <c r="BN108" s="97"/>
      <c r="BO108" s="142"/>
      <c r="BP108" s="143">
        <f t="shared" si="13"/>
        <v>0</v>
      </c>
      <c r="BQ108" s="142"/>
      <c r="BR108" s="143">
        <f t="shared" si="14"/>
        <v>0</v>
      </c>
      <c r="BS108" s="132"/>
      <c r="BT108" s="146">
        <f t="shared" si="15"/>
        <v>0</v>
      </c>
      <c r="BU108" s="132"/>
      <c r="BV108" s="143">
        <f t="shared" si="16"/>
        <v>0</v>
      </c>
      <c r="BW108" s="132"/>
      <c r="BX108" s="146">
        <f t="shared" si="17"/>
        <v>0</v>
      </c>
      <c r="BY108" s="132"/>
      <c r="BZ108" s="146">
        <f t="shared" si="18"/>
        <v>0</v>
      </c>
      <c r="CA108" s="132"/>
      <c r="CB108" s="146">
        <f t="shared" si="19"/>
        <v>0</v>
      </c>
      <c r="CC108" s="132"/>
      <c r="CD108" s="143">
        <f t="shared" si="20"/>
        <v>0</v>
      </c>
      <c r="CE108" s="132"/>
      <c r="CF108" s="143">
        <f t="shared" si="21"/>
        <v>0</v>
      </c>
      <c r="CG108" s="132"/>
      <c r="CH108" s="143">
        <f t="shared" si="22"/>
        <v>0</v>
      </c>
      <c r="CI108" s="132">
        <f t="shared" si="23"/>
        <v>0</v>
      </c>
      <c r="CJ108" s="143">
        <f t="shared" si="23"/>
        <v>0</v>
      </c>
    </row>
    <row r="109" spans="1:88" x14ac:dyDescent="0.3">
      <c r="A109" s="27"/>
      <c r="B109" s="27"/>
      <c r="C109" s="27"/>
      <c r="D109" s="27"/>
      <c r="E109" s="27"/>
      <c r="F109" s="27"/>
      <c r="G109" s="27"/>
      <c r="H109" s="27"/>
      <c r="I109" s="27"/>
      <c r="J109" s="27"/>
      <c r="K109" s="27"/>
      <c r="L109" s="27"/>
      <c r="N109" s="27"/>
      <c r="O109" s="27"/>
      <c r="P109" s="27"/>
      <c r="Q109" s="117" t="s">
        <v>611</v>
      </c>
      <c r="T109" s="141" t="str">
        <f t="shared" si="24"/>
        <v xml:space="preserve"> </v>
      </c>
      <c r="X109" s="119" t="s">
        <v>612</v>
      </c>
      <c r="Y109" s="27"/>
      <c r="AE109" s="27"/>
      <c r="AH109" s="99"/>
      <c r="BD109" s="129"/>
      <c r="BE109" s="108"/>
      <c r="BF109" s="108"/>
      <c r="BG109" s="97"/>
      <c r="BH109" s="97"/>
      <c r="BI109" s="97"/>
      <c r="BJ109" s="97"/>
      <c r="BK109" s="110"/>
      <c r="BL109" s="97"/>
      <c r="BM109" s="97"/>
      <c r="BN109" s="97"/>
      <c r="BO109" s="142"/>
      <c r="BP109" s="143">
        <f t="shared" si="13"/>
        <v>0</v>
      </c>
      <c r="BQ109" s="142"/>
      <c r="BR109" s="143">
        <f t="shared" si="14"/>
        <v>0</v>
      </c>
      <c r="BS109" s="132"/>
      <c r="BT109" s="146">
        <f t="shared" si="15"/>
        <v>0</v>
      </c>
      <c r="BU109" s="132"/>
      <c r="BV109" s="143">
        <f t="shared" si="16"/>
        <v>0</v>
      </c>
      <c r="BW109" s="132"/>
      <c r="BX109" s="146">
        <f t="shared" si="17"/>
        <v>0</v>
      </c>
      <c r="BY109" s="132"/>
      <c r="BZ109" s="146">
        <f t="shared" si="18"/>
        <v>0</v>
      </c>
      <c r="CA109" s="132"/>
      <c r="CB109" s="146">
        <f t="shared" si="19"/>
        <v>0</v>
      </c>
      <c r="CC109" s="132"/>
      <c r="CD109" s="143">
        <f t="shared" si="20"/>
        <v>0</v>
      </c>
      <c r="CE109" s="132"/>
      <c r="CF109" s="143">
        <f t="shared" si="21"/>
        <v>0</v>
      </c>
      <c r="CG109" s="132"/>
      <c r="CH109" s="143">
        <f t="shared" si="22"/>
        <v>0</v>
      </c>
      <c r="CI109" s="132">
        <f t="shared" si="23"/>
        <v>0</v>
      </c>
      <c r="CJ109" s="143">
        <f t="shared" si="23"/>
        <v>0</v>
      </c>
    </row>
    <row r="110" spans="1:88" x14ac:dyDescent="0.3">
      <c r="A110" s="27"/>
      <c r="B110" s="27"/>
      <c r="C110" s="27"/>
      <c r="D110" s="27"/>
      <c r="E110" s="27"/>
      <c r="F110" s="27"/>
      <c r="G110" s="27"/>
      <c r="H110" s="27"/>
      <c r="I110" s="27"/>
      <c r="J110" s="27"/>
      <c r="K110" s="27"/>
      <c r="L110" s="27"/>
      <c r="N110" s="27"/>
      <c r="O110" s="27"/>
      <c r="P110" s="27"/>
      <c r="Q110" s="117" t="s">
        <v>613</v>
      </c>
      <c r="T110" s="141" t="str">
        <f t="shared" si="24"/>
        <v xml:space="preserve"> </v>
      </c>
      <c r="X110" s="119" t="s">
        <v>614</v>
      </c>
      <c r="Y110" s="27"/>
      <c r="AE110" s="27"/>
      <c r="AH110" s="99"/>
      <c r="BD110" s="129"/>
      <c r="BE110" s="108"/>
      <c r="BF110" s="108"/>
      <c r="BG110" s="97"/>
      <c r="BH110" s="97"/>
      <c r="BI110" s="97"/>
      <c r="BJ110" s="97"/>
      <c r="BK110" s="110"/>
      <c r="BL110" s="97"/>
      <c r="BM110" s="97"/>
      <c r="BN110" s="97"/>
      <c r="BO110" s="142"/>
      <c r="BP110" s="143">
        <f t="shared" si="13"/>
        <v>0</v>
      </c>
      <c r="BQ110" s="142"/>
      <c r="BR110" s="143">
        <f t="shared" si="14"/>
        <v>0</v>
      </c>
      <c r="BS110" s="132"/>
      <c r="BT110" s="146">
        <f t="shared" si="15"/>
        <v>0</v>
      </c>
      <c r="BU110" s="132"/>
      <c r="BV110" s="143">
        <f t="shared" si="16"/>
        <v>0</v>
      </c>
      <c r="BW110" s="132"/>
      <c r="BX110" s="146">
        <f t="shared" si="17"/>
        <v>0</v>
      </c>
      <c r="BY110" s="132"/>
      <c r="BZ110" s="146">
        <f t="shared" si="18"/>
        <v>0</v>
      </c>
      <c r="CA110" s="132"/>
      <c r="CB110" s="146">
        <f t="shared" si="19"/>
        <v>0</v>
      </c>
      <c r="CC110" s="132"/>
      <c r="CD110" s="143">
        <f t="shared" si="20"/>
        <v>0</v>
      </c>
      <c r="CE110" s="132"/>
      <c r="CF110" s="143">
        <f t="shared" si="21"/>
        <v>0</v>
      </c>
      <c r="CG110" s="132"/>
      <c r="CH110" s="143">
        <f t="shared" si="22"/>
        <v>0</v>
      </c>
      <c r="CI110" s="132">
        <f t="shared" si="23"/>
        <v>0</v>
      </c>
      <c r="CJ110" s="143">
        <f t="shared" si="23"/>
        <v>0</v>
      </c>
    </row>
    <row r="111" spans="1:88" x14ac:dyDescent="0.3">
      <c r="A111" s="27"/>
      <c r="B111" s="27"/>
      <c r="C111" s="27"/>
      <c r="D111" s="27"/>
      <c r="E111" s="27"/>
      <c r="F111" s="27"/>
      <c r="G111" s="27"/>
      <c r="H111" s="27"/>
      <c r="I111" s="27"/>
      <c r="J111" s="27"/>
      <c r="K111" s="27"/>
      <c r="L111" s="27"/>
      <c r="N111" s="27"/>
      <c r="O111" s="27"/>
      <c r="P111" s="27"/>
      <c r="Q111" s="117" t="s">
        <v>615</v>
      </c>
      <c r="T111" s="141" t="str">
        <f t="shared" si="24"/>
        <v xml:space="preserve"> </v>
      </c>
      <c r="X111" s="119" t="s">
        <v>616</v>
      </c>
      <c r="Y111" s="27"/>
      <c r="AE111" s="27"/>
      <c r="AH111" s="99"/>
      <c r="BD111" s="129"/>
      <c r="BE111" s="108"/>
      <c r="BF111" s="108"/>
      <c r="BG111" s="97"/>
      <c r="BH111" s="97"/>
      <c r="BI111" s="97"/>
      <c r="BJ111" s="97"/>
      <c r="BK111" s="110"/>
      <c r="BL111" s="97"/>
      <c r="BM111" s="97"/>
      <c r="BN111" s="97"/>
      <c r="BO111" s="142"/>
      <c r="BP111" s="143">
        <f t="shared" si="13"/>
        <v>0</v>
      </c>
      <c r="BQ111" s="142"/>
      <c r="BR111" s="143">
        <f t="shared" si="14"/>
        <v>0</v>
      </c>
      <c r="BS111" s="132"/>
      <c r="BT111" s="146">
        <f t="shared" si="15"/>
        <v>0</v>
      </c>
      <c r="BU111" s="132"/>
      <c r="BV111" s="143">
        <f t="shared" si="16"/>
        <v>0</v>
      </c>
      <c r="BW111" s="132"/>
      <c r="BX111" s="146">
        <f t="shared" si="17"/>
        <v>0</v>
      </c>
      <c r="BY111" s="132"/>
      <c r="BZ111" s="146">
        <f t="shared" si="18"/>
        <v>0</v>
      </c>
      <c r="CA111" s="132"/>
      <c r="CB111" s="146">
        <f t="shared" si="19"/>
        <v>0</v>
      </c>
      <c r="CC111" s="132"/>
      <c r="CD111" s="143">
        <f t="shared" si="20"/>
        <v>0</v>
      </c>
      <c r="CE111" s="132"/>
      <c r="CF111" s="143">
        <f t="shared" si="21"/>
        <v>0</v>
      </c>
      <c r="CG111" s="132"/>
      <c r="CH111" s="143">
        <f t="shared" si="22"/>
        <v>0</v>
      </c>
      <c r="CI111" s="132">
        <f t="shared" si="23"/>
        <v>0</v>
      </c>
      <c r="CJ111" s="143">
        <f t="shared" si="23"/>
        <v>0</v>
      </c>
    </row>
    <row r="112" spans="1:88" x14ac:dyDescent="0.3">
      <c r="A112" s="27"/>
      <c r="B112" s="27"/>
      <c r="C112" s="27"/>
      <c r="D112" s="27"/>
      <c r="E112" s="27"/>
      <c r="F112" s="27"/>
      <c r="G112" s="27"/>
      <c r="H112" s="27"/>
      <c r="I112" s="27"/>
      <c r="J112" s="27"/>
      <c r="K112" s="27"/>
      <c r="L112" s="27"/>
      <c r="N112" s="27"/>
      <c r="O112" s="27"/>
      <c r="P112" s="27"/>
      <c r="Q112" s="117" t="s">
        <v>617</v>
      </c>
      <c r="T112" s="141" t="str">
        <f t="shared" si="24"/>
        <v xml:space="preserve"> </v>
      </c>
      <c r="X112" s="119" t="s">
        <v>618</v>
      </c>
      <c r="Y112" s="27"/>
      <c r="AE112" s="27"/>
      <c r="AH112" s="99"/>
      <c r="BD112" s="130"/>
      <c r="BE112" s="108"/>
      <c r="BF112" s="108"/>
      <c r="BG112" s="97"/>
      <c r="BH112" s="97"/>
      <c r="BI112" s="97"/>
      <c r="BJ112" s="97"/>
      <c r="BK112" s="110"/>
      <c r="BL112" s="97"/>
      <c r="BM112" s="97"/>
      <c r="BN112" s="97"/>
      <c r="BO112" s="142"/>
      <c r="BP112" s="143">
        <f t="shared" si="13"/>
        <v>0</v>
      </c>
      <c r="BQ112" s="142"/>
      <c r="BR112" s="143">
        <f t="shared" si="14"/>
        <v>0</v>
      </c>
      <c r="BS112" s="132"/>
      <c r="BT112" s="146">
        <f t="shared" si="15"/>
        <v>0</v>
      </c>
      <c r="BU112" s="132"/>
      <c r="BV112" s="143">
        <f t="shared" si="16"/>
        <v>0</v>
      </c>
      <c r="BW112" s="132"/>
      <c r="BX112" s="146">
        <f t="shared" si="17"/>
        <v>0</v>
      </c>
      <c r="BY112" s="132"/>
      <c r="BZ112" s="146">
        <f t="shared" si="18"/>
        <v>0</v>
      </c>
      <c r="CA112" s="132"/>
      <c r="CB112" s="146">
        <f t="shared" si="19"/>
        <v>0</v>
      </c>
      <c r="CC112" s="132"/>
      <c r="CD112" s="143">
        <f t="shared" si="20"/>
        <v>0</v>
      </c>
      <c r="CE112" s="132"/>
      <c r="CF112" s="143">
        <f t="shared" si="21"/>
        <v>0</v>
      </c>
      <c r="CG112" s="132"/>
      <c r="CH112" s="143">
        <f t="shared" si="22"/>
        <v>0</v>
      </c>
      <c r="CI112" s="132">
        <f t="shared" si="23"/>
        <v>0</v>
      </c>
      <c r="CJ112" s="143">
        <f t="shared" si="23"/>
        <v>0</v>
      </c>
    </row>
    <row r="113" spans="1:88" x14ac:dyDescent="0.3">
      <c r="A113" s="27"/>
      <c r="B113" s="27"/>
      <c r="C113" s="27"/>
      <c r="D113" s="27"/>
      <c r="E113" s="27"/>
      <c r="F113" s="27"/>
      <c r="G113" s="27"/>
      <c r="H113" s="27"/>
      <c r="I113" s="27"/>
      <c r="J113" s="27"/>
      <c r="K113" s="27"/>
      <c r="L113" s="27"/>
      <c r="N113" s="27"/>
      <c r="O113" s="27"/>
      <c r="P113" s="27"/>
      <c r="Q113" s="117" t="s">
        <v>619</v>
      </c>
      <c r="T113" s="141" t="str">
        <f t="shared" si="24"/>
        <v xml:space="preserve"> </v>
      </c>
      <c r="X113" s="119" t="s">
        <v>620</v>
      </c>
      <c r="Y113" s="27"/>
      <c r="AE113" s="27"/>
      <c r="AH113" s="99"/>
      <c r="BD113" s="130"/>
      <c r="BE113" s="108"/>
      <c r="BF113" s="108"/>
      <c r="BG113" s="97"/>
      <c r="BH113" s="97"/>
      <c r="BI113" s="97"/>
      <c r="BJ113" s="97"/>
      <c r="BK113" s="110"/>
      <c r="BL113" s="97"/>
      <c r="BM113" s="97"/>
      <c r="BN113" s="97"/>
      <c r="BO113" s="142"/>
      <c r="BP113" s="143">
        <f t="shared" si="13"/>
        <v>0</v>
      </c>
      <c r="BQ113" s="142"/>
      <c r="BR113" s="143">
        <f t="shared" si="14"/>
        <v>0</v>
      </c>
      <c r="BS113" s="132"/>
      <c r="BT113" s="146">
        <f t="shared" si="15"/>
        <v>0</v>
      </c>
      <c r="BU113" s="132"/>
      <c r="BV113" s="143">
        <f t="shared" si="16"/>
        <v>0</v>
      </c>
      <c r="BW113" s="132"/>
      <c r="BX113" s="146">
        <f t="shared" si="17"/>
        <v>0</v>
      </c>
      <c r="BY113" s="132"/>
      <c r="BZ113" s="146">
        <f t="shared" si="18"/>
        <v>0</v>
      </c>
      <c r="CA113" s="132"/>
      <c r="CB113" s="146">
        <f t="shared" si="19"/>
        <v>0</v>
      </c>
      <c r="CC113" s="132"/>
      <c r="CD113" s="143">
        <f t="shared" si="20"/>
        <v>0</v>
      </c>
      <c r="CE113" s="132"/>
      <c r="CF113" s="143">
        <f t="shared" si="21"/>
        <v>0</v>
      </c>
      <c r="CG113" s="132"/>
      <c r="CH113" s="143">
        <f t="shared" si="22"/>
        <v>0</v>
      </c>
      <c r="CI113" s="132">
        <f t="shared" si="23"/>
        <v>0</v>
      </c>
      <c r="CJ113" s="143">
        <f t="shared" si="23"/>
        <v>0</v>
      </c>
    </row>
    <row r="114" spans="1:88" x14ac:dyDescent="0.3">
      <c r="A114" s="27"/>
      <c r="B114" s="27"/>
      <c r="C114" s="27"/>
      <c r="D114" s="27"/>
      <c r="E114" s="27"/>
      <c r="F114" s="27"/>
      <c r="G114" s="27"/>
      <c r="H114" s="27"/>
      <c r="I114" s="27"/>
      <c r="J114" s="27"/>
      <c r="K114" s="27"/>
      <c r="L114" s="27"/>
      <c r="N114" s="27"/>
      <c r="O114" s="27"/>
      <c r="P114" s="27"/>
      <c r="Q114" s="117" t="s">
        <v>621</v>
      </c>
      <c r="T114" s="141" t="str">
        <f t="shared" si="24"/>
        <v xml:space="preserve"> </v>
      </c>
      <c r="X114" s="119" t="s">
        <v>622</v>
      </c>
      <c r="Y114" s="27"/>
      <c r="AE114" s="27"/>
      <c r="AH114" s="99"/>
      <c r="BD114" s="129"/>
      <c r="BE114" s="108"/>
      <c r="BF114" s="108"/>
      <c r="BG114" s="97"/>
      <c r="BH114" s="97"/>
      <c r="BI114" s="97"/>
      <c r="BJ114" s="97"/>
      <c r="BK114" s="110"/>
      <c r="BL114" s="97"/>
      <c r="BM114" s="97"/>
      <c r="BN114" s="97"/>
      <c r="BO114" s="142"/>
      <c r="BP114" s="143">
        <f t="shared" si="13"/>
        <v>0</v>
      </c>
      <c r="BQ114" s="142"/>
      <c r="BR114" s="143">
        <f t="shared" si="14"/>
        <v>0</v>
      </c>
      <c r="BS114" s="132"/>
      <c r="BT114" s="146">
        <f t="shared" si="15"/>
        <v>0</v>
      </c>
      <c r="BU114" s="132"/>
      <c r="BV114" s="143">
        <f t="shared" si="16"/>
        <v>0</v>
      </c>
      <c r="BW114" s="132"/>
      <c r="BX114" s="146">
        <f t="shared" si="17"/>
        <v>0</v>
      </c>
      <c r="BY114" s="132"/>
      <c r="BZ114" s="146">
        <f t="shared" si="18"/>
        <v>0</v>
      </c>
      <c r="CA114" s="132"/>
      <c r="CB114" s="146">
        <f t="shared" si="19"/>
        <v>0</v>
      </c>
      <c r="CC114" s="132"/>
      <c r="CD114" s="143">
        <f t="shared" si="20"/>
        <v>0</v>
      </c>
      <c r="CE114" s="132"/>
      <c r="CF114" s="143">
        <f t="shared" si="21"/>
        <v>0</v>
      </c>
      <c r="CG114" s="132"/>
      <c r="CH114" s="143">
        <f t="shared" si="22"/>
        <v>0</v>
      </c>
      <c r="CI114" s="132">
        <f t="shared" si="23"/>
        <v>0</v>
      </c>
      <c r="CJ114" s="143">
        <f t="shared" si="23"/>
        <v>0</v>
      </c>
    </row>
    <row r="115" spans="1:88" x14ac:dyDescent="0.3">
      <c r="A115" s="27"/>
      <c r="B115" s="27"/>
      <c r="C115" s="27"/>
      <c r="D115" s="27"/>
      <c r="E115" s="27"/>
      <c r="F115" s="27"/>
      <c r="G115" s="27"/>
      <c r="H115" s="27"/>
      <c r="I115" s="27"/>
      <c r="J115" s="27"/>
      <c r="K115" s="27"/>
      <c r="L115" s="27"/>
      <c r="N115" s="27"/>
      <c r="O115" s="27"/>
      <c r="P115" s="27"/>
      <c r="Q115" s="117" t="s">
        <v>623</v>
      </c>
      <c r="T115" s="141" t="str">
        <f t="shared" si="24"/>
        <v xml:space="preserve"> </v>
      </c>
      <c r="X115" s="119" t="s">
        <v>624</v>
      </c>
      <c r="Y115" s="27"/>
      <c r="AE115" s="27"/>
      <c r="AH115" s="99"/>
      <c r="BD115" s="129"/>
      <c r="BE115" s="108"/>
      <c r="BF115" s="108"/>
      <c r="BG115" s="97"/>
      <c r="BH115" s="97"/>
      <c r="BI115" s="97"/>
      <c r="BJ115" s="97"/>
      <c r="BK115" s="110"/>
      <c r="BL115" s="97"/>
      <c r="BM115" s="97"/>
      <c r="BN115" s="97"/>
      <c r="BO115" s="148"/>
      <c r="BP115" s="143">
        <f t="shared" si="13"/>
        <v>0</v>
      </c>
      <c r="BQ115" s="148"/>
      <c r="BR115" s="143">
        <f t="shared" si="14"/>
        <v>0</v>
      </c>
      <c r="BS115" s="132"/>
      <c r="BT115" s="146">
        <f t="shared" si="15"/>
        <v>0</v>
      </c>
      <c r="BU115" s="149"/>
      <c r="BV115" s="143">
        <f t="shared" si="16"/>
        <v>0</v>
      </c>
      <c r="BW115" s="149"/>
      <c r="BX115" s="146">
        <f t="shared" si="17"/>
        <v>0</v>
      </c>
      <c r="BY115" s="149"/>
      <c r="BZ115" s="146">
        <f t="shared" si="18"/>
        <v>0</v>
      </c>
      <c r="CA115" s="149"/>
      <c r="CB115" s="146">
        <f t="shared" si="19"/>
        <v>0</v>
      </c>
      <c r="CC115" s="149"/>
      <c r="CD115" s="143">
        <f t="shared" si="20"/>
        <v>0</v>
      </c>
      <c r="CE115" s="149"/>
      <c r="CF115" s="143">
        <f t="shared" si="21"/>
        <v>0</v>
      </c>
      <c r="CG115" s="132"/>
      <c r="CH115" s="143">
        <f t="shared" si="22"/>
        <v>0</v>
      </c>
      <c r="CI115" s="132">
        <f t="shared" si="23"/>
        <v>0</v>
      </c>
      <c r="CJ115" s="143">
        <f t="shared" si="23"/>
        <v>0</v>
      </c>
    </row>
    <row r="116" spans="1:88" x14ac:dyDescent="0.3">
      <c r="A116" s="27"/>
      <c r="B116" s="27"/>
      <c r="C116" s="27"/>
      <c r="D116" s="27"/>
      <c r="E116" s="27"/>
      <c r="F116" s="27"/>
      <c r="G116" s="27"/>
      <c r="H116" s="27"/>
      <c r="I116" s="27"/>
      <c r="J116" s="27"/>
      <c r="K116" s="27"/>
      <c r="L116" s="27"/>
      <c r="N116" s="27"/>
      <c r="O116" s="27"/>
      <c r="P116" s="27"/>
      <c r="Q116" s="117" t="s">
        <v>625</v>
      </c>
      <c r="T116" s="141" t="str">
        <f t="shared" si="24"/>
        <v xml:space="preserve"> </v>
      </c>
      <c r="X116" s="119" t="s">
        <v>626</v>
      </c>
      <c r="Y116" s="27"/>
      <c r="AE116" s="27"/>
      <c r="AH116" s="99"/>
      <c r="BD116" s="97"/>
      <c r="BE116" s="108"/>
      <c r="BF116" s="108"/>
      <c r="BG116" s="97"/>
      <c r="BH116" s="97"/>
      <c r="BI116" s="97"/>
      <c r="BJ116" s="97"/>
      <c r="BK116" s="110"/>
      <c r="BL116" s="97"/>
      <c r="BM116" s="97"/>
      <c r="BN116" s="97"/>
      <c r="BO116" s="142"/>
      <c r="BP116" s="143">
        <f t="shared" si="13"/>
        <v>0</v>
      </c>
      <c r="BQ116" s="142"/>
      <c r="BR116" s="143">
        <f t="shared" si="14"/>
        <v>0</v>
      </c>
      <c r="BS116" s="132"/>
      <c r="BT116" s="146">
        <f t="shared" si="15"/>
        <v>0</v>
      </c>
      <c r="BU116" s="132"/>
      <c r="BV116" s="143">
        <f t="shared" si="16"/>
        <v>0</v>
      </c>
      <c r="BW116" s="132"/>
      <c r="BX116" s="146">
        <f t="shared" si="17"/>
        <v>0</v>
      </c>
      <c r="BY116" s="132"/>
      <c r="BZ116" s="146">
        <f t="shared" si="18"/>
        <v>0</v>
      </c>
      <c r="CA116" s="132"/>
      <c r="CB116" s="146">
        <f t="shared" si="19"/>
        <v>0</v>
      </c>
      <c r="CC116" s="132"/>
      <c r="CD116" s="143">
        <f t="shared" si="20"/>
        <v>0</v>
      </c>
      <c r="CE116" s="132"/>
      <c r="CF116" s="143">
        <f t="shared" si="21"/>
        <v>0</v>
      </c>
      <c r="CG116" s="132"/>
      <c r="CH116" s="143">
        <f t="shared" si="22"/>
        <v>0</v>
      </c>
      <c r="CI116" s="132">
        <f t="shared" si="23"/>
        <v>0</v>
      </c>
      <c r="CJ116" s="143">
        <f t="shared" si="23"/>
        <v>0</v>
      </c>
    </row>
    <row r="117" spans="1:88" x14ac:dyDescent="0.3">
      <c r="A117" s="27"/>
      <c r="B117" s="27"/>
      <c r="C117" s="27"/>
      <c r="D117" s="27"/>
      <c r="E117" s="27"/>
      <c r="F117" s="27"/>
      <c r="G117" s="27"/>
      <c r="H117" s="27"/>
      <c r="I117" s="27"/>
      <c r="J117" s="27"/>
      <c r="K117" s="27"/>
      <c r="L117" s="27"/>
      <c r="N117" s="27"/>
      <c r="O117" s="27"/>
      <c r="P117" s="27"/>
      <c r="Q117" s="117" t="s">
        <v>627</v>
      </c>
      <c r="T117" s="141" t="str">
        <f t="shared" si="24"/>
        <v xml:space="preserve"> </v>
      </c>
      <c r="X117" s="119" t="s">
        <v>628</v>
      </c>
      <c r="Y117" s="27"/>
      <c r="AE117" s="27"/>
      <c r="AH117" s="99"/>
      <c r="BD117" s="97"/>
      <c r="BE117" s="108"/>
      <c r="BF117" s="108"/>
      <c r="BG117" s="97"/>
      <c r="BH117" s="97"/>
      <c r="BI117" s="97"/>
      <c r="BJ117" s="97"/>
      <c r="BK117" s="110"/>
      <c r="BL117" s="97"/>
      <c r="BM117" s="97"/>
      <c r="BN117" s="97"/>
      <c r="BO117" s="142"/>
      <c r="BP117" s="143">
        <f t="shared" si="13"/>
        <v>0</v>
      </c>
      <c r="BQ117" s="142"/>
      <c r="BR117" s="143">
        <f t="shared" si="14"/>
        <v>0</v>
      </c>
      <c r="BS117" s="132"/>
      <c r="BT117" s="146">
        <f t="shared" si="15"/>
        <v>0</v>
      </c>
      <c r="BU117" s="132"/>
      <c r="BV117" s="143">
        <f t="shared" si="16"/>
        <v>0</v>
      </c>
      <c r="BW117" s="132"/>
      <c r="BX117" s="146">
        <f t="shared" si="17"/>
        <v>0</v>
      </c>
      <c r="BY117" s="132"/>
      <c r="BZ117" s="146">
        <f t="shared" si="18"/>
        <v>0</v>
      </c>
      <c r="CA117" s="132"/>
      <c r="CB117" s="146">
        <f t="shared" si="19"/>
        <v>0</v>
      </c>
      <c r="CC117" s="132"/>
      <c r="CD117" s="143">
        <f t="shared" si="20"/>
        <v>0</v>
      </c>
      <c r="CE117" s="132"/>
      <c r="CF117" s="143">
        <f t="shared" si="21"/>
        <v>0</v>
      </c>
      <c r="CG117" s="132"/>
      <c r="CH117" s="143">
        <f t="shared" si="22"/>
        <v>0</v>
      </c>
      <c r="CI117" s="132">
        <f t="shared" si="23"/>
        <v>0</v>
      </c>
      <c r="CJ117" s="143">
        <f t="shared" si="23"/>
        <v>0</v>
      </c>
    </row>
    <row r="118" spans="1:88" x14ac:dyDescent="0.3">
      <c r="A118" s="27"/>
      <c r="B118" s="27"/>
      <c r="C118" s="27"/>
      <c r="D118" s="27"/>
      <c r="E118" s="27"/>
      <c r="F118" s="27"/>
      <c r="G118" s="27"/>
      <c r="H118" s="27"/>
      <c r="I118" s="27"/>
      <c r="J118" s="27"/>
      <c r="K118" s="27"/>
      <c r="L118" s="27"/>
      <c r="N118" s="27"/>
      <c r="O118" s="27"/>
      <c r="P118" s="27"/>
      <c r="Q118" s="117" t="s">
        <v>629</v>
      </c>
      <c r="T118" s="141" t="str">
        <f t="shared" si="24"/>
        <v xml:space="preserve"> </v>
      </c>
      <c r="X118" s="119" t="s">
        <v>630</v>
      </c>
      <c r="Y118" s="27"/>
      <c r="AE118" s="27"/>
      <c r="AH118" s="99"/>
      <c r="BD118" s="97"/>
      <c r="BE118" s="108"/>
      <c r="BF118" s="108"/>
      <c r="BG118" s="97"/>
      <c r="BH118" s="97"/>
      <c r="BI118" s="97"/>
      <c r="BJ118" s="97"/>
      <c r="BK118" s="110"/>
      <c r="BL118" s="97"/>
      <c r="BM118" s="97"/>
      <c r="BN118" s="97"/>
      <c r="BO118" s="142"/>
      <c r="BP118" s="143">
        <f t="shared" si="13"/>
        <v>0</v>
      </c>
      <c r="BQ118" s="142"/>
      <c r="BR118" s="143">
        <f t="shared" si="14"/>
        <v>0</v>
      </c>
      <c r="BS118" s="132"/>
      <c r="BT118" s="146">
        <f t="shared" si="15"/>
        <v>0</v>
      </c>
      <c r="BU118" s="132"/>
      <c r="BV118" s="143">
        <f t="shared" si="16"/>
        <v>0</v>
      </c>
      <c r="BW118" s="132"/>
      <c r="BX118" s="146">
        <f t="shared" si="17"/>
        <v>0</v>
      </c>
      <c r="BY118" s="132"/>
      <c r="BZ118" s="146">
        <f t="shared" si="18"/>
        <v>0</v>
      </c>
      <c r="CA118" s="132"/>
      <c r="CB118" s="146">
        <f t="shared" si="19"/>
        <v>0</v>
      </c>
      <c r="CC118" s="132"/>
      <c r="CD118" s="143">
        <f t="shared" si="20"/>
        <v>0</v>
      </c>
      <c r="CE118" s="132"/>
      <c r="CF118" s="143">
        <f t="shared" si="21"/>
        <v>0</v>
      </c>
      <c r="CG118" s="132"/>
      <c r="CH118" s="143">
        <f t="shared" si="22"/>
        <v>0</v>
      </c>
      <c r="CI118" s="132">
        <f t="shared" si="23"/>
        <v>0</v>
      </c>
      <c r="CJ118" s="143">
        <f t="shared" si="23"/>
        <v>0</v>
      </c>
    </row>
    <row r="119" spans="1:88" x14ac:dyDescent="0.3">
      <c r="A119" s="27"/>
      <c r="B119" s="27"/>
      <c r="C119" s="27"/>
      <c r="D119" s="27"/>
      <c r="E119" s="27"/>
      <c r="F119" s="27"/>
      <c r="G119" s="27"/>
      <c r="H119" s="27"/>
      <c r="I119" s="27"/>
      <c r="J119" s="27"/>
      <c r="K119" s="27"/>
      <c r="L119" s="27"/>
      <c r="N119" s="27"/>
      <c r="O119" s="27"/>
      <c r="P119" s="27"/>
      <c r="Q119" s="117" t="s">
        <v>631</v>
      </c>
      <c r="T119" s="141" t="str">
        <f t="shared" si="24"/>
        <v xml:space="preserve"> </v>
      </c>
      <c r="X119" s="119" t="s">
        <v>632</v>
      </c>
      <c r="Y119" s="27"/>
      <c r="AE119" s="27"/>
      <c r="AH119" s="99"/>
      <c r="BD119" s="97"/>
      <c r="BE119" s="108"/>
      <c r="BF119" s="108"/>
      <c r="BG119" s="97"/>
      <c r="BH119" s="97"/>
      <c r="BI119" s="97"/>
      <c r="BJ119" s="97"/>
      <c r="BK119" s="110"/>
      <c r="BL119" s="97"/>
      <c r="BM119" s="97"/>
      <c r="BN119" s="97"/>
      <c r="BO119" s="142"/>
      <c r="BP119" s="143">
        <f t="shared" si="13"/>
        <v>0</v>
      </c>
      <c r="BQ119" s="142"/>
      <c r="BR119" s="143">
        <f t="shared" si="14"/>
        <v>0</v>
      </c>
      <c r="BS119" s="132"/>
      <c r="BT119" s="146">
        <f t="shared" si="15"/>
        <v>0</v>
      </c>
      <c r="BU119" s="132"/>
      <c r="BV119" s="143">
        <f t="shared" si="16"/>
        <v>0</v>
      </c>
      <c r="BW119" s="132"/>
      <c r="BX119" s="146">
        <f t="shared" si="17"/>
        <v>0</v>
      </c>
      <c r="BY119" s="132"/>
      <c r="BZ119" s="146">
        <f t="shared" si="18"/>
        <v>0</v>
      </c>
      <c r="CA119" s="132"/>
      <c r="CB119" s="146">
        <f t="shared" si="19"/>
        <v>0</v>
      </c>
      <c r="CC119" s="132"/>
      <c r="CD119" s="143">
        <f t="shared" si="20"/>
        <v>0</v>
      </c>
      <c r="CE119" s="132"/>
      <c r="CF119" s="143">
        <f t="shared" si="21"/>
        <v>0</v>
      </c>
      <c r="CG119" s="132"/>
      <c r="CH119" s="143">
        <f t="shared" si="22"/>
        <v>0</v>
      </c>
      <c r="CI119" s="132">
        <f t="shared" si="23"/>
        <v>0</v>
      </c>
      <c r="CJ119" s="143">
        <f t="shared" si="23"/>
        <v>0</v>
      </c>
    </row>
    <row r="120" spans="1:88" x14ac:dyDescent="0.3">
      <c r="A120" s="27"/>
      <c r="B120" s="27"/>
      <c r="C120" s="27"/>
      <c r="D120" s="27"/>
      <c r="E120" s="27"/>
      <c r="F120" s="27"/>
      <c r="G120" s="27"/>
      <c r="H120" s="27"/>
      <c r="I120" s="27"/>
      <c r="J120" s="27"/>
      <c r="K120" s="27"/>
      <c r="L120" s="27"/>
      <c r="N120" s="27"/>
      <c r="O120" s="27"/>
      <c r="P120" s="27"/>
      <c r="Q120" s="117" t="s">
        <v>633</v>
      </c>
      <c r="T120" s="141" t="str">
        <f t="shared" si="24"/>
        <v xml:space="preserve"> </v>
      </c>
      <c r="X120" s="119" t="s">
        <v>634</v>
      </c>
      <c r="Y120" s="27"/>
      <c r="AE120" s="27"/>
      <c r="AH120" s="99"/>
      <c r="BD120" s="97"/>
      <c r="BE120" s="108"/>
      <c r="BF120" s="108"/>
      <c r="BG120" s="97"/>
      <c r="BH120" s="97"/>
      <c r="BI120" s="97"/>
      <c r="BJ120" s="97"/>
      <c r="BK120" s="110"/>
      <c r="BL120" s="97"/>
      <c r="BM120" s="97"/>
      <c r="BN120" s="97"/>
      <c r="BO120" s="142"/>
      <c r="BP120" s="143">
        <f t="shared" si="13"/>
        <v>0</v>
      </c>
      <c r="BQ120" s="142"/>
      <c r="BR120" s="143">
        <f t="shared" si="14"/>
        <v>0</v>
      </c>
      <c r="BS120" s="132"/>
      <c r="BT120" s="146">
        <f t="shared" si="15"/>
        <v>0</v>
      </c>
      <c r="BU120" s="132"/>
      <c r="BV120" s="143">
        <f t="shared" si="16"/>
        <v>0</v>
      </c>
      <c r="BW120" s="132"/>
      <c r="BX120" s="146">
        <f t="shared" si="17"/>
        <v>0</v>
      </c>
      <c r="BY120" s="132"/>
      <c r="BZ120" s="146">
        <f t="shared" si="18"/>
        <v>0</v>
      </c>
      <c r="CA120" s="132"/>
      <c r="CB120" s="146">
        <f t="shared" si="19"/>
        <v>0</v>
      </c>
      <c r="CC120" s="132"/>
      <c r="CD120" s="143">
        <f t="shared" si="20"/>
        <v>0</v>
      </c>
      <c r="CE120" s="132"/>
      <c r="CF120" s="143">
        <f t="shared" si="21"/>
        <v>0</v>
      </c>
      <c r="CG120" s="132"/>
      <c r="CH120" s="143">
        <f t="shared" si="22"/>
        <v>0</v>
      </c>
      <c r="CI120" s="132">
        <f t="shared" si="23"/>
        <v>0</v>
      </c>
      <c r="CJ120" s="143">
        <f t="shared" si="23"/>
        <v>0</v>
      </c>
    </row>
    <row r="121" spans="1:88" x14ac:dyDescent="0.3">
      <c r="A121" s="27"/>
      <c r="B121" s="27"/>
      <c r="C121" s="27"/>
      <c r="D121" s="27"/>
      <c r="E121" s="27"/>
      <c r="F121" s="27"/>
      <c r="G121" s="27"/>
      <c r="H121" s="27"/>
      <c r="I121" s="27"/>
      <c r="J121" s="27"/>
      <c r="K121" s="27"/>
      <c r="L121" s="27"/>
      <c r="N121" s="27"/>
      <c r="O121" s="27"/>
      <c r="P121" s="27"/>
      <c r="Q121" s="117" t="s">
        <v>635</v>
      </c>
      <c r="T121" s="141" t="str">
        <f t="shared" si="24"/>
        <v xml:space="preserve"> </v>
      </c>
      <c r="X121" s="119" t="s">
        <v>636</v>
      </c>
      <c r="Y121" s="27"/>
      <c r="AE121" s="27"/>
      <c r="AH121" s="99"/>
      <c r="BD121" s="97"/>
      <c r="BE121" s="108"/>
      <c r="BF121" s="108"/>
      <c r="BG121" s="97"/>
      <c r="BH121" s="97"/>
      <c r="BI121" s="97"/>
      <c r="BJ121" s="97"/>
      <c r="BK121" s="110"/>
      <c r="BL121" s="97"/>
      <c r="BM121" s="97"/>
      <c r="BN121" s="97"/>
      <c r="BO121" s="148"/>
      <c r="BP121" s="143">
        <f t="shared" si="13"/>
        <v>0</v>
      </c>
      <c r="BQ121" s="148"/>
      <c r="BR121" s="143">
        <f t="shared" si="14"/>
        <v>0</v>
      </c>
      <c r="BS121" s="132"/>
      <c r="BT121" s="146">
        <f t="shared" si="15"/>
        <v>0</v>
      </c>
      <c r="BU121" s="149"/>
      <c r="BV121" s="143">
        <f t="shared" si="16"/>
        <v>0</v>
      </c>
      <c r="BW121" s="149"/>
      <c r="BX121" s="146">
        <f t="shared" si="17"/>
        <v>0</v>
      </c>
      <c r="BY121" s="149"/>
      <c r="BZ121" s="146">
        <f t="shared" si="18"/>
        <v>0</v>
      </c>
      <c r="CA121" s="149"/>
      <c r="CB121" s="146">
        <f t="shared" si="19"/>
        <v>0</v>
      </c>
      <c r="CC121" s="149"/>
      <c r="CD121" s="143">
        <f t="shared" si="20"/>
        <v>0</v>
      </c>
      <c r="CE121" s="149"/>
      <c r="CF121" s="143">
        <f t="shared" si="21"/>
        <v>0</v>
      </c>
      <c r="CG121" s="132"/>
      <c r="CH121" s="143">
        <f t="shared" si="22"/>
        <v>0</v>
      </c>
      <c r="CI121" s="132">
        <f t="shared" si="23"/>
        <v>0</v>
      </c>
      <c r="CJ121" s="143">
        <f t="shared" si="23"/>
        <v>0</v>
      </c>
    </row>
    <row r="122" spans="1:88" x14ac:dyDescent="0.3">
      <c r="A122" s="27"/>
      <c r="B122" s="27"/>
      <c r="C122" s="27"/>
      <c r="D122" s="27"/>
      <c r="E122" s="27"/>
      <c r="F122" s="27"/>
      <c r="G122" s="27"/>
      <c r="H122" s="27"/>
      <c r="I122" s="27"/>
      <c r="J122" s="27"/>
      <c r="K122" s="27"/>
      <c r="L122" s="27"/>
      <c r="N122" s="27"/>
      <c r="O122" s="27"/>
      <c r="P122" s="27"/>
      <c r="Q122" s="117" t="s">
        <v>637</v>
      </c>
      <c r="T122" s="141" t="str">
        <f t="shared" si="24"/>
        <v xml:space="preserve"> </v>
      </c>
      <c r="X122" s="119" t="s">
        <v>638</v>
      </c>
      <c r="Y122" s="27"/>
      <c r="AE122" s="27"/>
      <c r="AH122" s="99"/>
      <c r="BD122" s="97"/>
      <c r="BE122" s="108"/>
      <c r="BF122" s="108"/>
      <c r="BG122" s="97"/>
      <c r="BH122" s="97"/>
      <c r="BI122" s="97"/>
      <c r="BJ122" s="97"/>
      <c r="BK122" s="110"/>
      <c r="BL122" s="97"/>
      <c r="BM122" s="97"/>
      <c r="BN122" s="97"/>
      <c r="BO122" s="142"/>
      <c r="BP122" s="143">
        <f t="shared" si="13"/>
        <v>0</v>
      </c>
      <c r="BQ122" s="142"/>
      <c r="BR122" s="143">
        <f t="shared" si="14"/>
        <v>0</v>
      </c>
      <c r="BS122" s="132"/>
      <c r="BT122" s="146">
        <f t="shared" si="15"/>
        <v>0</v>
      </c>
      <c r="BU122" s="132"/>
      <c r="BV122" s="143">
        <f t="shared" si="16"/>
        <v>0</v>
      </c>
      <c r="BW122" s="132"/>
      <c r="BX122" s="146">
        <f t="shared" si="17"/>
        <v>0</v>
      </c>
      <c r="BY122" s="132"/>
      <c r="BZ122" s="146">
        <f t="shared" si="18"/>
        <v>0</v>
      </c>
      <c r="CA122" s="132"/>
      <c r="CB122" s="146">
        <f t="shared" si="19"/>
        <v>0</v>
      </c>
      <c r="CC122" s="132"/>
      <c r="CD122" s="143">
        <f t="shared" si="20"/>
        <v>0</v>
      </c>
      <c r="CE122" s="132"/>
      <c r="CF122" s="143">
        <f t="shared" si="21"/>
        <v>0</v>
      </c>
      <c r="CG122" s="132"/>
      <c r="CH122" s="143">
        <f t="shared" si="22"/>
        <v>0</v>
      </c>
      <c r="CI122" s="132">
        <f t="shared" si="23"/>
        <v>0</v>
      </c>
      <c r="CJ122" s="143">
        <f t="shared" si="23"/>
        <v>0</v>
      </c>
    </row>
    <row r="123" spans="1:88" x14ac:dyDescent="0.3">
      <c r="A123" s="27"/>
      <c r="B123" s="27"/>
      <c r="C123" s="27"/>
      <c r="D123" s="27"/>
      <c r="E123" s="27"/>
      <c r="F123" s="27"/>
      <c r="G123" s="27"/>
      <c r="H123" s="27"/>
      <c r="I123" s="27"/>
      <c r="J123" s="27"/>
      <c r="K123" s="27"/>
      <c r="L123" s="27"/>
      <c r="N123" s="27"/>
      <c r="O123" s="27"/>
      <c r="P123" s="27"/>
      <c r="Q123" s="117" t="s">
        <v>639</v>
      </c>
      <c r="T123" s="141" t="str">
        <f t="shared" si="24"/>
        <v xml:space="preserve"> </v>
      </c>
      <c r="X123" s="119" t="s">
        <v>640</v>
      </c>
      <c r="Y123" s="27"/>
      <c r="AE123" s="27"/>
      <c r="AH123" s="99"/>
      <c r="BD123" s="97"/>
      <c r="BE123" s="108"/>
      <c r="BF123" s="108"/>
      <c r="BG123" s="97"/>
      <c r="BH123" s="97"/>
      <c r="BI123" s="97"/>
      <c r="BJ123" s="97"/>
      <c r="BK123" s="110"/>
      <c r="BL123" s="97"/>
      <c r="BM123" s="97"/>
      <c r="BN123" s="97"/>
      <c r="BO123" s="142"/>
      <c r="BP123" s="143">
        <f t="shared" si="13"/>
        <v>0</v>
      </c>
      <c r="BQ123" s="142"/>
      <c r="BR123" s="143">
        <f t="shared" si="14"/>
        <v>0</v>
      </c>
      <c r="BS123" s="132"/>
      <c r="BT123" s="146">
        <f t="shared" si="15"/>
        <v>0</v>
      </c>
      <c r="BU123" s="132"/>
      <c r="BV123" s="143">
        <f t="shared" si="16"/>
        <v>0</v>
      </c>
      <c r="BW123" s="132"/>
      <c r="BX123" s="146">
        <f t="shared" si="17"/>
        <v>0</v>
      </c>
      <c r="BY123" s="132"/>
      <c r="BZ123" s="146">
        <f t="shared" si="18"/>
        <v>0</v>
      </c>
      <c r="CA123" s="132"/>
      <c r="CB123" s="146">
        <f t="shared" si="19"/>
        <v>0</v>
      </c>
      <c r="CC123" s="132"/>
      <c r="CD123" s="143">
        <f t="shared" si="20"/>
        <v>0</v>
      </c>
      <c r="CE123" s="132"/>
      <c r="CF123" s="143">
        <f t="shared" si="21"/>
        <v>0</v>
      </c>
      <c r="CG123" s="132"/>
      <c r="CH123" s="143">
        <f t="shared" si="22"/>
        <v>0</v>
      </c>
      <c r="CI123" s="132">
        <f t="shared" si="23"/>
        <v>0</v>
      </c>
      <c r="CJ123" s="143">
        <f t="shared" si="23"/>
        <v>0</v>
      </c>
    </row>
    <row r="124" spans="1:88" x14ac:dyDescent="0.3">
      <c r="A124" s="27"/>
      <c r="B124" s="27"/>
      <c r="C124" s="27"/>
      <c r="D124" s="27"/>
      <c r="E124" s="27"/>
      <c r="F124" s="27"/>
      <c r="G124" s="27"/>
      <c r="H124" s="27"/>
      <c r="I124" s="27"/>
      <c r="J124" s="27"/>
      <c r="K124" s="27"/>
      <c r="L124" s="27"/>
      <c r="N124" s="27"/>
      <c r="O124" s="27"/>
      <c r="P124" s="27"/>
      <c r="Q124" s="117" t="s">
        <v>641</v>
      </c>
      <c r="T124" s="141" t="str">
        <f t="shared" si="24"/>
        <v xml:space="preserve"> </v>
      </c>
      <c r="X124" s="119" t="s">
        <v>642</v>
      </c>
      <c r="Y124" s="27"/>
      <c r="AE124" s="27"/>
      <c r="AH124" s="99"/>
      <c r="BD124" s="97"/>
      <c r="BE124" s="108"/>
      <c r="BF124" s="108"/>
      <c r="BG124" s="97"/>
      <c r="BH124" s="97"/>
      <c r="BI124" s="97"/>
      <c r="BJ124" s="97"/>
      <c r="BK124" s="110"/>
      <c r="BL124" s="97"/>
      <c r="BM124" s="97"/>
      <c r="BN124" s="97"/>
      <c r="BO124" s="142"/>
      <c r="BP124" s="143">
        <f t="shared" si="13"/>
        <v>0</v>
      </c>
      <c r="BQ124" s="142"/>
      <c r="BR124" s="143">
        <f t="shared" si="14"/>
        <v>0</v>
      </c>
      <c r="BS124" s="132"/>
      <c r="BT124" s="146">
        <f t="shared" si="15"/>
        <v>0</v>
      </c>
      <c r="BU124" s="132"/>
      <c r="BV124" s="143">
        <f t="shared" si="16"/>
        <v>0</v>
      </c>
      <c r="BW124" s="132"/>
      <c r="BX124" s="146">
        <f t="shared" si="17"/>
        <v>0</v>
      </c>
      <c r="BY124" s="132"/>
      <c r="BZ124" s="146">
        <f t="shared" si="18"/>
        <v>0</v>
      </c>
      <c r="CA124" s="132"/>
      <c r="CB124" s="146">
        <f t="shared" si="19"/>
        <v>0</v>
      </c>
      <c r="CC124" s="132"/>
      <c r="CD124" s="143">
        <f t="shared" si="20"/>
        <v>0</v>
      </c>
      <c r="CE124" s="132"/>
      <c r="CF124" s="143">
        <f t="shared" si="21"/>
        <v>0</v>
      </c>
      <c r="CG124" s="132"/>
      <c r="CH124" s="143">
        <f t="shared" si="22"/>
        <v>0</v>
      </c>
      <c r="CI124" s="132">
        <f t="shared" si="23"/>
        <v>0</v>
      </c>
      <c r="CJ124" s="143">
        <f t="shared" si="23"/>
        <v>0</v>
      </c>
    </row>
    <row r="125" spans="1:88" x14ac:dyDescent="0.3">
      <c r="A125" s="27"/>
      <c r="B125" s="27"/>
      <c r="C125" s="27"/>
      <c r="D125" s="27"/>
      <c r="E125" s="27"/>
      <c r="F125" s="27"/>
      <c r="G125" s="27"/>
      <c r="H125" s="27"/>
      <c r="I125" s="27"/>
      <c r="J125" s="27"/>
      <c r="K125" s="27"/>
      <c r="L125" s="27"/>
      <c r="N125" s="27"/>
      <c r="O125" s="27"/>
      <c r="P125" s="27"/>
      <c r="Q125" s="117" t="s">
        <v>643</v>
      </c>
      <c r="T125" s="141" t="str">
        <f t="shared" si="24"/>
        <v xml:space="preserve"> </v>
      </c>
      <c r="X125" s="119" t="s">
        <v>644</v>
      </c>
      <c r="Y125" s="27"/>
      <c r="AE125" s="27"/>
      <c r="AH125" s="99"/>
      <c r="BD125" s="97"/>
      <c r="BE125" s="108"/>
      <c r="BF125" s="108"/>
      <c r="BG125" s="97"/>
      <c r="BH125" s="97"/>
      <c r="BI125" s="97"/>
      <c r="BJ125" s="97"/>
      <c r="BK125" s="110"/>
      <c r="BL125" s="97"/>
      <c r="BM125" s="97"/>
      <c r="BN125" s="97"/>
      <c r="BO125" s="142"/>
      <c r="BP125" s="143">
        <f t="shared" si="13"/>
        <v>0</v>
      </c>
      <c r="BQ125" s="142"/>
      <c r="BR125" s="143">
        <f t="shared" si="14"/>
        <v>0</v>
      </c>
      <c r="BS125" s="132"/>
      <c r="BT125" s="146">
        <f t="shared" si="15"/>
        <v>0</v>
      </c>
      <c r="BU125" s="132"/>
      <c r="BV125" s="143">
        <f t="shared" si="16"/>
        <v>0</v>
      </c>
      <c r="BW125" s="132"/>
      <c r="BX125" s="146">
        <f t="shared" si="17"/>
        <v>0</v>
      </c>
      <c r="BY125" s="132"/>
      <c r="BZ125" s="146">
        <f t="shared" si="18"/>
        <v>0</v>
      </c>
      <c r="CA125" s="132"/>
      <c r="CB125" s="146">
        <f t="shared" si="19"/>
        <v>0</v>
      </c>
      <c r="CC125" s="132"/>
      <c r="CD125" s="143">
        <f t="shared" si="20"/>
        <v>0</v>
      </c>
      <c r="CE125" s="132"/>
      <c r="CF125" s="143">
        <f t="shared" si="21"/>
        <v>0</v>
      </c>
      <c r="CG125" s="132"/>
      <c r="CH125" s="143">
        <f t="shared" si="22"/>
        <v>0</v>
      </c>
      <c r="CI125" s="132">
        <f t="shared" si="23"/>
        <v>0</v>
      </c>
      <c r="CJ125" s="143">
        <f t="shared" si="23"/>
        <v>0</v>
      </c>
    </row>
    <row r="126" spans="1:88" x14ac:dyDescent="0.3">
      <c r="A126" s="27"/>
      <c r="B126" s="27"/>
      <c r="C126" s="27"/>
      <c r="D126" s="27"/>
      <c r="E126" s="27"/>
      <c r="F126" s="27"/>
      <c r="G126" s="27"/>
      <c r="H126" s="27"/>
      <c r="I126" s="27"/>
      <c r="J126" s="27"/>
      <c r="K126" s="27"/>
      <c r="L126" s="27"/>
      <c r="N126" s="27"/>
      <c r="O126" s="27"/>
      <c r="P126" s="27"/>
      <c r="Q126" s="117" t="s">
        <v>645</v>
      </c>
      <c r="T126" s="141" t="str">
        <f t="shared" si="24"/>
        <v xml:space="preserve"> </v>
      </c>
      <c r="X126" s="119" t="s">
        <v>646</v>
      </c>
      <c r="Y126" s="27"/>
      <c r="AE126" s="27"/>
      <c r="AH126" s="99"/>
      <c r="BD126" s="97"/>
      <c r="BE126" s="108"/>
      <c r="BF126" s="108"/>
      <c r="BG126" s="97"/>
      <c r="BH126" s="97"/>
      <c r="BI126" s="97"/>
      <c r="BJ126" s="97"/>
      <c r="BK126" s="110"/>
      <c r="BL126" s="97"/>
      <c r="BM126" s="97"/>
      <c r="BN126" s="97"/>
      <c r="BO126" s="142"/>
      <c r="BP126" s="143">
        <f t="shared" si="13"/>
        <v>0</v>
      </c>
      <c r="BQ126" s="142"/>
      <c r="BR126" s="143">
        <f t="shared" si="14"/>
        <v>0</v>
      </c>
      <c r="BS126" s="132"/>
      <c r="BT126" s="146">
        <f t="shared" si="15"/>
        <v>0</v>
      </c>
      <c r="BU126" s="132"/>
      <c r="BV126" s="143">
        <f t="shared" si="16"/>
        <v>0</v>
      </c>
      <c r="BW126" s="132"/>
      <c r="BX126" s="146">
        <f t="shared" si="17"/>
        <v>0</v>
      </c>
      <c r="BY126" s="132"/>
      <c r="BZ126" s="146">
        <f t="shared" si="18"/>
        <v>0</v>
      </c>
      <c r="CA126" s="132"/>
      <c r="CB126" s="146">
        <f t="shared" si="19"/>
        <v>0</v>
      </c>
      <c r="CC126" s="132"/>
      <c r="CD126" s="143">
        <f t="shared" si="20"/>
        <v>0</v>
      </c>
      <c r="CE126" s="132"/>
      <c r="CF126" s="143">
        <f t="shared" si="21"/>
        <v>0</v>
      </c>
      <c r="CG126" s="132"/>
      <c r="CH126" s="143">
        <f t="shared" si="22"/>
        <v>0</v>
      </c>
      <c r="CI126" s="132">
        <f t="shared" si="23"/>
        <v>0</v>
      </c>
      <c r="CJ126" s="143">
        <f t="shared" si="23"/>
        <v>0</v>
      </c>
    </row>
    <row r="127" spans="1:88" x14ac:dyDescent="0.3">
      <c r="A127" s="27"/>
      <c r="B127" s="27"/>
      <c r="C127" s="27"/>
      <c r="D127" s="27"/>
      <c r="E127" s="27"/>
      <c r="F127" s="27"/>
      <c r="G127" s="27"/>
      <c r="H127" s="27"/>
      <c r="I127" s="27"/>
      <c r="J127" s="27"/>
      <c r="K127" s="27"/>
      <c r="L127" s="27"/>
      <c r="N127" s="27"/>
      <c r="O127" s="27"/>
      <c r="P127" s="27"/>
      <c r="Q127" s="117" t="s">
        <v>647</v>
      </c>
      <c r="T127" s="141" t="str">
        <f t="shared" si="24"/>
        <v xml:space="preserve"> </v>
      </c>
      <c r="X127" s="119" t="s">
        <v>648</v>
      </c>
      <c r="Y127" s="27"/>
      <c r="AE127" s="27"/>
      <c r="AH127" s="99"/>
      <c r="BD127" s="97"/>
      <c r="BE127" s="108"/>
      <c r="BF127" s="108"/>
      <c r="BG127" s="97"/>
      <c r="BH127" s="97"/>
      <c r="BI127" s="97"/>
      <c r="BJ127" s="97"/>
      <c r="BK127" s="110"/>
      <c r="BL127" s="97"/>
      <c r="BM127" s="97"/>
      <c r="BN127" s="97"/>
      <c r="BO127" s="142"/>
      <c r="BP127" s="143">
        <f t="shared" si="13"/>
        <v>0</v>
      </c>
      <c r="BQ127" s="142"/>
      <c r="BR127" s="143">
        <f t="shared" si="14"/>
        <v>0</v>
      </c>
      <c r="BS127" s="132"/>
      <c r="BT127" s="146">
        <f t="shared" si="15"/>
        <v>0</v>
      </c>
      <c r="BU127" s="132"/>
      <c r="BV127" s="143">
        <f t="shared" si="16"/>
        <v>0</v>
      </c>
      <c r="BW127" s="132"/>
      <c r="BX127" s="146">
        <f t="shared" si="17"/>
        <v>0</v>
      </c>
      <c r="BY127" s="132"/>
      <c r="BZ127" s="146">
        <f t="shared" si="18"/>
        <v>0</v>
      </c>
      <c r="CA127" s="132"/>
      <c r="CB127" s="146">
        <f t="shared" si="19"/>
        <v>0</v>
      </c>
      <c r="CC127" s="132"/>
      <c r="CD127" s="143">
        <f t="shared" si="20"/>
        <v>0</v>
      </c>
      <c r="CE127" s="132"/>
      <c r="CF127" s="143">
        <f t="shared" si="21"/>
        <v>0</v>
      </c>
      <c r="CG127" s="132"/>
      <c r="CH127" s="143">
        <f t="shared" si="22"/>
        <v>0</v>
      </c>
      <c r="CI127" s="132">
        <f t="shared" si="23"/>
        <v>0</v>
      </c>
      <c r="CJ127" s="143">
        <f t="shared" si="23"/>
        <v>0</v>
      </c>
    </row>
    <row r="128" spans="1:88" x14ac:dyDescent="0.3">
      <c r="A128" s="27"/>
      <c r="B128" s="27"/>
      <c r="C128" s="27"/>
      <c r="D128" s="27"/>
      <c r="E128" s="27"/>
      <c r="F128" s="27"/>
      <c r="G128" s="27"/>
      <c r="H128" s="27"/>
      <c r="I128" s="27"/>
      <c r="J128" s="27"/>
      <c r="K128" s="27"/>
      <c r="L128" s="27"/>
      <c r="N128" s="27"/>
      <c r="O128" s="27"/>
      <c r="P128" s="27"/>
      <c r="Q128" s="117" t="s">
        <v>649</v>
      </c>
      <c r="T128" s="141" t="str">
        <f t="shared" si="24"/>
        <v xml:space="preserve"> </v>
      </c>
      <c r="X128" s="119" t="s">
        <v>650</v>
      </c>
      <c r="Y128" s="27"/>
      <c r="AE128" s="27"/>
      <c r="AH128" s="99"/>
      <c r="BD128" s="97"/>
      <c r="BE128" s="108"/>
      <c r="BF128" s="108"/>
      <c r="BG128" s="97"/>
      <c r="BH128" s="97"/>
      <c r="BI128" s="97"/>
      <c r="BJ128" s="97"/>
      <c r="BK128" s="110"/>
      <c r="BL128" s="97"/>
      <c r="BM128" s="97"/>
      <c r="BN128" s="97"/>
      <c r="BO128" s="144"/>
      <c r="BP128" s="143">
        <f t="shared" si="13"/>
        <v>0</v>
      </c>
      <c r="BQ128" s="144"/>
      <c r="BR128" s="143">
        <f t="shared" si="14"/>
        <v>0</v>
      </c>
      <c r="BS128" s="132"/>
      <c r="BT128" s="146">
        <f t="shared" si="15"/>
        <v>0</v>
      </c>
      <c r="BU128" s="145"/>
      <c r="BV128" s="143">
        <f t="shared" si="16"/>
        <v>0</v>
      </c>
      <c r="BW128" s="145"/>
      <c r="BX128" s="146">
        <f t="shared" si="17"/>
        <v>0</v>
      </c>
      <c r="BY128" s="145"/>
      <c r="BZ128" s="146">
        <f t="shared" si="18"/>
        <v>0</v>
      </c>
      <c r="CA128" s="145"/>
      <c r="CB128" s="146">
        <f t="shared" si="19"/>
        <v>0</v>
      </c>
      <c r="CC128" s="145"/>
      <c r="CD128" s="143">
        <f t="shared" si="20"/>
        <v>0</v>
      </c>
      <c r="CE128" s="145"/>
      <c r="CF128" s="143">
        <f t="shared" si="21"/>
        <v>0</v>
      </c>
      <c r="CG128" s="132"/>
      <c r="CH128" s="143">
        <f t="shared" si="22"/>
        <v>0</v>
      </c>
      <c r="CI128" s="132">
        <f t="shared" si="23"/>
        <v>0</v>
      </c>
      <c r="CJ128" s="143">
        <f t="shared" si="23"/>
        <v>0</v>
      </c>
    </row>
    <row r="129" spans="1:88" x14ac:dyDescent="0.3">
      <c r="A129" s="27"/>
      <c r="B129" s="27"/>
      <c r="C129" s="27"/>
      <c r="D129" s="27"/>
      <c r="E129" s="27"/>
      <c r="F129" s="27"/>
      <c r="G129" s="27"/>
      <c r="H129" s="27"/>
      <c r="I129" s="27"/>
      <c r="J129" s="27"/>
      <c r="K129" s="27"/>
      <c r="L129" s="27"/>
      <c r="N129" s="27"/>
      <c r="O129" s="27"/>
      <c r="P129" s="27"/>
      <c r="Q129" s="117" t="s">
        <v>651</v>
      </c>
      <c r="T129" s="141" t="str">
        <f t="shared" si="24"/>
        <v xml:space="preserve"> </v>
      </c>
      <c r="X129" s="119" t="s">
        <v>652</v>
      </c>
      <c r="Y129" s="27"/>
      <c r="AE129" s="27"/>
      <c r="AH129" s="99"/>
      <c r="BD129" s="97"/>
      <c r="BE129" s="108"/>
      <c r="BF129" s="108"/>
      <c r="BG129" s="97"/>
      <c r="BH129" s="97"/>
      <c r="BI129" s="97"/>
      <c r="BJ129" s="97"/>
      <c r="BK129" s="110"/>
      <c r="BL129" s="97"/>
      <c r="BM129" s="97"/>
      <c r="BN129" s="97"/>
      <c r="BO129" s="142"/>
      <c r="BP129" s="143">
        <f t="shared" si="13"/>
        <v>0</v>
      </c>
      <c r="BQ129" s="142"/>
      <c r="BR129" s="143">
        <f t="shared" si="14"/>
        <v>0</v>
      </c>
      <c r="BS129" s="132"/>
      <c r="BT129" s="146">
        <f t="shared" si="15"/>
        <v>0</v>
      </c>
      <c r="BU129" s="132"/>
      <c r="BV129" s="143">
        <f t="shared" si="16"/>
        <v>0</v>
      </c>
      <c r="BW129" s="132"/>
      <c r="BX129" s="146">
        <f t="shared" si="17"/>
        <v>0</v>
      </c>
      <c r="BY129" s="132"/>
      <c r="BZ129" s="146">
        <f t="shared" si="18"/>
        <v>0</v>
      </c>
      <c r="CA129" s="132"/>
      <c r="CB129" s="146">
        <f t="shared" si="19"/>
        <v>0</v>
      </c>
      <c r="CC129" s="132"/>
      <c r="CD129" s="143">
        <f t="shared" si="20"/>
        <v>0</v>
      </c>
      <c r="CE129" s="132"/>
      <c r="CF129" s="143">
        <f t="shared" si="21"/>
        <v>0</v>
      </c>
      <c r="CG129" s="132"/>
      <c r="CH129" s="143">
        <f t="shared" si="22"/>
        <v>0</v>
      </c>
      <c r="CI129" s="132">
        <f t="shared" si="23"/>
        <v>0</v>
      </c>
      <c r="CJ129" s="143">
        <f t="shared" si="23"/>
        <v>0</v>
      </c>
    </row>
    <row r="130" spans="1:88" x14ac:dyDescent="0.3">
      <c r="A130" s="27"/>
      <c r="B130" s="27"/>
      <c r="C130" s="27"/>
      <c r="D130" s="27"/>
      <c r="E130" s="27"/>
      <c r="F130" s="27"/>
      <c r="G130" s="27"/>
      <c r="H130" s="27"/>
      <c r="I130" s="27"/>
      <c r="J130" s="27"/>
      <c r="K130" s="27"/>
      <c r="L130" s="27"/>
      <c r="N130" s="27"/>
      <c r="O130" s="27"/>
      <c r="P130" s="27"/>
      <c r="Q130" s="117" t="s">
        <v>653</v>
      </c>
      <c r="T130" s="141" t="str">
        <f t="shared" si="24"/>
        <v xml:space="preserve"> </v>
      </c>
      <c r="X130" s="119" t="s">
        <v>654</v>
      </c>
      <c r="Y130" s="27"/>
      <c r="AE130" s="27"/>
      <c r="AH130" s="99"/>
      <c r="BD130" s="97"/>
      <c r="BE130" s="108"/>
      <c r="BF130" s="108"/>
      <c r="BG130" s="97"/>
      <c r="BH130" s="97"/>
      <c r="BI130" s="97"/>
      <c r="BJ130" s="97"/>
      <c r="BK130" s="110"/>
      <c r="BL130" s="97"/>
      <c r="BM130" s="97"/>
      <c r="BN130" s="97"/>
      <c r="BO130" s="148"/>
      <c r="BP130" s="143">
        <f t="shared" si="13"/>
        <v>0</v>
      </c>
      <c r="BQ130" s="148"/>
      <c r="BR130" s="143">
        <f t="shared" si="14"/>
        <v>0</v>
      </c>
      <c r="BS130" s="132"/>
      <c r="BT130" s="146">
        <f t="shared" si="15"/>
        <v>0</v>
      </c>
      <c r="BU130" s="149"/>
      <c r="BV130" s="143">
        <f t="shared" si="16"/>
        <v>0</v>
      </c>
      <c r="BW130" s="149"/>
      <c r="BX130" s="146">
        <f t="shared" si="17"/>
        <v>0</v>
      </c>
      <c r="BY130" s="149"/>
      <c r="BZ130" s="146">
        <f t="shared" si="18"/>
        <v>0</v>
      </c>
      <c r="CA130" s="149"/>
      <c r="CB130" s="146">
        <f t="shared" si="19"/>
        <v>0</v>
      </c>
      <c r="CC130" s="149"/>
      <c r="CD130" s="143">
        <f t="shared" si="20"/>
        <v>0</v>
      </c>
      <c r="CE130" s="149"/>
      <c r="CF130" s="143">
        <f t="shared" si="21"/>
        <v>0</v>
      </c>
      <c r="CG130" s="132"/>
      <c r="CH130" s="143">
        <f t="shared" si="22"/>
        <v>0</v>
      </c>
      <c r="CI130" s="132">
        <f t="shared" si="23"/>
        <v>0</v>
      </c>
      <c r="CJ130" s="143">
        <f t="shared" si="23"/>
        <v>0</v>
      </c>
    </row>
    <row r="131" spans="1:88" x14ac:dyDescent="0.3">
      <c r="A131" s="27"/>
      <c r="B131" s="27"/>
      <c r="C131" s="27"/>
      <c r="D131" s="27"/>
      <c r="E131" s="27"/>
      <c r="F131" s="27"/>
      <c r="G131" s="27"/>
      <c r="H131" s="27"/>
      <c r="I131" s="27"/>
      <c r="J131" s="27"/>
      <c r="K131" s="27"/>
      <c r="L131" s="27"/>
      <c r="N131" s="27"/>
      <c r="O131" s="27"/>
      <c r="P131" s="27"/>
      <c r="Q131" s="117" t="s">
        <v>655</v>
      </c>
      <c r="T131" s="141" t="str">
        <f t="shared" si="24"/>
        <v xml:space="preserve"> </v>
      </c>
      <c r="X131" s="119" t="s">
        <v>656</v>
      </c>
      <c r="Y131" s="27"/>
      <c r="AE131" s="27"/>
      <c r="AH131" s="99"/>
      <c r="BD131" s="97"/>
      <c r="BE131" s="108"/>
      <c r="BF131" s="108"/>
      <c r="BG131" s="97"/>
      <c r="BH131" s="97"/>
      <c r="BI131" s="97"/>
      <c r="BJ131" s="97"/>
      <c r="BK131" s="110"/>
      <c r="BL131" s="97"/>
      <c r="BM131" s="97"/>
      <c r="BN131" s="97"/>
      <c r="BO131" s="142"/>
      <c r="BP131" s="143">
        <f t="shared" si="13"/>
        <v>0</v>
      </c>
      <c r="BQ131" s="142"/>
      <c r="BR131" s="143">
        <f t="shared" si="14"/>
        <v>0</v>
      </c>
      <c r="BS131" s="132"/>
      <c r="BT131" s="146">
        <f t="shared" si="15"/>
        <v>0</v>
      </c>
      <c r="BU131" s="132"/>
      <c r="BV131" s="143">
        <f t="shared" si="16"/>
        <v>0</v>
      </c>
      <c r="BW131" s="132"/>
      <c r="BX131" s="146">
        <f t="shared" si="17"/>
        <v>0</v>
      </c>
      <c r="BY131" s="132"/>
      <c r="BZ131" s="146">
        <f t="shared" si="18"/>
        <v>0</v>
      </c>
      <c r="CA131" s="132"/>
      <c r="CB131" s="146">
        <f t="shared" si="19"/>
        <v>0</v>
      </c>
      <c r="CC131" s="132"/>
      <c r="CD131" s="143">
        <f t="shared" si="20"/>
        <v>0</v>
      </c>
      <c r="CE131" s="132"/>
      <c r="CF131" s="143">
        <f t="shared" si="21"/>
        <v>0</v>
      </c>
      <c r="CG131" s="132"/>
      <c r="CH131" s="143">
        <f t="shared" si="22"/>
        <v>0</v>
      </c>
      <c r="CI131" s="132">
        <f t="shared" si="23"/>
        <v>0</v>
      </c>
      <c r="CJ131" s="143">
        <f t="shared" si="23"/>
        <v>0</v>
      </c>
    </row>
    <row r="132" spans="1:88" x14ac:dyDescent="0.3">
      <c r="A132" s="27"/>
      <c r="B132" s="27"/>
      <c r="C132" s="27"/>
      <c r="D132" s="27"/>
      <c r="E132" s="27"/>
      <c r="F132" s="27"/>
      <c r="G132" s="27"/>
      <c r="H132" s="27"/>
      <c r="I132" s="27"/>
      <c r="J132" s="27"/>
      <c r="K132" s="27"/>
      <c r="L132" s="27"/>
      <c r="N132" s="27"/>
      <c r="O132" s="27"/>
      <c r="P132" s="27"/>
      <c r="Q132" s="117" t="s">
        <v>287</v>
      </c>
      <c r="T132" s="141" t="str">
        <f t="shared" si="24"/>
        <v xml:space="preserve"> </v>
      </c>
      <c r="X132" s="119" t="s">
        <v>657</v>
      </c>
      <c r="Y132" s="27"/>
      <c r="AE132" s="27"/>
      <c r="AH132" s="99"/>
      <c r="BD132" s="97"/>
      <c r="BE132" s="108"/>
      <c r="BF132" s="108"/>
      <c r="BG132" s="97"/>
      <c r="BH132" s="97"/>
      <c r="BI132" s="97"/>
      <c r="BJ132" s="97"/>
      <c r="BK132" s="110"/>
      <c r="BL132" s="97"/>
      <c r="BM132" s="97"/>
      <c r="BN132" s="97"/>
      <c r="BO132" s="142"/>
      <c r="BP132" s="143">
        <f t="shared" si="13"/>
        <v>0</v>
      </c>
      <c r="BQ132" s="142"/>
      <c r="BR132" s="143">
        <f t="shared" si="14"/>
        <v>0</v>
      </c>
      <c r="BS132" s="132"/>
      <c r="BT132" s="146">
        <f t="shared" si="15"/>
        <v>0</v>
      </c>
      <c r="BU132" s="132"/>
      <c r="BV132" s="143">
        <f t="shared" si="16"/>
        <v>0</v>
      </c>
      <c r="BW132" s="132"/>
      <c r="BX132" s="146">
        <f t="shared" si="17"/>
        <v>0</v>
      </c>
      <c r="BY132" s="132"/>
      <c r="BZ132" s="146">
        <f t="shared" si="18"/>
        <v>0</v>
      </c>
      <c r="CA132" s="132"/>
      <c r="CB132" s="146">
        <f t="shared" si="19"/>
        <v>0</v>
      </c>
      <c r="CC132" s="132"/>
      <c r="CD132" s="143">
        <f t="shared" si="20"/>
        <v>0</v>
      </c>
      <c r="CE132" s="132"/>
      <c r="CF132" s="143">
        <f t="shared" si="21"/>
        <v>0</v>
      </c>
      <c r="CG132" s="132"/>
      <c r="CH132" s="143">
        <f t="shared" si="22"/>
        <v>0</v>
      </c>
      <c r="CI132" s="132">
        <f t="shared" si="23"/>
        <v>0</v>
      </c>
      <c r="CJ132" s="143">
        <f t="shared" si="23"/>
        <v>0</v>
      </c>
    </row>
    <row r="133" spans="1:88" x14ac:dyDescent="0.3">
      <c r="A133" s="27"/>
      <c r="B133" s="27"/>
      <c r="C133" s="27"/>
      <c r="D133" s="27"/>
      <c r="E133" s="27"/>
      <c r="F133" s="27"/>
      <c r="G133" s="27"/>
      <c r="H133" s="27"/>
      <c r="I133" s="27"/>
      <c r="J133" s="27"/>
      <c r="K133" s="27"/>
      <c r="L133" s="27"/>
      <c r="N133" s="27"/>
      <c r="O133" s="27"/>
      <c r="P133" s="27"/>
      <c r="Q133" s="117" t="s">
        <v>294</v>
      </c>
      <c r="T133" s="141" t="str">
        <f t="shared" si="24"/>
        <v xml:space="preserve"> </v>
      </c>
      <c r="X133" s="119" t="s">
        <v>658</v>
      </c>
      <c r="Y133" s="27"/>
      <c r="AE133" s="27"/>
      <c r="AH133" s="99"/>
      <c r="BD133" s="97"/>
      <c r="BE133" s="108"/>
      <c r="BF133" s="108"/>
      <c r="BG133" s="97"/>
      <c r="BH133" s="97"/>
      <c r="BI133" s="97"/>
      <c r="BJ133" s="97"/>
      <c r="BK133" s="110"/>
      <c r="BL133" s="97"/>
      <c r="BM133" s="97"/>
      <c r="BN133" s="97"/>
      <c r="BO133" s="142"/>
      <c r="BP133" s="143">
        <f t="shared" si="13"/>
        <v>0</v>
      </c>
      <c r="BQ133" s="142"/>
      <c r="BR133" s="143">
        <f t="shared" si="14"/>
        <v>0</v>
      </c>
      <c r="BS133" s="132"/>
      <c r="BT133" s="146">
        <f t="shared" si="15"/>
        <v>0</v>
      </c>
      <c r="BU133" s="132"/>
      <c r="BV133" s="143">
        <f t="shared" si="16"/>
        <v>0</v>
      </c>
      <c r="BW133" s="132"/>
      <c r="BX133" s="146">
        <f t="shared" si="17"/>
        <v>0</v>
      </c>
      <c r="BY133" s="132"/>
      <c r="BZ133" s="146">
        <f t="shared" si="18"/>
        <v>0</v>
      </c>
      <c r="CA133" s="132"/>
      <c r="CB133" s="146">
        <f t="shared" si="19"/>
        <v>0</v>
      </c>
      <c r="CC133" s="132"/>
      <c r="CD133" s="143">
        <f t="shared" si="20"/>
        <v>0</v>
      </c>
      <c r="CE133" s="132"/>
      <c r="CF133" s="143">
        <f t="shared" si="21"/>
        <v>0</v>
      </c>
      <c r="CG133" s="132"/>
      <c r="CH133" s="143">
        <f t="shared" si="22"/>
        <v>0</v>
      </c>
      <c r="CI133" s="132">
        <f t="shared" si="23"/>
        <v>0</v>
      </c>
      <c r="CJ133" s="143">
        <f t="shared" si="23"/>
        <v>0</v>
      </c>
    </row>
    <row r="134" spans="1:88" x14ac:dyDescent="0.3">
      <c r="A134" s="27"/>
      <c r="B134" s="27"/>
      <c r="C134" s="27"/>
      <c r="D134" s="27"/>
      <c r="E134" s="27"/>
      <c r="F134" s="27"/>
      <c r="G134" s="27"/>
      <c r="H134" s="27"/>
      <c r="I134" s="27"/>
      <c r="J134" s="27"/>
      <c r="K134" s="27"/>
      <c r="L134" s="27"/>
      <c r="N134" s="27"/>
      <c r="O134" s="27"/>
      <c r="P134" s="27"/>
      <c r="Q134" s="117" t="s">
        <v>659</v>
      </c>
      <c r="T134" s="141" t="str">
        <f t="shared" si="24"/>
        <v xml:space="preserve"> </v>
      </c>
      <c r="X134" s="119" t="s">
        <v>660</v>
      </c>
      <c r="Y134" s="27"/>
      <c r="AE134" s="27"/>
      <c r="AH134" s="99"/>
      <c r="BD134" s="97"/>
      <c r="BE134" s="108"/>
      <c r="BF134" s="108"/>
      <c r="BG134" s="97"/>
      <c r="BH134" s="97"/>
      <c r="BI134" s="97"/>
      <c r="BJ134" s="97"/>
      <c r="BK134" s="110"/>
      <c r="BL134" s="97"/>
      <c r="BM134" s="97"/>
      <c r="BN134" s="97"/>
      <c r="BO134" s="142"/>
      <c r="BP134" s="143">
        <f t="shared" si="13"/>
        <v>0</v>
      </c>
      <c r="BQ134" s="142"/>
      <c r="BR134" s="143">
        <f t="shared" si="14"/>
        <v>0</v>
      </c>
      <c r="BS134" s="132"/>
      <c r="BT134" s="146">
        <f t="shared" si="15"/>
        <v>0</v>
      </c>
      <c r="BU134" s="132"/>
      <c r="BV134" s="143">
        <f t="shared" si="16"/>
        <v>0</v>
      </c>
      <c r="BW134" s="132"/>
      <c r="BX134" s="146">
        <f t="shared" si="17"/>
        <v>0</v>
      </c>
      <c r="BY134" s="132"/>
      <c r="BZ134" s="146">
        <f t="shared" si="18"/>
        <v>0</v>
      </c>
      <c r="CA134" s="132"/>
      <c r="CB134" s="146">
        <f t="shared" si="19"/>
        <v>0</v>
      </c>
      <c r="CC134" s="132"/>
      <c r="CD134" s="143">
        <f t="shared" si="20"/>
        <v>0</v>
      </c>
      <c r="CE134" s="132"/>
      <c r="CF134" s="143">
        <f t="shared" si="21"/>
        <v>0</v>
      </c>
      <c r="CG134" s="132"/>
      <c r="CH134" s="143">
        <f t="shared" si="22"/>
        <v>0</v>
      </c>
      <c r="CI134" s="132">
        <f t="shared" si="23"/>
        <v>0</v>
      </c>
      <c r="CJ134" s="143">
        <f t="shared" si="23"/>
        <v>0</v>
      </c>
    </row>
    <row r="135" spans="1:88" x14ac:dyDescent="0.3">
      <c r="A135" s="27"/>
      <c r="B135" s="27"/>
      <c r="C135" s="27"/>
      <c r="D135" s="27"/>
      <c r="E135" s="27"/>
      <c r="F135" s="27"/>
      <c r="G135" s="27"/>
      <c r="H135" s="27"/>
      <c r="I135" s="27"/>
      <c r="J135" s="27"/>
      <c r="K135" s="27"/>
      <c r="L135" s="27"/>
      <c r="N135" s="27"/>
      <c r="O135" s="27"/>
      <c r="P135" s="27"/>
      <c r="Q135" s="117" t="s">
        <v>661</v>
      </c>
      <c r="T135" s="141" t="str">
        <f t="shared" si="24"/>
        <v xml:space="preserve"> </v>
      </c>
      <c r="X135" s="119" t="s">
        <v>662</v>
      </c>
      <c r="Y135" s="27"/>
      <c r="AE135" s="27"/>
      <c r="AH135" s="99"/>
      <c r="BD135" s="97"/>
      <c r="BE135" s="108"/>
      <c r="BF135" s="108"/>
      <c r="BG135" s="97"/>
      <c r="BH135" s="97"/>
      <c r="BI135" s="97"/>
      <c r="BJ135" s="97"/>
      <c r="BK135" s="110"/>
      <c r="BL135" s="97"/>
      <c r="BM135" s="97"/>
      <c r="BN135" s="97"/>
      <c r="BO135" s="148"/>
      <c r="BP135" s="143">
        <f t="shared" si="13"/>
        <v>0</v>
      </c>
      <c r="BQ135" s="148"/>
      <c r="BR135" s="143">
        <f t="shared" si="14"/>
        <v>0</v>
      </c>
      <c r="BS135" s="132"/>
      <c r="BT135" s="146">
        <f t="shared" si="15"/>
        <v>0</v>
      </c>
      <c r="BU135" s="149"/>
      <c r="BV135" s="143">
        <f t="shared" si="16"/>
        <v>0</v>
      </c>
      <c r="BW135" s="149"/>
      <c r="BX135" s="146">
        <f t="shared" si="17"/>
        <v>0</v>
      </c>
      <c r="BY135" s="149"/>
      <c r="BZ135" s="146">
        <f t="shared" si="18"/>
        <v>0</v>
      </c>
      <c r="CA135" s="149"/>
      <c r="CB135" s="146">
        <f t="shared" si="19"/>
        <v>0</v>
      </c>
      <c r="CC135" s="149"/>
      <c r="CD135" s="143">
        <f t="shared" si="20"/>
        <v>0</v>
      </c>
      <c r="CE135" s="149"/>
      <c r="CF135" s="143">
        <f t="shared" si="21"/>
        <v>0</v>
      </c>
      <c r="CG135" s="132"/>
      <c r="CH135" s="143">
        <f t="shared" si="22"/>
        <v>0</v>
      </c>
      <c r="CI135" s="132">
        <f t="shared" si="23"/>
        <v>0</v>
      </c>
      <c r="CJ135" s="143">
        <f t="shared" si="23"/>
        <v>0</v>
      </c>
    </row>
    <row r="136" spans="1:88" x14ac:dyDescent="0.3">
      <c r="A136" s="27"/>
      <c r="B136" s="27"/>
      <c r="C136" s="27"/>
      <c r="D136" s="27"/>
      <c r="E136" s="27"/>
      <c r="F136" s="27"/>
      <c r="G136" s="27"/>
      <c r="H136" s="27"/>
      <c r="I136" s="27"/>
      <c r="J136" s="27"/>
      <c r="K136" s="27"/>
      <c r="L136" s="27"/>
      <c r="N136" s="27"/>
      <c r="O136" s="27"/>
      <c r="P136" s="27"/>
      <c r="Q136" s="117" t="s">
        <v>663</v>
      </c>
      <c r="T136" s="141" t="str">
        <f t="shared" si="24"/>
        <v xml:space="preserve"> </v>
      </c>
      <c r="X136" s="119" t="s">
        <v>664</v>
      </c>
      <c r="Y136" s="27"/>
      <c r="AE136" s="27"/>
      <c r="AH136" s="99"/>
      <c r="BD136" s="97"/>
      <c r="BE136" s="108"/>
      <c r="BF136" s="108"/>
      <c r="BG136" s="97"/>
      <c r="BH136" s="97"/>
      <c r="BI136" s="97"/>
      <c r="BJ136" s="97"/>
      <c r="BK136" s="110"/>
      <c r="BL136" s="97"/>
      <c r="BM136" s="97"/>
      <c r="BN136" s="97"/>
      <c r="BO136" s="148"/>
      <c r="BP136" s="143">
        <f t="shared" si="13"/>
        <v>0</v>
      </c>
      <c r="BQ136" s="148"/>
      <c r="BR136" s="143">
        <f t="shared" si="14"/>
        <v>0</v>
      </c>
      <c r="BS136" s="132"/>
      <c r="BT136" s="146">
        <f t="shared" si="15"/>
        <v>0</v>
      </c>
      <c r="BU136" s="149"/>
      <c r="BV136" s="143">
        <f t="shared" si="16"/>
        <v>0</v>
      </c>
      <c r="BW136" s="149"/>
      <c r="BX136" s="146">
        <f t="shared" si="17"/>
        <v>0</v>
      </c>
      <c r="BY136" s="149"/>
      <c r="BZ136" s="146">
        <f t="shared" si="18"/>
        <v>0</v>
      </c>
      <c r="CA136" s="149"/>
      <c r="CB136" s="146">
        <f t="shared" si="19"/>
        <v>0</v>
      </c>
      <c r="CC136" s="149"/>
      <c r="CD136" s="143">
        <f t="shared" si="20"/>
        <v>0</v>
      </c>
      <c r="CE136" s="149"/>
      <c r="CF136" s="143">
        <f t="shared" si="21"/>
        <v>0</v>
      </c>
      <c r="CG136" s="132"/>
      <c r="CH136" s="143">
        <f t="shared" si="22"/>
        <v>0</v>
      </c>
      <c r="CI136" s="132">
        <f t="shared" si="23"/>
        <v>0</v>
      </c>
      <c r="CJ136" s="143">
        <f t="shared" si="23"/>
        <v>0</v>
      </c>
    </row>
    <row r="137" spans="1:88" x14ac:dyDescent="0.3">
      <c r="A137" s="27"/>
      <c r="B137" s="27"/>
      <c r="C137" s="27"/>
      <c r="D137" s="27"/>
      <c r="E137" s="27"/>
      <c r="F137" s="27"/>
      <c r="G137" s="27"/>
      <c r="H137" s="27"/>
      <c r="I137" s="27"/>
      <c r="J137" s="27"/>
      <c r="K137" s="27"/>
      <c r="L137" s="27"/>
      <c r="N137" s="27"/>
      <c r="O137" s="27"/>
      <c r="P137" s="27"/>
      <c r="Q137" s="117" t="s">
        <v>665</v>
      </c>
      <c r="T137" s="141" t="str">
        <f t="shared" si="24"/>
        <v xml:space="preserve"> </v>
      </c>
      <c r="X137" s="119" t="s">
        <v>666</v>
      </c>
      <c r="Y137" s="27"/>
      <c r="AE137" s="27"/>
      <c r="AH137" s="99"/>
      <c r="BD137" s="97"/>
      <c r="BE137" s="108"/>
      <c r="BF137" s="108"/>
      <c r="BG137" s="97"/>
      <c r="BH137" s="97"/>
      <c r="BI137" s="97"/>
      <c r="BJ137" s="97"/>
      <c r="BK137" s="110"/>
      <c r="BL137" s="97"/>
      <c r="BM137" s="97"/>
      <c r="BN137" s="97"/>
      <c r="BO137" s="142"/>
      <c r="BP137" s="143">
        <f t="shared" si="13"/>
        <v>0</v>
      </c>
      <c r="BQ137" s="142"/>
      <c r="BR137" s="143">
        <f t="shared" si="14"/>
        <v>0</v>
      </c>
      <c r="BS137" s="132"/>
      <c r="BT137" s="146">
        <f t="shared" si="15"/>
        <v>0</v>
      </c>
      <c r="BU137" s="132"/>
      <c r="BV137" s="143">
        <f t="shared" si="16"/>
        <v>0</v>
      </c>
      <c r="BW137" s="132"/>
      <c r="BX137" s="146">
        <f t="shared" si="17"/>
        <v>0</v>
      </c>
      <c r="BY137" s="132"/>
      <c r="BZ137" s="146">
        <f t="shared" si="18"/>
        <v>0</v>
      </c>
      <c r="CA137" s="132"/>
      <c r="CB137" s="146">
        <f t="shared" si="19"/>
        <v>0</v>
      </c>
      <c r="CC137" s="132"/>
      <c r="CD137" s="143">
        <f t="shared" si="20"/>
        <v>0</v>
      </c>
      <c r="CE137" s="132"/>
      <c r="CF137" s="143">
        <f t="shared" si="21"/>
        <v>0</v>
      </c>
      <c r="CG137" s="132"/>
      <c r="CH137" s="143">
        <f t="shared" si="22"/>
        <v>0</v>
      </c>
      <c r="CI137" s="132">
        <f t="shared" si="23"/>
        <v>0</v>
      </c>
      <c r="CJ137" s="143">
        <f t="shared" si="23"/>
        <v>0</v>
      </c>
    </row>
    <row r="138" spans="1:88" x14ac:dyDescent="0.3">
      <c r="A138" s="27"/>
      <c r="B138" s="27"/>
      <c r="C138" s="27"/>
      <c r="D138" s="27"/>
      <c r="E138" s="27"/>
      <c r="F138" s="27"/>
      <c r="G138" s="27"/>
      <c r="H138" s="27"/>
      <c r="I138" s="27"/>
      <c r="J138" s="27"/>
      <c r="K138" s="27"/>
      <c r="L138" s="27"/>
      <c r="N138" s="27"/>
      <c r="O138" s="27"/>
      <c r="P138" s="27"/>
      <c r="Q138" s="117" t="s">
        <v>667</v>
      </c>
      <c r="T138" s="141" t="str">
        <f t="shared" si="24"/>
        <v xml:space="preserve"> </v>
      </c>
      <c r="X138" s="119" t="s">
        <v>668</v>
      </c>
      <c r="Y138" s="27"/>
      <c r="AE138" s="27"/>
      <c r="AH138" s="99"/>
      <c r="BD138" s="97"/>
      <c r="BE138" s="108"/>
      <c r="BF138" s="108"/>
      <c r="BG138" s="97"/>
      <c r="BH138" s="97"/>
      <c r="BI138" s="97"/>
      <c r="BJ138" s="97"/>
      <c r="BK138" s="110"/>
      <c r="BL138" s="97"/>
      <c r="BM138" s="97"/>
      <c r="BN138" s="97"/>
      <c r="BO138" s="142"/>
      <c r="BP138" s="143">
        <f t="shared" ref="BP138:BP201" si="25">BO138*AX138</f>
        <v>0</v>
      </c>
      <c r="BQ138" s="142"/>
      <c r="BR138" s="143">
        <f t="shared" ref="BR138:BR201" si="26">BQ138*AX138</f>
        <v>0</v>
      </c>
      <c r="BS138" s="132"/>
      <c r="BT138" s="146">
        <f t="shared" ref="BT138:BT201" si="27">BS138*AX138</f>
        <v>0</v>
      </c>
      <c r="BU138" s="132"/>
      <c r="BV138" s="143">
        <f t="shared" ref="BV138:BV201" si="28">BU138*AX138</f>
        <v>0</v>
      </c>
      <c r="BW138" s="132"/>
      <c r="BX138" s="146">
        <f t="shared" ref="BX138:BX201" si="29">BW138*AX138</f>
        <v>0</v>
      </c>
      <c r="BY138" s="132"/>
      <c r="BZ138" s="146">
        <f t="shared" ref="BZ138:BZ201" si="30">BY138*AX138</f>
        <v>0</v>
      </c>
      <c r="CA138" s="132"/>
      <c r="CB138" s="146">
        <f t="shared" ref="CB138:CB201" si="31">CA138*AX138</f>
        <v>0</v>
      </c>
      <c r="CC138" s="132"/>
      <c r="CD138" s="143">
        <f t="shared" ref="CD138:CD201" si="32">CC138*AX138</f>
        <v>0</v>
      </c>
      <c r="CE138" s="132"/>
      <c r="CF138" s="143">
        <f t="shared" ref="CF138:CF201" si="33">CE138*AX138</f>
        <v>0</v>
      </c>
      <c r="CG138" s="132"/>
      <c r="CH138" s="143">
        <f t="shared" ref="CH138:CH201" si="34">CG138*AX138</f>
        <v>0</v>
      </c>
      <c r="CI138" s="132">
        <f t="shared" ref="CI138:CJ201" si="35">SUM(BO138,BQ138,BS138,BU138,BW138,BY138,CA138,CC138,CE138,CG138)</f>
        <v>0</v>
      </c>
      <c r="CJ138" s="143">
        <f t="shared" si="35"/>
        <v>0</v>
      </c>
    </row>
    <row r="139" spans="1:88" x14ac:dyDescent="0.3">
      <c r="A139" s="27"/>
      <c r="B139" s="27"/>
      <c r="C139" s="27"/>
      <c r="D139" s="27"/>
      <c r="E139" s="27"/>
      <c r="F139" s="27"/>
      <c r="G139" s="27"/>
      <c r="H139" s="27"/>
      <c r="I139" s="27"/>
      <c r="J139" s="27"/>
      <c r="K139" s="27"/>
      <c r="L139" s="27"/>
      <c r="N139" s="27"/>
      <c r="O139" s="27"/>
      <c r="P139" s="27"/>
      <c r="Q139" s="117" t="s">
        <v>669</v>
      </c>
      <c r="T139" s="141" t="str">
        <f t="shared" si="24"/>
        <v xml:space="preserve"> </v>
      </c>
      <c r="X139" s="119" t="s">
        <v>670</v>
      </c>
      <c r="Y139" s="27"/>
      <c r="AE139" s="27"/>
      <c r="AH139" s="99"/>
      <c r="BD139" s="97"/>
      <c r="BE139" s="108"/>
      <c r="BF139" s="108"/>
      <c r="BG139" s="97"/>
      <c r="BH139" s="97"/>
      <c r="BI139" s="97"/>
      <c r="BJ139" s="97"/>
      <c r="BK139" s="110"/>
      <c r="BL139" s="97"/>
      <c r="BM139" s="97"/>
      <c r="BN139" s="97"/>
      <c r="BO139" s="142"/>
      <c r="BP139" s="143">
        <f t="shared" si="25"/>
        <v>0</v>
      </c>
      <c r="BQ139" s="142"/>
      <c r="BR139" s="143">
        <f t="shared" si="26"/>
        <v>0</v>
      </c>
      <c r="BS139" s="132"/>
      <c r="BT139" s="146">
        <f t="shared" si="27"/>
        <v>0</v>
      </c>
      <c r="BU139" s="132"/>
      <c r="BV139" s="143">
        <f t="shared" si="28"/>
        <v>0</v>
      </c>
      <c r="BW139" s="132"/>
      <c r="BX139" s="146">
        <f t="shared" si="29"/>
        <v>0</v>
      </c>
      <c r="BY139" s="132"/>
      <c r="BZ139" s="146">
        <f t="shared" si="30"/>
        <v>0</v>
      </c>
      <c r="CA139" s="132"/>
      <c r="CB139" s="146">
        <f t="shared" si="31"/>
        <v>0</v>
      </c>
      <c r="CC139" s="132"/>
      <c r="CD139" s="143">
        <f t="shared" si="32"/>
        <v>0</v>
      </c>
      <c r="CE139" s="132"/>
      <c r="CF139" s="143">
        <f t="shared" si="33"/>
        <v>0</v>
      </c>
      <c r="CG139" s="132"/>
      <c r="CH139" s="143">
        <f t="shared" si="34"/>
        <v>0</v>
      </c>
      <c r="CI139" s="132">
        <f t="shared" si="35"/>
        <v>0</v>
      </c>
      <c r="CJ139" s="143">
        <f t="shared" si="35"/>
        <v>0</v>
      </c>
    </row>
    <row r="140" spans="1:88" x14ac:dyDescent="0.3">
      <c r="A140" s="27"/>
      <c r="B140" s="27"/>
      <c r="C140" s="27"/>
      <c r="D140" s="27"/>
      <c r="E140" s="27"/>
      <c r="F140" s="27"/>
      <c r="G140" s="27"/>
      <c r="H140" s="27"/>
      <c r="I140" s="27"/>
      <c r="J140" s="27"/>
      <c r="K140" s="27"/>
      <c r="L140" s="27"/>
      <c r="N140" s="27"/>
      <c r="O140" s="27"/>
      <c r="P140" s="27"/>
      <c r="Q140" s="117" t="s">
        <v>671</v>
      </c>
      <c r="T140" s="141" t="str">
        <f t="shared" si="24"/>
        <v xml:space="preserve"> </v>
      </c>
      <c r="X140" s="119" t="s">
        <v>672</v>
      </c>
      <c r="Y140" s="27"/>
      <c r="AE140" s="27"/>
      <c r="AH140" s="99"/>
      <c r="BD140" s="97"/>
      <c r="BE140" s="108"/>
      <c r="BF140" s="108"/>
      <c r="BG140" s="97"/>
      <c r="BH140" s="97"/>
      <c r="BI140" s="97"/>
      <c r="BJ140" s="97"/>
      <c r="BK140" s="110"/>
      <c r="BL140" s="97"/>
      <c r="BM140" s="97"/>
      <c r="BN140" s="97"/>
      <c r="BO140" s="142"/>
      <c r="BP140" s="143">
        <f t="shared" si="25"/>
        <v>0</v>
      </c>
      <c r="BQ140" s="142"/>
      <c r="BR140" s="143">
        <f t="shared" si="26"/>
        <v>0</v>
      </c>
      <c r="BS140" s="132"/>
      <c r="BT140" s="146">
        <f t="shared" si="27"/>
        <v>0</v>
      </c>
      <c r="BU140" s="132"/>
      <c r="BV140" s="143">
        <f t="shared" si="28"/>
        <v>0</v>
      </c>
      <c r="BW140" s="132"/>
      <c r="BX140" s="146">
        <f t="shared" si="29"/>
        <v>0</v>
      </c>
      <c r="BY140" s="132"/>
      <c r="BZ140" s="146">
        <f t="shared" si="30"/>
        <v>0</v>
      </c>
      <c r="CA140" s="132"/>
      <c r="CB140" s="146">
        <f t="shared" si="31"/>
        <v>0</v>
      </c>
      <c r="CC140" s="132"/>
      <c r="CD140" s="143">
        <f t="shared" si="32"/>
        <v>0</v>
      </c>
      <c r="CE140" s="132"/>
      <c r="CF140" s="143">
        <f t="shared" si="33"/>
        <v>0</v>
      </c>
      <c r="CG140" s="132"/>
      <c r="CH140" s="143">
        <f t="shared" si="34"/>
        <v>0</v>
      </c>
      <c r="CI140" s="132">
        <f t="shared" si="35"/>
        <v>0</v>
      </c>
      <c r="CJ140" s="143">
        <f t="shared" si="35"/>
        <v>0</v>
      </c>
    </row>
    <row r="141" spans="1:88" x14ac:dyDescent="0.3">
      <c r="A141" s="27"/>
      <c r="B141" s="27"/>
      <c r="C141" s="27"/>
      <c r="D141" s="27"/>
      <c r="E141" s="27"/>
      <c r="F141" s="27"/>
      <c r="G141" s="27"/>
      <c r="H141" s="27"/>
      <c r="I141" s="27"/>
      <c r="J141" s="27"/>
      <c r="K141" s="27"/>
      <c r="L141" s="27"/>
      <c r="N141" s="27"/>
      <c r="O141" s="27"/>
      <c r="P141" s="27"/>
      <c r="Q141" s="117" t="s">
        <v>673</v>
      </c>
      <c r="T141" s="141" t="str">
        <f t="shared" si="24"/>
        <v xml:space="preserve"> </v>
      </c>
      <c r="X141" s="119" t="s">
        <v>674</v>
      </c>
      <c r="Y141" s="27"/>
      <c r="AE141" s="27"/>
      <c r="AH141" s="99"/>
      <c r="BD141" s="97"/>
      <c r="BE141" s="108"/>
      <c r="BF141" s="108"/>
      <c r="BG141" s="97"/>
      <c r="BH141" s="97"/>
      <c r="BI141" s="97"/>
      <c r="BJ141" s="97"/>
      <c r="BK141" s="110"/>
      <c r="BL141" s="97"/>
      <c r="BM141" s="97"/>
      <c r="BN141" s="97"/>
      <c r="BO141" s="142"/>
      <c r="BP141" s="143">
        <f t="shared" si="25"/>
        <v>0</v>
      </c>
      <c r="BQ141" s="142"/>
      <c r="BR141" s="143">
        <f t="shared" si="26"/>
        <v>0</v>
      </c>
      <c r="BS141" s="132"/>
      <c r="BT141" s="146">
        <f t="shared" si="27"/>
        <v>0</v>
      </c>
      <c r="BU141" s="132"/>
      <c r="BV141" s="143">
        <f t="shared" si="28"/>
        <v>0</v>
      </c>
      <c r="BW141" s="132"/>
      <c r="BX141" s="146">
        <f t="shared" si="29"/>
        <v>0</v>
      </c>
      <c r="BY141" s="132"/>
      <c r="BZ141" s="146">
        <f t="shared" si="30"/>
        <v>0</v>
      </c>
      <c r="CA141" s="132"/>
      <c r="CB141" s="146">
        <f t="shared" si="31"/>
        <v>0</v>
      </c>
      <c r="CC141" s="132"/>
      <c r="CD141" s="143">
        <f t="shared" si="32"/>
        <v>0</v>
      </c>
      <c r="CE141" s="132"/>
      <c r="CF141" s="143">
        <f t="shared" si="33"/>
        <v>0</v>
      </c>
      <c r="CG141" s="132"/>
      <c r="CH141" s="143">
        <f t="shared" si="34"/>
        <v>0</v>
      </c>
      <c r="CI141" s="132">
        <f t="shared" si="35"/>
        <v>0</v>
      </c>
      <c r="CJ141" s="143">
        <f t="shared" si="35"/>
        <v>0</v>
      </c>
    </row>
    <row r="142" spans="1:88" x14ac:dyDescent="0.3">
      <c r="A142" s="27"/>
      <c r="B142" s="27"/>
      <c r="C142" s="27"/>
      <c r="D142" s="27"/>
      <c r="E142" s="27"/>
      <c r="F142" s="27"/>
      <c r="G142" s="27"/>
      <c r="H142" s="27"/>
      <c r="I142" s="27"/>
      <c r="J142" s="27"/>
      <c r="K142" s="27"/>
      <c r="L142" s="27"/>
      <c r="N142" s="27"/>
      <c r="O142" s="27"/>
      <c r="P142" s="27"/>
      <c r="Q142" s="117" t="s">
        <v>675</v>
      </c>
      <c r="T142" s="141" t="str">
        <f t="shared" si="24"/>
        <v xml:space="preserve"> </v>
      </c>
      <c r="X142" s="119" t="s">
        <v>676</v>
      </c>
      <c r="Y142" s="27"/>
      <c r="AE142" s="27"/>
      <c r="AH142" s="99"/>
      <c r="BD142" s="97"/>
      <c r="BE142" s="108"/>
      <c r="BF142" s="108"/>
      <c r="BG142" s="97"/>
      <c r="BH142" s="97"/>
      <c r="BI142" s="97"/>
      <c r="BJ142" s="97"/>
      <c r="BK142" s="110"/>
      <c r="BL142" s="97"/>
      <c r="BM142" s="97"/>
      <c r="BN142" s="97"/>
      <c r="BO142" s="142"/>
      <c r="BP142" s="143">
        <f t="shared" si="25"/>
        <v>0</v>
      </c>
      <c r="BQ142" s="142"/>
      <c r="BR142" s="143">
        <f t="shared" si="26"/>
        <v>0</v>
      </c>
      <c r="BS142" s="132"/>
      <c r="BT142" s="146">
        <f t="shared" si="27"/>
        <v>0</v>
      </c>
      <c r="BU142" s="132"/>
      <c r="BV142" s="143">
        <f t="shared" si="28"/>
        <v>0</v>
      </c>
      <c r="BW142" s="132"/>
      <c r="BX142" s="146">
        <f t="shared" si="29"/>
        <v>0</v>
      </c>
      <c r="BY142" s="132"/>
      <c r="BZ142" s="146">
        <f t="shared" si="30"/>
        <v>0</v>
      </c>
      <c r="CA142" s="132"/>
      <c r="CB142" s="146">
        <f t="shared" si="31"/>
        <v>0</v>
      </c>
      <c r="CC142" s="132"/>
      <c r="CD142" s="143">
        <f t="shared" si="32"/>
        <v>0</v>
      </c>
      <c r="CE142" s="132"/>
      <c r="CF142" s="143">
        <f t="shared" si="33"/>
        <v>0</v>
      </c>
      <c r="CG142" s="132"/>
      <c r="CH142" s="143">
        <f t="shared" si="34"/>
        <v>0</v>
      </c>
      <c r="CI142" s="132">
        <f t="shared" si="35"/>
        <v>0</v>
      </c>
      <c r="CJ142" s="143">
        <f t="shared" si="35"/>
        <v>0</v>
      </c>
    </row>
    <row r="143" spans="1:88" x14ac:dyDescent="0.3">
      <c r="A143" s="27"/>
      <c r="B143" s="27"/>
      <c r="C143" s="27"/>
      <c r="D143" s="27"/>
      <c r="E143" s="27"/>
      <c r="F143" s="27"/>
      <c r="G143" s="27"/>
      <c r="H143" s="27"/>
      <c r="I143" s="27"/>
      <c r="J143" s="27"/>
      <c r="K143" s="27"/>
      <c r="L143" s="27"/>
      <c r="N143" s="27"/>
      <c r="O143" s="27"/>
      <c r="P143" s="27"/>
      <c r="Q143" s="117" t="s">
        <v>677</v>
      </c>
      <c r="T143" s="141" t="str">
        <f t="shared" si="24"/>
        <v xml:space="preserve"> </v>
      </c>
      <c r="X143" s="119" t="s">
        <v>678</v>
      </c>
      <c r="Y143" s="27"/>
      <c r="AE143" s="27"/>
      <c r="AH143" s="99"/>
      <c r="BD143" s="97"/>
      <c r="BE143" s="108"/>
      <c r="BF143" s="108"/>
      <c r="BG143" s="97"/>
      <c r="BH143" s="97"/>
      <c r="BI143" s="97"/>
      <c r="BJ143" s="97"/>
      <c r="BK143" s="110"/>
      <c r="BL143" s="97"/>
      <c r="BM143" s="97"/>
      <c r="BN143" s="97"/>
      <c r="BO143" s="142"/>
      <c r="BP143" s="143">
        <f t="shared" si="25"/>
        <v>0</v>
      </c>
      <c r="BQ143" s="142"/>
      <c r="BR143" s="143">
        <f t="shared" si="26"/>
        <v>0</v>
      </c>
      <c r="BS143" s="132"/>
      <c r="BT143" s="146">
        <f t="shared" si="27"/>
        <v>0</v>
      </c>
      <c r="BU143" s="132"/>
      <c r="BV143" s="143">
        <f t="shared" si="28"/>
        <v>0</v>
      </c>
      <c r="BW143" s="132"/>
      <c r="BX143" s="146">
        <f t="shared" si="29"/>
        <v>0</v>
      </c>
      <c r="BY143" s="132"/>
      <c r="BZ143" s="146">
        <f t="shared" si="30"/>
        <v>0</v>
      </c>
      <c r="CA143" s="132"/>
      <c r="CB143" s="146">
        <f t="shared" si="31"/>
        <v>0</v>
      </c>
      <c r="CC143" s="132"/>
      <c r="CD143" s="143">
        <f t="shared" si="32"/>
        <v>0</v>
      </c>
      <c r="CE143" s="132"/>
      <c r="CF143" s="143">
        <f t="shared" si="33"/>
        <v>0</v>
      </c>
      <c r="CG143" s="132"/>
      <c r="CH143" s="143">
        <f t="shared" si="34"/>
        <v>0</v>
      </c>
      <c r="CI143" s="132">
        <f t="shared" si="35"/>
        <v>0</v>
      </c>
      <c r="CJ143" s="143">
        <f t="shared" si="35"/>
        <v>0</v>
      </c>
    </row>
    <row r="144" spans="1:88" ht="27.6" x14ac:dyDescent="0.3">
      <c r="A144" s="27"/>
      <c r="B144" s="27"/>
      <c r="C144" s="27"/>
      <c r="D144" s="27"/>
      <c r="E144" s="27"/>
      <c r="F144" s="27"/>
      <c r="G144" s="27"/>
      <c r="H144" s="27"/>
      <c r="I144" s="27"/>
      <c r="J144" s="27"/>
      <c r="K144" s="27"/>
      <c r="L144" s="27"/>
      <c r="N144" s="27"/>
      <c r="O144" s="27"/>
      <c r="P144" s="27"/>
      <c r="Q144" s="117" t="s">
        <v>679</v>
      </c>
      <c r="T144" s="141" t="str">
        <f t="shared" si="24"/>
        <v xml:space="preserve"> </v>
      </c>
      <c r="X144" s="119" t="s">
        <v>680</v>
      </c>
      <c r="Y144" s="27"/>
      <c r="AE144" s="27"/>
      <c r="AH144" s="99"/>
      <c r="BD144" s="97"/>
      <c r="BE144" s="108"/>
      <c r="BF144" s="108"/>
      <c r="BG144" s="97"/>
      <c r="BH144" s="97"/>
      <c r="BI144" s="97"/>
      <c r="BJ144" s="97"/>
      <c r="BK144" s="110"/>
      <c r="BL144" s="97"/>
      <c r="BM144" s="97"/>
      <c r="BN144" s="97"/>
      <c r="BO144" s="142"/>
      <c r="BP144" s="143">
        <f t="shared" si="25"/>
        <v>0</v>
      </c>
      <c r="BQ144" s="142"/>
      <c r="BR144" s="143">
        <f t="shared" si="26"/>
        <v>0</v>
      </c>
      <c r="BS144" s="132"/>
      <c r="BT144" s="146">
        <f t="shared" si="27"/>
        <v>0</v>
      </c>
      <c r="BU144" s="132"/>
      <c r="BV144" s="143">
        <f t="shared" si="28"/>
        <v>0</v>
      </c>
      <c r="BW144" s="132"/>
      <c r="BX144" s="146">
        <f t="shared" si="29"/>
        <v>0</v>
      </c>
      <c r="BY144" s="132"/>
      <c r="BZ144" s="146">
        <f t="shared" si="30"/>
        <v>0</v>
      </c>
      <c r="CA144" s="132"/>
      <c r="CB144" s="146">
        <f t="shared" si="31"/>
        <v>0</v>
      </c>
      <c r="CC144" s="132"/>
      <c r="CD144" s="143">
        <f t="shared" si="32"/>
        <v>0</v>
      </c>
      <c r="CE144" s="132"/>
      <c r="CF144" s="143">
        <f t="shared" si="33"/>
        <v>0</v>
      </c>
      <c r="CG144" s="132"/>
      <c r="CH144" s="143">
        <f t="shared" si="34"/>
        <v>0</v>
      </c>
      <c r="CI144" s="132">
        <f t="shared" si="35"/>
        <v>0</v>
      </c>
      <c r="CJ144" s="143">
        <f t="shared" si="35"/>
        <v>0</v>
      </c>
    </row>
    <row r="145" spans="1:88" x14ac:dyDescent="0.3">
      <c r="A145" s="27"/>
      <c r="B145" s="27"/>
      <c r="C145" s="27"/>
      <c r="D145" s="27"/>
      <c r="E145" s="27"/>
      <c r="F145" s="27"/>
      <c r="G145" s="27"/>
      <c r="H145" s="27"/>
      <c r="I145" s="27"/>
      <c r="J145" s="27"/>
      <c r="K145" s="27"/>
      <c r="L145" s="27"/>
      <c r="N145" s="27"/>
      <c r="O145" s="27"/>
      <c r="P145" s="27"/>
      <c r="Q145" s="117" t="s">
        <v>681</v>
      </c>
      <c r="T145" s="141" t="str">
        <f t="shared" si="24"/>
        <v xml:space="preserve"> </v>
      </c>
      <c r="X145" s="119" t="s">
        <v>682</v>
      </c>
      <c r="Y145" s="27"/>
      <c r="AE145" s="27"/>
      <c r="AH145" s="99"/>
      <c r="BD145" s="97"/>
      <c r="BE145" s="108"/>
      <c r="BF145" s="108"/>
      <c r="BG145" s="97"/>
      <c r="BH145" s="97"/>
      <c r="BI145" s="97"/>
      <c r="BJ145" s="97"/>
      <c r="BK145" s="110"/>
      <c r="BL145" s="97"/>
      <c r="BM145" s="97"/>
      <c r="BN145" s="97"/>
      <c r="BO145" s="142"/>
      <c r="BP145" s="143">
        <f t="shared" si="25"/>
        <v>0</v>
      </c>
      <c r="BQ145" s="142"/>
      <c r="BR145" s="143">
        <f t="shared" si="26"/>
        <v>0</v>
      </c>
      <c r="BS145" s="132"/>
      <c r="BT145" s="146">
        <f t="shared" si="27"/>
        <v>0</v>
      </c>
      <c r="BU145" s="132"/>
      <c r="BV145" s="143">
        <f t="shared" si="28"/>
        <v>0</v>
      </c>
      <c r="BW145" s="132"/>
      <c r="BX145" s="146">
        <f t="shared" si="29"/>
        <v>0</v>
      </c>
      <c r="BY145" s="132"/>
      <c r="BZ145" s="146">
        <f t="shared" si="30"/>
        <v>0</v>
      </c>
      <c r="CA145" s="132"/>
      <c r="CB145" s="146">
        <f t="shared" si="31"/>
        <v>0</v>
      </c>
      <c r="CC145" s="132"/>
      <c r="CD145" s="143">
        <f t="shared" si="32"/>
        <v>0</v>
      </c>
      <c r="CE145" s="132"/>
      <c r="CF145" s="143">
        <f t="shared" si="33"/>
        <v>0</v>
      </c>
      <c r="CG145" s="132"/>
      <c r="CH145" s="143">
        <f t="shared" si="34"/>
        <v>0</v>
      </c>
      <c r="CI145" s="132">
        <f t="shared" si="35"/>
        <v>0</v>
      </c>
      <c r="CJ145" s="143">
        <f t="shared" si="35"/>
        <v>0</v>
      </c>
    </row>
    <row r="146" spans="1:88" x14ac:dyDescent="0.3">
      <c r="A146" s="27"/>
      <c r="B146" s="27"/>
      <c r="C146" s="27"/>
      <c r="D146" s="27"/>
      <c r="E146" s="27"/>
      <c r="F146" s="27"/>
      <c r="G146" s="27"/>
      <c r="H146" s="27"/>
      <c r="I146" s="27"/>
      <c r="J146" s="27"/>
      <c r="K146" s="27"/>
      <c r="L146" s="27"/>
      <c r="N146" s="27"/>
      <c r="O146" s="27"/>
      <c r="P146" s="27"/>
      <c r="Q146" s="117" t="s">
        <v>683</v>
      </c>
      <c r="T146" s="141" t="str">
        <f t="shared" si="24"/>
        <v xml:space="preserve"> </v>
      </c>
      <c r="X146" s="119" t="s">
        <v>684</v>
      </c>
      <c r="Y146" s="27"/>
      <c r="AE146" s="27"/>
      <c r="AH146" s="99"/>
      <c r="BD146" s="97"/>
      <c r="BE146" s="108"/>
      <c r="BF146" s="108"/>
      <c r="BG146" s="97"/>
      <c r="BH146" s="97"/>
      <c r="BI146" s="97"/>
      <c r="BJ146" s="97"/>
      <c r="BK146" s="110"/>
      <c r="BL146" s="97"/>
      <c r="BM146" s="97"/>
      <c r="BN146" s="97"/>
      <c r="BO146" s="142"/>
      <c r="BP146" s="143">
        <f t="shared" si="25"/>
        <v>0</v>
      </c>
      <c r="BQ146" s="142"/>
      <c r="BR146" s="143">
        <f t="shared" si="26"/>
        <v>0</v>
      </c>
      <c r="BS146" s="132"/>
      <c r="BT146" s="146">
        <f t="shared" si="27"/>
        <v>0</v>
      </c>
      <c r="BU146" s="132"/>
      <c r="BV146" s="143">
        <f t="shared" si="28"/>
        <v>0</v>
      </c>
      <c r="BW146" s="132"/>
      <c r="BX146" s="146">
        <f t="shared" si="29"/>
        <v>0</v>
      </c>
      <c r="BY146" s="132"/>
      <c r="BZ146" s="146">
        <f t="shared" si="30"/>
        <v>0</v>
      </c>
      <c r="CA146" s="132"/>
      <c r="CB146" s="146">
        <f t="shared" si="31"/>
        <v>0</v>
      </c>
      <c r="CC146" s="132"/>
      <c r="CD146" s="143">
        <f t="shared" si="32"/>
        <v>0</v>
      </c>
      <c r="CE146" s="132"/>
      <c r="CF146" s="143">
        <f t="shared" si="33"/>
        <v>0</v>
      </c>
      <c r="CG146" s="132"/>
      <c r="CH146" s="143">
        <f t="shared" si="34"/>
        <v>0</v>
      </c>
      <c r="CI146" s="132">
        <f t="shared" si="35"/>
        <v>0</v>
      </c>
      <c r="CJ146" s="143">
        <f t="shared" si="35"/>
        <v>0</v>
      </c>
    </row>
    <row r="147" spans="1:88" x14ac:dyDescent="0.3">
      <c r="A147" s="27"/>
      <c r="B147" s="27"/>
      <c r="C147" s="27"/>
      <c r="D147" s="27"/>
      <c r="E147" s="27"/>
      <c r="F147" s="27"/>
      <c r="G147" s="27"/>
      <c r="H147" s="27"/>
      <c r="I147" s="27"/>
      <c r="J147" s="27"/>
      <c r="K147" s="27"/>
      <c r="L147" s="27"/>
      <c r="N147" s="27"/>
      <c r="O147" s="27"/>
      <c r="P147" s="27"/>
      <c r="Q147" s="117" t="s">
        <v>685</v>
      </c>
      <c r="T147" s="141" t="str">
        <f t="shared" si="24"/>
        <v xml:space="preserve"> </v>
      </c>
      <c r="X147" s="119" t="s">
        <v>686</v>
      </c>
      <c r="Y147" s="27"/>
      <c r="AE147" s="27"/>
      <c r="AH147" s="99"/>
      <c r="BD147" s="97"/>
      <c r="BE147" s="108"/>
      <c r="BF147" s="108"/>
      <c r="BG147" s="97"/>
      <c r="BH147" s="97"/>
      <c r="BI147" s="97"/>
      <c r="BJ147" s="97"/>
      <c r="BK147" s="110"/>
      <c r="BL147" s="97"/>
      <c r="BM147" s="97"/>
      <c r="BN147" s="97"/>
      <c r="BO147" s="142"/>
      <c r="BP147" s="143">
        <f t="shared" si="25"/>
        <v>0</v>
      </c>
      <c r="BQ147" s="142"/>
      <c r="BR147" s="143">
        <f t="shared" si="26"/>
        <v>0</v>
      </c>
      <c r="BS147" s="132"/>
      <c r="BT147" s="146">
        <f t="shared" si="27"/>
        <v>0</v>
      </c>
      <c r="BU147" s="132"/>
      <c r="BV147" s="143">
        <f t="shared" si="28"/>
        <v>0</v>
      </c>
      <c r="BW147" s="132"/>
      <c r="BX147" s="146">
        <f t="shared" si="29"/>
        <v>0</v>
      </c>
      <c r="BY147" s="132"/>
      <c r="BZ147" s="146">
        <f t="shared" si="30"/>
        <v>0</v>
      </c>
      <c r="CA147" s="132"/>
      <c r="CB147" s="146">
        <f t="shared" si="31"/>
        <v>0</v>
      </c>
      <c r="CC147" s="132"/>
      <c r="CD147" s="143">
        <f t="shared" si="32"/>
        <v>0</v>
      </c>
      <c r="CE147" s="132"/>
      <c r="CF147" s="143">
        <f t="shared" si="33"/>
        <v>0</v>
      </c>
      <c r="CG147" s="132"/>
      <c r="CH147" s="143">
        <f t="shared" si="34"/>
        <v>0</v>
      </c>
      <c r="CI147" s="132">
        <f t="shared" si="35"/>
        <v>0</v>
      </c>
      <c r="CJ147" s="143">
        <f t="shared" si="35"/>
        <v>0</v>
      </c>
    </row>
    <row r="148" spans="1:88" x14ac:dyDescent="0.3">
      <c r="A148" s="27"/>
      <c r="B148" s="27"/>
      <c r="C148" s="27"/>
      <c r="D148" s="27"/>
      <c r="E148" s="27"/>
      <c r="F148" s="27"/>
      <c r="G148" s="27"/>
      <c r="H148" s="27"/>
      <c r="I148" s="27"/>
      <c r="J148" s="27"/>
      <c r="K148" s="27"/>
      <c r="L148" s="27"/>
      <c r="N148" s="27"/>
      <c r="O148" s="27"/>
      <c r="P148" s="27"/>
      <c r="Q148" s="117" t="s">
        <v>687</v>
      </c>
      <c r="T148" s="141" t="str">
        <f t="shared" si="24"/>
        <v xml:space="preserve"> </v>
      </c>
      <c r="X148" s="119" t="s">
        <v>688</v>
      </c>
      <c r="Y148" s="27"/>
      <c r="AE148" s="27"/>
      <c r="AH148" s="99"/>
      <c r="BD148" s="97"/>
      <c r="BE148" s="108"/>
      <c r="BF148" s="108"/>
      <c r="BG148" s="97"/>
      <c r="BH148" s="97"/>
      <c r="BI148" s="97"/>
      <c r="BJ148" s="97"/>
      <c r="BK148" s="110"/>
      <c r="BL148" s="97"/>
      <c r="BM148" s="97"/>
      <c r="BN148" s="97"/>
      <c r="BO148" s="142"/>
      <c r="BP148" s="143">
        <f t="shared" si="25"/>
        <v>0</v>
      </c>
      <c r="BQ148" s="142"/>
      <c r="BR148" s="143">
        <f t="shared" si="26"/>
        <v>0</v>
      </c>
      <c r="BS148" s="132"/>
      <c r="BT148" s="146">
        <f t="shared" si="27"/>
        <v>0</v>
      </c>
      <c r="BU148" s="132"/>
      <c r="BV148" s="143">
        <f t="shared" si="28"/>
        <v>0</v>
      </c>
      <c r="BW148" s="132"/>
      <c r="BX148" s="146">
        <f t="shared" si="29"/>
        <v>0</v>
      </c>
      <c r="BY148" s="132"/>
      <c r="BZ148" s="146">
        <f t="shared" si="30"/>
        <v>0</v>
      </c>
      <c r="CA148" s="132"/>
      <c r="CB148" s="146">
        <f t="shared" si="31"/>
        <v>0</v>
      </c>
      <c r="CC148" s="132"/>
      <c r="CD148" s="143">
        <f t="shared" si="32"/>
        <v>0</v>
      </c>
      <c r="CE148" s="132"/>
      <c r="CF148" s="143">
        <f t="shared" si="33"/>
        <v>0</v>
      </c>
      <c r="CG148" s="132"/>
      <c r="CH148" s="143">
        <f t="shared" si="34"/>
        <v>0</v>
      </c>
      <c r="CI148" s="132">
        <f t="shared" si="35"/>
        <v>0</v>
      </c>
      <c r="CJ148" s="143">
        <f t="shared" si="35"/>
        <v>0</v>
      </c>
    </row>
    <row r="149" spans="1:88" x14ac:dyDescent="0.3">
      <c r="A149" s="27"/>
      <c r="B149" s="27"/>
      <c r="C149" s="27"/>
      <c r="D149" s="27"/>
      <c r="E149" s="27"/>
      <c r="F149" s="27"/>
      <c r="G149" s="27"/>
      <c r="H149" s="27"/>
      <c r="I149" s="27"/>
      <c r="J149" s="27"/>
      <c r="K149" s="27"/>
      <c r="L149" s="27"/>
      <c r="N149" s="27"/>
      <c r="O149" s="27"/>
      <c r="P149" s="27"/>
      <c r="Q149" s="117" t="s">
        <v>689</v>
      </c>
      <c r="T149" s="141" t="str">
        <f t="shared" si="24"/>
        <v xml:space="preserve"> </v>
      </c>
      <c r="X149" s="119" t="s">
        <v>690</v>
      </c>
      <c r="Y149" s="27"/>
      <c r="AE149" s="27"/>
      <c r="AH149" s="99"/>
      <c r="BD149" s="97"/>
      <c r="BE149" s="108"/>
      <c r="BF149" s="108"/>
      <c r="BG149" s="97"/>
      <c r="BH149" s="97"/>
      <c r="BI149" s="97"/>
      <c r="BJ149" s="97"/>
      <c r="BK149" s="110"/>
      <c r="BL149" s="97"/>
      <c r="BM149" s="97"/>
      <c r="BN149" s="97"/>
      <c r="BO149" s="142"/>
      <c r="BP149" s="143">
        <f t="shared" si="25"/>
        <v>0</v>
      </c>
      <c r="BQ149" s="142"/>
      <c r="BR149" s="143">
        <f t="shared" si="26"/>
        <v>0</v>
      </c>
      <c r="BS149" s="132"/>
      <c r="BT149" s="146">
        <f t="shared" si="27"/>
        <v>0</v>
      </c>
      <c r="BU149" s="132"/>
      <c r="BV149" s="143">
        <f t="shared" si="28"/>
        <v>0</v>
      </c>
      <c r="BW149" s="132"/>
      <c r="BX149" s="146">
        <f t="shared" si="29"/>
        <v>0</v>
      </c>
      <c r="BY149" s="132"/>
      <c r="BZ149" s="146">
        <f t="shared" si="30"/>
        <v>0</v>
      </c>
      <c r="CA149" s="132"/>
      <c r="CB149" s="146">
        <f t="shared" si="31"/>
        <v>0</v>
      </c>
      <c r="CC149" s="132"/>
      <c r="CD149" s="143">
        <f t="shared" si="32"/>
        <v>0</v>
      </c>
      <c r="CE149" s="132"/>
      <c r="CF149" s="143">
        <f t="shared" si="33"/>
        <v>0</v>
      </c>
      <c r="CG149" s="132"/>
      <c r="CH149" s="143">
        <f t="shared" si="34"/>
        <v>0</v>
      </c>
      <c r="CI149" s="132">
        <f t="shared" si="35"/>
        <v>0</v>
      </c>
      <c r="CJ149" s="143">
        <f t="shared" si="35"/>
        <v>0</v>
      </c>
    </row>
    <row r="150" spans="1:88" x14ac:dyDescent="0.3">
      <c r="A150" s="27"/>
      <c r="B150" s="27"/>
      <c r="C150" s="27"/>
      <c r="D150" s="27"/>
      <c r="E150" s="27"/>
      <c r="F150" s="27"/>
      <c r="G150" s="27"/>
      <c r="H150" s="27"/>
      <c r="I150" s="27"/>
      <c r="J150" s="27"/>
      <c r="K150" s="27"/>
      <c r="L150" s="27"/>
      <c r="N150" s="27"/>
      <c r="O150" s="27"/>
      <c r="P150" s="27"/>
      <c r="Q150" s="117" t="s">
        <v>691</v>
      </c>
      <c r="T150" s="141" t="str">
        <f t="shared" si="24"/>
        <v xml:space="preserve"> </v>
      </c>
      <c r="X150" s="119" t="s">
        <v>692</v>
      </c>
      <c r="Y150" s="27"/>
      <c r="AE150" s="27"/>
      <c r="AH150" s="99"/>
      <c r="BD150" s="97"/>
      <c r="BE150" s="108"/>
      <c r="BF150" s="108"/>
      <c r="BG150" s="97"/>
      <c r="BH150" s="97"/>
      <c r="BI150" s="97"/>
      <c r="BJ150" s="97"/>
      <c r="BK150" s="110"/>
      <c r="BL150" s="97"/>
      <c r="BM150" s="97"/>
      <c r="BN150" s="97"/>
      <c r="BO150" s="142"/>
      <c r="BP150" s="143">
        <f t="shared" si="25"/>
        <v>0</v>
      </c>
      <c r="BQ150" s="142"/>
      <c r="BR150" s="143">
        <f t="shared" si="26"/>
        <v>0</v>
      </c>
      <c r="BS150" s="132"/>
      <c r="BT150" s="146">
        <f t="shared" si="27"/>
        <v>0</v>
      </c>
      <c r="BU150" s="132"/>
      <c r="BV150" s="143">
        <f t="shared" si="28"/>
        <v>0</v>
      </c>
      <c r="BW150" s="132"/>
      <c r="BX150" s="146">
        <f t="shared" si="29"/>
        <v>0</v>
      </c>
      <c r="BY150" s="132"/>
      <c r="BZ150" s="146">
        <f t="shared" si="30"/>
        <v>0</v>
      </c>
      <c r="CA150" s="132"/>
      <c r="CB150" s="146">
        <f t="shared" si="31"/>
        <v>0</v>
      </c>
      <c r="CC150" s="132"/>
      <c r="CD150" s="143">
        <f t="shared" si="32"/>
        <v>0</v>
      </c>
      <c r="CE150" s="132"/>
      <c r="CF150" s="143">
        <f t="shared" si="33"/>
        <v>0</v>
      </c>
      <c r="CG150" s="132"/>
      <c r="CH150" s="143">
        <f t="shared" si="34"/>
        <v>0</v>
      </c>
      <c r="CI150" s="132">
        <f t="shared" si="35"/>
        <v>0</v>
      </c>
      <c r="CJ150" s="143">
        <f t="shared" si="35"/>
        <v>0</v>
      </c>
    </row>
    <row r="151" spans="1:88" x14ac:dyDescent="0.3">
      <c r="A151" s="27"/>
      <c r="B151" s="27"/>
      <c r="C151" s="27"/>
      <c r="D151" s="27"/>
      <c r="E151" s="27"/>
      <c r="F151" s="27"/>
      <c r="G151" s="27"/>
      <c r="H151" s="27"/>
      <c r="I151" s="27"/>
      <c r="J151" s="27"/>
      <c r="K151" s="27"/>
      <c r="L151" s="27"/>
      <c r="N151" s="27"/>
      <c r="O151" s="27"/>
      <c r="P151" s="27"/>
      <c r="Q151" s="117" t="s">
        <v>693</v>
      </c>
      <c r="T151" s="141" t="str">
        <f t="shared" si="24"/>
        <v xml:space="preserve"> </v>
      </c>
      <c r="X151" s="119" t="s">
        <v>694</v>
      </c>
      <c r="Y151" s="27"/>
      <c r="AE151" s="27"/>
      <c r="AH151" s="99"/>
      <c r="BD151" s="97"/>
      <c r="BE151" s="108"/>
      <c r="BF151" s="108"/>
      <c r="BG151" s="97"/>
      <c r="BH151" s="97"/>
      <c r="BI151" s="97"/>
      <c r="BJ151" s="97"/>
      <c r="BK151" s="110"/>
      <c r="BL151" s="97"/>
      <c r="BM151" s="97"/>
      <c r="BN151" s="97"/>
      <c r="BO151" s="148"/>
      <c r="BP151" s="143">
        <f t="shared" si="25"/>
        <v>0</v>
      </c>
      <c r="BQ151" s="148"/>
      <c r="BR151" s="143">
        <f t="shared" si="26"/>
        <v>0</v>
      </c>
      <c r="BS151" s="132"/>
      <c r="BT151" s="146">
        <f t="shared" si="27"/>
        <v>0</v>
      </c>
      <c r="BU151" s="149"/>
      <c r="BV151" s="143">
        <f t="shared" si="28"/>
        <v>0</v>
      </c>
      <c r="BW151" s="149"/>
      <c r="BX151" s="146">
        <f t="shared" si="29"/>
        <v>0</v>
      </c>
      <c r="BY151" s="149"/>
      <c r="BZ151" s="146">
        <f t="shared" si="30"/>
        <v>0</v>
      </c>
      <c r="CA151" s="149"/>
      <c r="CB151" s="146">
        <f t="shared" si="31"/>
        <v>0</v>
      </c>
      <c r="CC151" s="149"/>
      <c r="CD151" s="143">
        <f t="shared" si="32"/>
        <v>0</v>
      </c>
      <c r="CE151" s="149"/>
      <c r="CF151" s="143">
        <f t="shared" si="33"/>
        <v>0</v>
      </c>
      <c r="CG151" s="132"/>
      <c r="CH151" s="143">
        <f t="shared" si="34"/>
        <v>0</v>
      </c>
      <c r="CI151" s="132">
        <f t="shared" si="35"/>
        <v>0</v>
      </c>
      <c r="CJ151" s="143">
        <f t="shared" si="35"/>
        <v>0</v>
      </c>
    </row>
    <row r="152" spans="1:88" x14ac:dyDescent="0.3">
      <c r="A152" s="27"/>
      <c r="B152" s="27"/>
      <c r="C152" s="27"/>
      <c r="D152" s="27"/>
      <c r="E152" s="27"/>
      <c r="F152" s="27"/>
      <c r="G152" s="27"/>
      <c r="H152" s="27"/>
      <c r="I152" s="27"/>
      <c r="J152" s="27"/>
      <c r="K152" s="27"/>
      <c r="L152" s="27"/>
      <c r="N152" s="27"/>
      <c r="O152" s="27"/>
      <c r="P152" s="27"/>
      <c r="Q152" s="117" t="s">
        <v>695</v>
      </c>
      <c r="T152" s="141" t="str">
        <f t="shared" si="24"/>
        <v xml:space="preserve"> </v>
      </c>
      <c r="X152" s="119" t="s">
        <v>696</v>
      </c>
      <c r="Y152" s="27"/>
      <c r="AE152" s="27"/>
      <c r="AH152" s="99"/>
      <c r="BD152" s="97"/>
      <c r="BE152" s="108"/>
      <c r="BF152" s="108"/>
      <c r="BG152" s="97"/>
      <c r="BH152" s="97"/>
      <c r="BI152" s="97"/>
      <c r="BJ152" s="97"/>
      <c r="BK152" s="110"/>
      <c r="BL152" s="97"/>
      <c r="BM152" s="97"/>
      <c r="BN152" s="97"/>
      <c r="BO152" s="148"/>
      <c r="BP152" s="143">
        <f t="shared" si="25"/>
        <v>0</v>
      </c>
      <c r="BQ152" s="148"/>
      <c r="BR152" s="143">
        <f t="shared" si="26"/>
        <v>0</v>
      </c>
      <c r="BS152" s="132"/>
      <c r="BT152" s="146">
        <f t="shared" si="27"/>
        <v>0</v>
      </c>
      <c r="BU152" s="149"/>
      <c r="BV152" s="143">
        <f t="shared" si="28"/>
        <v>0</v>
      </c>
      <c r="BW152" s="149"/>
      <c r="BX152" s="146">
        <f t="shared" si="29"/>
        <v>0</v>
      </c>
      <c r="BY152" s="149"/>
      <c r="BZ152" s="146">
        <f t="shared" si="30"/>
        <v>0</v>
      </c>
      <c r="CA152" s="149"/>
      <c r="CB152" s="146">
        <f t="shared" si="31"/>
        <v>0</v>
      </c>
      <c r="CC152" s="149"/>
      <c r="CD152" s="143">
        <f t="shared" si="32"/>
        <v>0</v>
      </c>
      <c r="CE152" s="149"/>
      <c r="CF152" s="143">
        <f t="shared" si="33"/>
        <v>0</v>
      </c>
      <c r="CG152" s="132"/>
      <c r="CH152" s="143">
        <f t="shared" si="34"/>
        <v>0</v>
      </c>
      <c r="CI152" s="132">
        <f t="shared" si="35"/>
        <v>0</v>
      </c>
      <c r="CJ152" s="143">
        <f t="shared" si="35"/>
        <v>0</v>
      </c>
    </row>
    <row r="153" spans="1:88" x14ac:dyDescent="0.3">
      <c r="A153" s="27"/>
      <c r="B153" s="27"/>
      <c r="C153" s="27"/>
      <c r="D153" s="27"/>
      <c r="E153" s="27"/>
      <c r="F153" s="27"/>
      <c r="G153" s="27"/>
      <c r="H153" s="27"/>
      <c r="I153" s="27"/>
      <c r="J153" s="27"/>
      <c r="K153" s="27"/>
      <c r="L153" s="27"/>
      <c r="N153" s="27"/>
      <c r="O153" s="27"/>
      <c r="P153" s="27"/>
      <c r="Q153" s="117" t="s">
        <v>697</v>
      </c>
      <c r="T153" s="141" t="str">
        <f t="shared" si="24"/>
        <v xml:space="preserve"> </v>
      </c>
      <c r="X153" s="119" t="s">
        <v>698</v>
      </c>
      <c r="Y153" s="27"/>
      <c r="AE153" s="27"/>
      <c r="AH153" s="99"/>
      <c r="BD153" s="97"/>
      <c r="BE153" s="108"/>
      <c r="BF153" s="108"/>
      <c r="BG153" s="97"/>
      <c r="BH153" s="97"/>
      <c r="BI153" s="97"/>
      <c r="BJ153" s="97"/>
      <c r="BK153" s="110"/>
      <c r="BL153" s="97"/>
      <c r="BM153" s="97"/>
      <c r="BN153" s="97"/>
      <c r="BO153" s="142"/>
      <c r="BP153" s="143">
        <f t="shared" si="25"/>
        <v>0</v>
      </c>
      <c r="BQ153" s="142"/>
      <c r="BR153" s="143">
        <f t="shared" si="26"/>
        <v>0</v>
      </c>
      <c r="BS153" s="132"/>
      <c r="BT153" s="146">
        <f t="shared" si="27"/>
        <v>0</v>
      </c>
      <c r="BU153" s="132"/>
      <c r="BV153" s="143">
        <f t="shared" si="28"/>
        <v>0</v>
      </c>
      <c r="BW153" s="132"/>
      <c r="BX153" s="146">
        <f t="shared" si="29"/>
        <v>0</v>
      </c>
      <c r="BY153" s="132"/>
      <c r="BZ153" s="146">
        <f t="shared" si="30"/>
        <v>0</v>
      </c>
      <c r="CA153" s="132"/>
      <c r="CB153" s="146">
        <f t="shared" si="31"/>
        <v>0</v>
      </c>
      <c r="CC153" s="132"/>
      <c r="CD153" s="143">
        <f t="shared" si="32"/>
        <v>0</v>
      </c>
      <c r="CE153" s="132"/>
      <c r="CF153" s="143">
        <f t="shared" si="33"/>
        <v>0</v>
      </c>
      <c r="CG153" s="132"/>
      <c r="CH153" s="143">
        <f t="shared" si="34"/>
        <v>0</v>
      </c>
      <c r="CI153" s="132">
        <f t="shared" si="35"/>
        <v>0</v>
      </c>
      <c r="CJ153" s="143">
        <f t="shared" si="35"/>
        <v>0</v>
      </c>
    </row>
    <row r="154" spans="1:88" x14ac:dyDescent="0.3">
      <c r="A154" s="27"/>
      <c r="B154" s="27"/>
      <c r="C154" s="27"/>
      <c r="D154" s="27"/>
      <c r="E154" s="27"/>
      <c r="F154" s="27"/>
      <c r="G154" s="27"/>
      <c r="H154" s="27"/>
      <c r="I154" s="27"/>
      <c r="J154" s="27"/>
      <c r="K154" s="27"/>
      <c r="L154" s="27"/>
      <c r="N154" s="27"/>
      <c r="O154" s="27"/>
      <c r="P154" s="27"/>
      <c r="Q154" s="117" t="s">
        <v>699</v>
      </c>
      <c r="T154" s="141" t="str">
        <f t="shared" si="24"/>
        <v xml:space="preserve"> </v>
      </c>
      <c r="X154" s="119" t="s">
        <v>700</v>
      </c>
      <c r="Y154" s="27"/>
      <c r="AE154" s="27"/>
      <c r="AH154" s="99"/>
      <c r="BD154" s="97"/>
      <c r="BE154" s="108"/>
      <c r="BF154" s="108"/>
      <c r="BG154" s="97"/>
      <c r="BH154" s="97"/>
      <c r="BI154" s="97"/>
      <c r="BJ154" s="97"/>
      <c r="BK154" s="110"/>
      <c r="BL154" s="97"/>
      <c r="BM154" s="97"/>
      <c r="BN154" s="97"/>
      <c r="BO154" s="142"/>
      <c r="BP154" s="143">
        <f t="shared" si="25"/>
        <v>0</v>
      </c>
      <c r="BQ154" s="142"/>
      <c r="BR154" s="143">
        <f t="shared" si="26"/>
        <v>0</v>
      </c>
      <c r="BS154" s="132"/>
      <c r="BT154" s="146">
        <f t="shared" si="27"/>
        <v>0</v>
      </c>
      <c r="BU154" s="132"/>
      <c r="BV154" s="143">
        <f t="shared" si="28"/>
        <v>0</v>
      </c>
      <c r="BW154" s="132"/>
      <c r="BX154" s="146">
        <f t="shared" si="29"/>
        <v>0</v>
      </c>
      <c r="BY154" s="132"/>
      <c r="BZ154" s="146">
        <f t="shared" si="30"/>
        <v>0</v>
      </c>
      <c r="CA154" s="132"/>
      <c r="CB154" s="146">
        <f t="shared" si="31"/>
        <v>0</v>
      </c>
      <c r="CC154" s="132"/>
      <c r="CD154" s="143">
        <f t="shared" si="32"/>
        <v>0</v>
      </c>
      <c r="CE154" s="132"/>
      <c r="CF154" s="143">
        <f t="shared" si="33"/>
        <v>0</v>
      </c>
      <c r="CG154" s="132"/>
      <c r="CH154" s="143">
        <f t="shared" si="34"/>
        <v>0</v>
      </c>
      <c r="CI154" s="132">
        <f t="shared" si="35"/>
        <v>0</v>
      </c>
      <c r="CJ154" s="143">
        <f t="shared" si="35"/>
        <v>0</v>
      </c>
    </row>
    <row r="155" spans="1:88" x14ac:dyDescent="0.3">
      <c r="A155" s="27"/>
      <c r="B155" s="27"/>
      <c r="C155" s="27"/>
      <c r="D155" s="27"/>
      <c r="E155" s="27"/>
      <c r="F155" s="27"/>
      <c r="G155" s="27"/>
      <c r="H155" s="27"/>
      <c r="I155" s="27"/>
      <c r="J155" s="27"/>
      <c r="K155" s="27"/>
      <c r="L155" s="27"/>
      <c r="N155" s="27"/>
      <c r="O155" s="27"/>
      <c r="P155" s="27"/>
      <c r="Q155" s="117" t="s">
        <v>701</v>
      </c>
      <c r="T155" s="141" t="str">
        <f t="shared" si="24"/>
        <v xml:space="preserve"> </v>
      </c>
      <c r="X155" s="119" t="s">
        <v>702</v>
      </c>
      <c r="Y155" s="27"/>
      <c r="AE155" s="27"/>
      <c r="AH155" s="99"/>
      <c r="BD155" s="97"/>
      <c r="BE155" s="108"/>
      <c r="BF155" s="108"/>
      <c r="BG155" s="97"/>
      <c r="BH155" s="97"/>
      <c r="BI155" s="97"/>
      <c r="BJ155" s="97"/>
      <c r="BK155" s="110"/>
      <c r="BL155" s="97"/>
      <c r="BM155" s="97"/>
      <c r="BN155" s="97"/>
      <c r="BO155" s="142"/>
      <c r="BP155" s="143">
        <f t="shared" si="25"/>
        <v>0</v>
      </c>
      <c r="BQ155" s="142"/>
      <c r="BR155" s="143">
        <f t="shared" si="26"/>
        <v>0</v>
      </c>
      <c r="BS155" s="132"/>
      <c r="BT155" s="146">
        <f t="shared" si="27"/>
        <v>0</v>
      </c>
      <c r="BU155" s="132"/>
      <c r="BV155" s="143">
        <f t="shared" si="28"/>
        <v>0</v>
      </c>
      <c r="BW155" s="132"/>
      <c r="BX155" s="146">
        <f t="shared" si="29"/>
        <v>0</v>
      </c>
      <c r="BY155" s="132"/>
      <c r="BZ155" s="146">
        <f t="shared" si="30"/>
        <v>0</v>
      </c>
      <c r="CA155" s="132"/>
      <c r="CB155" s="146">
        <f t="shared" si="31"/>
        <v>0</v>
      </c>
      <c r="CC155" s="132"/>
      <c r="CD155" s="143">
        <f t="shared" si="32"/>
        <v>0</v>
      </c>
      <c r="CE155" s="132"/>
      <c r="CF155" s="143">
        <f t="shared" si="33"/>
        <v>0</v>
      </c>
      <c r="CG155" s="132"/>
      <c r="CH155" s="143">
        <f t="shared" si="34"/>
        <v>0</v>
      </c>
      <c r="CI155" s="132">
        <f t="shared" si="35"/>
        <v>0</v>
      </c>
      <c r="CJ155" s="143">
        <f t="shared" si="35"/>
        <v>0</v>
      </c>
    </row>
    <row r="156" spans="1:88" x14ac:dyDescent="0.3">
      <c r="A156" s="27"/>
      <c r="B156" s="27"/>
      <c r="C156" s="27"/>
      <c r="D156" s="27"/>
      <c r="E156" s="27"/>
      <c r="F156" s="27"/>
      <c r="G156" s="27"/>
      <c r="H156" s="27"/>
      <c r="I156" s="27"/>
      <c r="J156" s="27"/>
      <c r="K156" s="27"/>
      <c r="L156" s="27"/>
      <c r="N156" s="27"/>
      <c r="O156" s="27"/>
      <c r="P156" s="27"/>
      <c r="Q156" s="117" t="s">
        <v>327</v>
      </c>
      <c r="T156" s="141" t="str">
        <f t="shared" si="24"/>
        <v xml:space="preserve"> </v>
      </c>
      <c r="X156" s="119" t="s">
        <v>703</v>
      </c>
      <c r="Y156" s="27"/>
      <c r="AE156" s="27"/>
      <c r="AH156" s="99"/>
      <c r="BD156" s="97"/>
      <c r="BE156" s="108"/>
      <c r="BF156" s="108"/>
      <c r="BG156" s="97"/>
      <c r="BH156" s="97"/>
      <c r="BI156" s="97"/>
      <c r="BJ156" s="97"/>
      <c r="BK156" s="110"/>
      <c r="BL156" s="97"/>
      <c r="BM156" s="97"/>
      <c r="BN156" s="97"/>
      <c r="BO156" s="142"/>
      <c r="BP156" s="143">
        <f t="shared" si="25"/>
        <v>0</v>
      </c>
      <c r="BQ156" s="142"/>
      <c r="BR156" s="143">
        <f t="shared" si="26"/>
        <v>0</v>
      </c>
      <c r="BS156" s="132"/>
      <c r="BT156" s="146">
        <f t="shared" si="27"/>
        <v>0</v>
      </c>
      <c r="BU156" s="132"/>
      <c r="BV156" s="143">
        <f t="shared" si="28"/>
        <v>0</v>
      </c>
      <c r="BW156" s="132"/>
      <c r="BX156" s="146">
        <f t="shared" si="29"/>
        <v>0</v>
      </c>
      <c r="BY156" s="132"/>
      <c r="BZ156" s="146">
        <f t="shared" si="30"/>
        <v>0</v>
      </c>
      <c r="CA156" s="132"/>
      <c r="CB156" s="146">
        <f t="shared" si="31"/>
        <v>0</v>
      </c>
      <c r="CC156" s="132"/>
      <c r="CD156" s="143">
        <f t="shared" si="32"/>
        <v>0</v>
      </c>
      <c r="CE156" s="132"/>
      <c r="CF156" s="143">
        <f t="shared" si="33"/>
        <v>0</v>
      </c>
      <c r="CG156" s="132"/>
      <c r="CH156" s="143">
        <f t="shared" si="34"/>
        <v>0</v>
      </c>
      <c r="CI156" s="132">
        <f t="shared" si="35"/>
        <v>0</v>
      </c>
      <c r="CJ156" s="143">
        <f t="shared" si="35"/>
        <v>0</v>
      </c>
    </row>
    <row r="157" spans="1:88" x14ac:dyDescent="0.3">
      <c r="A157" s="27"/>
      <c r="B157" s="27"/>
      <c r="C157" s="27"/>
      <c r="D157" s="27"/>
      <c r="E157" s="27"/>
      <c r="F157" s="27"/>
      <c r="G157" s="27"/>
      <c r="H157" s="27"/>
      <c r="I157" s="27"/>
      <c r="J157" s="27"/>
      <c r="K157" s="27"/>
      <c r="L157" s="27"/>
      <c r="N157" s="27"/>
      <c r="O157" s="27"/>
      <c r="P157" s="27"/>
      <c r="Q157" s="117" t="s">
        <v>704</v>
      </c>
      <c r="T157" s="141" t="str">
        <f t="shared" si="24"/>
        <v xml:space="preserve"> </v>
      </c>
      <c r="X157" s="119" t="s">
        <v>705</v>
      </c>
      <c r="Y157" s="27"/>
      <c r="AE157" s="27"/>
      <c r="AH157" s="99"/>
      <c r="BD157" s="97"/>
      <c r="BE157" s="108"/>
      <c r="BF157" s="108"/>
      <c r="BG157" s="97"/>
      <c r="BH157" s="97"/>
      <c r="BI157" s="97"/>
      <c r="BJ157" s="97"/>
      <c r="BK157" s="110"/>
      <c r="BL157" s="97"/>
      <c r="BM157" s="97"/>
      <c r="BN157" s="97"/>
      <c r="BO157" s="142"/>
      <c r="BP157" s="143">
        <f t="shared" si="25"/>
        <v>0</v>
      </c>
      <c r="BQ157" s="142"/>
      <c r="BR157" s="143">
        <f t="shared" si="26"/>
        <v>0</v>
      </c>
      <c r="BS157" s="132"/>
      <c r="BT157" s="146">
        <f t="shared" si="27"/>
        <v>0</v>
      </c>
      <c r="BU157" s="132"/>
      <c r="BV157" s="143">
        <f t="shared" si="28"/>
        <v>0</v>
      </c>
      <c r="BW157" s="132"/>
      <c r="BX157" s="146">
        <f t="shared" si="29"/>
        <v>0</v>
      </c>
      <c r="BY157" s="132"/>
      <c r="BZ157" s="146">
        <f t="shared" si="30"/>
        <v>0</v>
      </c>
      <c r="CA157" s="132"/>
      <c r="CB157" s="146">
        <f t="shared" si="31"/>
        <v>0</v>
      </c>
      <c r="CC157" s="132"/>
      <c r="CD157" s="143">
        <f t="shared" si="32"/>
        <v>0</v>
      </c>
      <c r="CE157" s="132"/>
      <c r="CF157" s="143">
        <f t="shared" si="33"/>
        <v>0</v>
      </c>
      <c r="CG157" s="132"/>
      <c r="CH157" s="143">
        <f t="shared" si="34"/>
        <v>0</v>
      </c>
      <c r="CI157" s="132">
        <f t="shared" si="35"/>
        <v>0</v>
      </c>
      <c r="CJ157" s="143">
        <f t="shared" si="35"/>
        <v>0</v>
      </c>
    </row>
    <row r="158" spans="1:88" x14ac:dyDescent="0.3">
      <c r="A158" s="27"/>
      <c r="B158" s="27"/>
      <c r="C158" s="27"/>
      <c r="D158" s="27"/>
      <c r="E158" s="27"/>
      <c r="F158" s="27"/>
      <c r="G158" s="27"/>
      <c r="H158" s="27"/>
      <c r="I158" s="27"/>
      <c r="J158" s="27"/>
      <c r="K158" s="27"/>
      <c r="L158" s="27"/>
      <c r="N158" s="27"/>
      <c r="O158" s="27"/>
      <c r="P158" s="27"/>
      <c r="Q158" s="117" t="s">
        <v>706</v>
      </c>
      <c r="T158" s="141" t="str">
        <f t="shared" si="24"/>
        <v xml:space="preserve"> </v>
      </c>
      <c r="X158" s="119" t="s">
        <v>707</v>
      </c>
      <c r="Y158" s="27"/>
      <c r="AE158" s="27"/>
      <c r="AH158" s="99"/>
      <c r="BD158" s="97"/>
      <c r="BE158" s="108"/>
      <c r="BF158" s="108"/>
      <c r="BG158" s="97"/>
      <c r="BH158" s="97"/>
      <c r="BI158" s="97"/>
      <c r="BJ158" s="97"/>
      <c r="BK158" s="110"/>
      <c r="BL158" s="97"/>
      <c r="BM158" s="97"/>
      <c r="BN158" s="97"/>
      <c r="BO158" s="142"/>
      <c r="BP158" s="143">
        <f t="shared" si="25"/>
        <v>0</v>
      </c>
      <c r="BQ158" s="142"/>
      <c r="BR158" s="143">
        <f t="shared" si="26"/>
        <v>0</v>
      </c>
      <c r="BS158" s="132"/>
      <c r="BT158" s="146">
        <f t="shared" si="27"/>
        <v>0</v>
      </c>
      <c r="BU158" s="132"/>
      <c r="BV158" s="143">
        <f t="shared" si="28"/>
        <v>0</v>
      </c>
      <c r="BW158" s="132"/>
      <c r="BX158" s="146">
        <f t="shared" si="29"/>
        <v>0</v>
      </c>
      <c r="BY158" s="132"/>
      <c r="BZ158" s="146">
        <f t="shared" si="30"/>
        <v>0</v>
      </c>
      <c r="CA158" s="132"/>
      <c r="CB158" s="146">
        <f t="shared" si="31"/>
        <v>0</v>
      </c>
      <c r="CC158" s="132"/>
      <c r="CD158" s="143">
        <f t="shared" si="32"/>
        <v>0</v>
      </c>
      <c r="CE158" s="132"/>
      <c r="CF158" s="143">
        <f t="shared" si="33"/>
        <v>0</v>
      </c>
      <c r="CG158" s="132"/>
      <c r="CH158" s="143">
        <f t="shared" si="34"/>
        <v>0</v>
      </c>
      <c r="CI158" s="132">
        <f t="shared" si="35"/>
        <v>0</v>
      </c>
      <c r="CJ158" s="143">
        <f t="shared" si="35"/>
        <v>0</v>
      </c>
    </row>
    <row r="159" spans="1:88" x14ac:dyDescent="0.3">
      <c r="A159" s="27"/>
      <c r="B159" s="27"/>
      <c r="C159" s="27"/>
      <c r="D159" s="27"/>
      <c r="E159" s="27"/>
      <c r="F159" s="27"/>
      <c r="G159" s="27"/>
      <c r="H159" s="27"/>
      <c r="I159" s="27"/>
      <c r="J159" s="27"/>
      <c r="K159" s="27"/>
      <c r="L159" s="27"/>
      <c r="N159" s="27"/>
      <c r="O159" s="27"/>
      <c r="P159" s="27"/>
      <c r="Q159" s="117" t="s">
        <v>708</v>
      </c>
      <c r="T159" s="141" t="str">
        <f t="shared" si="24"/>
        <v xml:space="preserve"> </v>
      </c>
      <c r="X159" s="119" t="s">
        <v>709</v>
      </c>
      <c r="Y159" s="27"/>
      <c r="AE159" s="27"/>
      <c r="AH159" s="99"/>
      <c r="BD159" s="97"/>
      <c r="BE159" s="108"/>
      <c r="BF159" s="108"/>
      <c r="BG159" s="97"/>
      <c r="BH159" s="97"/>
      <c r="BI159" s="97"/>
      <c r="BJ159" s="97"/>
      <c r="BK159" s="110"/>
      <c r="BL159" s="97"/>
      <c r="BM159" s="97"/>
      <c r="BN159" s="97"/>
      <c r="BO159" s="142"/>
      <c r="BP159" s="143">
        <f t="shared" si="25"/>
        <v>0</v>
      </c>
      <c r="BQ159" s="142"/>
      <c r="BR159" s="143">
        <f t="shared" si="26"/>
        <v>0</v>
      </c>
      <c r="BS159" s="132"/>
      <c r="BT159" s="146">
        <f t="shared" si="27"/>
        <v>0</v>
      </c>
      <c r="BU159" s="132"/>
      <c r="BV159" s="143">
        <f t="shared" si="28"/>
        <v>0</v>
      </c>
      <c r="BW159" s="132"/>
      <c r="BX159" s="146">
        <f t="shared" si="29"/>
        <v>0</v>
      </c>
      <c r="BY159" s="132"/>
      <c r="BZ159" s="146">
        <f t="shared" si="30"/>
        <v>0</v>
      </c>
      <c r="CA159" s="132"/>
      <c r="CB159" s="146">
        <f t="shared" si="31"/>
        <v>0</v>
      </c>
      <c r="CC159" s="132"/>
      <c r="CD159" s="143">
        <f t="shared" si="32"/>
        <v>0</v>
      </c>
      <c r="CE159" s="132"/>
      <c r="CF159" s="143">
        <f t="shared" si="33"/>
        <v>0</v>
      </c>
      <c r="CG159" s="132"/>
      <c r="CH159" s="143">
        <f t="shared" si="34"/>
        <v>0</v>
      </c>
      <c r="CI159" s="132">
        <f t="shared" si="35"/>
        <v>0</v>
      </c>
      <c r="CJ159" s="143">
        <f t="shared" si="35"/>
        <v>0</v>
      </c>
    </row>
    <row r="160" spans="1:88" x14ac:dyDescent="0.3">
      <c r="A160" s="27"/>
      <c r="B160" s="27"/>
      <c r="C160" s="27"/>
      <c r="D160" s="27"/>
      <c r="E160" s="27"/>
      <c r="F160" s="27"/>
      <c r="G160" s="27"/>
      <c r="H160" s="27"/>
      <c r="I160" s="27"/>
      <c r="J160" s="27"/>
      <c r="K160" s="27"/>
      <c r="L160" s="27"/>
      <c r="N160" s="27"/>
      <c r="O160" s="27"/>
      <c r="P160" s="27"/>
      <c r="Q160" s="117" t="s">
        <v>710</v>
      </c>
      <c r="T160" s="141" t="str">
        <f t="shared" si="24"/>
        <v xml:space="preserve"> </v>
      </c>
      <c r="X160" s="119" t="s">
        <v>711</v>
      </c>
      <c r="Y160" s="27"/>
      <c r="AE160" s="27"/>
      <c r="AH160" s="99"/>
      <c r="BD160" s="97"/>
      <c r="BE160" s="108"/>
      <c r="BF160" s="108"/>
      <c r="BG160" s="97"/>
      <c r="BH160" s="97"/>
      <c r="BI160" s="97"/>
      <c r="BJ160" s="97"/>
      <c r="BK160" s="110"/>
      <c r="BL160" s="97"/>
      <c r="BM160" s="97"/>
      <c r="BN160" s="97"/>
      <c r="BO160" s="148"/>
      <c r="BP160" s="143">
        <f t="shared" si="25"/>
        <v>0</v>
      </c>
      <c r="BQ160" s="148"/>
      <c r="BR160" s="143">
        <f t="shared" si="26"/>
        <v>0</v>
      </c>
      <c r="BS160" s="132"/>
      <c r="BT160" s="146">
        <f t="shared" si="27"/>
        <v>0</v>
      </c>
      <c r="BU160" s="149"/>
      <c r="BV160" s="143">
        <f t="shared" si="28"/>
        <v>0</v>
      </c>
      <c r="BW160" s="149"/>
      <c r="BX160" s="146">
        <f t="shared" si="29"/>
        <v>0</v>
      </c>
      <c r="BY160" s="149"/>
      <c r="BZ160" s="146">
        <f t="shared" si="30"/>
        <v>0</v>
      </c>
      <c r="CA160" s="149"/>
      <c r="CB160" s="146">
        <f t="shared" si="31"/>
        <v>0</v>
      </c>
      <c r="CC160" s="149"/>
      <c r="CD160" s="143">
        <f t="shared" si="32"/>
        <v>0</v>
      </c>
      <c r="CE160" s="149"/>
      <c r="CF160" s="143">
        <f t="shared" si="33"/>
        <v>0</v>
      </c>
      <c r="CG160" s="132"/>
      <c r="CH160" s="143">
        <f t="shared" si="34"/>
        <v>0</v>
      </c>
      <c r="CI160" s="132">
        <f t="shared" si="35"/>
        <v>0</v>
      </c>
      <c r="CJ160" s="143">
        <f t="shared" si="35"/>
        <v>0</v>
      </c>
    </row>
    <row r="161" spans="1:88" x14ac:dyDescent="0.3">
      <c r="A161" s="27"/>
      <c r="B161" s="27"/>
      <c r="C161" s="27"/>
      <c r="D161" s="27"/>
      <c r="E161" s="27"/>
      <c r="F161" s="27"/>
      <c r="G161" s="27"/>
      <c r="H161" s="27"/>
      <c r="I161" s="27"/>
      <c r="J161" s="27"/>
      <c r="K161" s="27"/>
      <c r="L161" s="27"/>
      <c r="N161" s="27"/>
      <c r="O161" s="27"/>
      <c r="P161" s="27"/>
      <c r="Q161" s="117" t="s">
        <v>712</v>
      </c>
      <c r="T161" s="141" t="str">
        <f t="shared" si="24"/>
        <v xml:space="preserve"> </v>
      </c>
      <c r="X161" s="119" t="s">
        <v>713</v>
      </c>
      <c r="Y161" s="27"/>
      <c r="AE161" s="27"/>
      <c r="AH161" s="99"/>
      <c r="BD161" s="97"/>
      <c r="BE161" s="108"/>
      <c r="BF161" s="108"/>
      <c r="BG161" s="97"/>
      <c r="BH161" s="97"/>
      <c r="BI161" s="97"/>
      <c r="BJ161" s="97"/>
      <c r="BK161" s="110"/>
      <c r="BL161" s="97"/>
      <c r="BM161" s="97"/>
      <c r="BN161" s="97"/>
      <c r="BO161" s="142"/>
      <c r="BP161" s="143">
        <f t="shared" si="25"/>
        <v>0</v>
      </c>
      <c r="BQ161" s="142"/>
      <c r="BR161" s="143">
        <f t="shared" si="26"/>
        <v>0</v>
      </c>
      <c r="BS161" s="132"/>
      <c r="BT161" s="146">
        <f t="shared" si="27"/>
        <v>0</v>
      </c>
      <c r="BU161" s="132"/>
      <c r="BV161" s="143">
        <f t="shared" si="28"/>
        <v>0</v>
      </c>
      <c r="BW161" s="132"/>
      <c r="BX161" s="146">
        <f t="shared" si="29"/>
        <v>0</v>
      </c>
      <c r="BY161" s="132"/>
      <c r="BZ161" s="146">
        <f t="shared" si="30"/>
        <v>0</v>
      </c>
      <c r="CA161" s="132"/>
      <c r="CB161" s="146">
        <f t="shared" si="31"/>
        <v>0</v>
      </c>
      <c r="CC161" s="132"/>
      <c r="CD161" s="143">
        <f t="shared" si="32"/>
        <v>0</v>
      </c>
      <c r="CE161" s="132"/>
      <c r="CF161" s="143">
        <f t="shared" si="33"/>
        <v>0</v>
      </c>
      <c r="CG161" s="132"/>
      <c r="CH161" s="143">
        <f t="shared" si="34"/>
        <v>0</v>
      </c>
      <c r="CI161" s="132">
        <f t="shared" si="35"/>
        <v>0</v>
      </c>
      <c r="CJ161" s="143">
        <f t="shared" si="35"/>
        <v>0</v>
      </c>
    </row>
    <row r="162" spans="1:88" x14ac:dyDescent="0.3">
      <c r="A162" s="27"/>
      <c r="B162" s="27"/>
      <c r="C162" s="27"/>
      <c r="D162" s="27"/>
      <c r="E162" s="27"/>
      <c r="F162" s="27"/>
      <c r="G162" s="27"/>
      <c r="H162" s="27"/>
      <c r="I162" s="27"/>
      <c r="J162" s="27"/>
      <c r="K162" s="27"/>
      <c r="L162" s="27"/>
      <c r="N162" s="27"/>
      <c r="O162" s="27"/>
      <c r="P162" s="27"/>
      <c r="Q162" s="117" t="s">
        <v>714</v>
      </c>
      <c r="T162" s="141" t="str">
        <f t="shared" si="24"/>
        <v xml:space="preserve"> </v>
      </c>
      <c r="X162" s="119" t="s">
        <v>715</v>
      </c>
      <c r="Y162" s="27"/>
      <c r="AE162" s="27"/>
      <c r="AH162" s="99"/>
      <c r="BD162" s="97"/>
      <c r="BE162" s="108"/>
      <c r="BF162" s="108"/>
      <c r="BG162" s="97"/>
      <c r="BH162" s="97"/>
      <c r="BI162" s="97"/>
      <c r="BJ162" s="97"/>
      <c r="BK162" s="110"/>
      <c r="BL162" s="97"/>
      <c r="BM162" s="97"/>
      <c r="BN162" s="97"/>
      <c r="BO162" s="142"/>
      <c r="BP162" s="143">
        <f t="shared" si="25"/>
        <v>0</v>
      </c>
      <c r="BQ162" s="142"/>
      <c r="BR162" s="143">
        <f t="shared" si="26"/>
        <v>0</v>
      </c>
      <c r="BS162" s="132"/>
      <c r="BT162" s="146">
        <f t="shared" si="27"/>
        <v>0</v>
      </c>
      <c r="BU162" s="132"/>
      <c r="BV162" s="143">
        <f t="shared" si="28"/>
        <v>0</v>
      </c>
      <c r="BW162" s="132"/>
      <c r="BX162" s="146">
        <f t="shared" si="29"/>
        <v>0</v>
      </c>
      <c r="BY162" s="132"/>
      <c r="BZ162" s="146">
        <f t="shared" si="30"/>
        <v>0</v>
      </c>
      <c r="CA162" s="132"/>
      <c r="CB162" s="146">
        <f t="shared" si="31"/>
        <v>0</v>
      </c>
      <c r="CC162" s="132"/>
      <c r="CD162" s="143">
        <f t="shared" si="32"/>
        <v>0</v>
      </c>
      <c r="CE162" s="132"/>
      <c r="CF162" s="143">
        <f t="shared" si="33"/>
        <v>0</v>
      </c>
      <c r="CG162" s="132"/>
      <c r="CH162" s="143">
        <f t="shared" si="34"/>
        <v>0</v>
      </c>
      <c r="CI162" s="132">
        <f t="shared" si="35"/>
        <v>0</v>
      </c>
      <c r="CJ162" s="143">
        <f t="shared" si="35"/>
        <v>0</v>
      </c>
    </row>
    <row r="163" spans="1:88" x14ac:dyDescent="0.3">
      <c r="A163" s="27"/>
      <c r="B163" s="27"/>
      <c r="C163" s="27"/>
      <c r="D163" s="27"/>
      <c r="E163" s="27"/>
      <c r="F163" s="27"/>
      <c r="G163" s="27"/>
      <c r="H163" s="27"/>
      <c r="I163" s="27"/>
      <c r="J163" s="27"/>
      <c r="K163" s="27"/>
      <c r="L163" s="27"/>
      <c r="N163" s="27"/>
      <c r="O163" s="27"/>
      <c r="P163" s="27"/>
      <c r="Q163" s="117" t="s">
        <v>716</v>
      </c>
      <c r="T163" s="141" t="str">
        <f t="shared" ref="T163:T226" si="36">TRIM(U163)&amp;" "&amp;TRIM(V163)</f>
        <v xml:space="preserve"> </v>
      </c>
      <c r="X163" s="119" t="s">
        <v>717</v>
      </c>
      <c r="Y163" s="27"/>
      <c r="AE163" s="27"/>
      <c r="AH163" s="99"/>
      <c r="BD163" s="97"/>
      <c r="BE163" s="108"/>
      <c r="BF163" s="108"/>
      <c r="BG163" s="97"/>
      <c r="BH163" s="97"/>
      <c r="BI163" s="97"/>
      <c r="BJ163" s="97"/>
      <c r="BK163" s="110"/>
      <c r="BL163" s="97"/>
      <c r="BM163" s="97"/>
      <c r="BN163" s="97"/>
      <c r="BO163" s="142"/>
      <c r="BP163" s="143">
        <f t="shared" si="25"/>
        <v>0</v>
      </c>
      <c r="BQ163" s="142"/>
      <c r="BR163" s="143">
        <f t="shared" si="26"/>
        <v>0</v>
      </c>
      <c r="BS163" s="132"/>
      <c r="BT163" s="146">
        <f t="shared" si="27"/>
        <v>0</v>
      </c>
      <c r="BU163" s="132"/>
      <c r="BV163" s="143">
        <f t="shared" si="28"/>
        <v>0</v>
      </c>
      <c r="BW163" s="132"/>
      <c r="BX163" s="146">
        <f t="shared" si="29"/>
        <v>0</v>
      </c>
      <c r="BY163" s="132"/>
      <c r="BZ163" s="146">
        <f t="shared" si="30"/>
        <v>0</v>
      </c>
      <c r="CA163" s="132"/>
      <c r="CB163" s="146">
        <f t="shared" si="31"/>
        <v>0</v>
      </c>
      <c r="CC163" s="132"/>
      <c r="CD163" s="143">
        <f t="shared" si="32"/>
        <v>0</v>
      </c>
      <c r="CE163" s="132"/>
      <c r="CF163" s="143">
        <f t="shared" si="33"/>
        <v>0</v>
      </c>
      <c r="CG163" s="132"/>
      <c r="CH163" s="143">
        <f t="shared" si="34"/>
        <v>0</v>
      </c>
      <c r="CI163" s="132">
        <f t="shared" si="35"/>
        <v>0</v>
      </c>
      <c r="CJ163" s="143">
        <f t="shared" si="35"/>
        <v>0</v>
      </c>
    </row>
    <row r="164" spans="1:88" x14ac:dyDescent="0.3">
      <c r="A164" s="27"/>
      <c r="B164" s="27"/>
      <c r="C164" s="27"/>
      <c r="D164" s="27"/>
      <c r="E164" s="27"/>
      <c r="F164" s="27"/>
      <c r="G164" s="27"/>
      <c r="H164" s="27"/>
      <c r="I164" s="27"/>
      <c r="J164" s="27"/>
      <c r="K164" s="27"/>
      <c r="L164" s="27"/>
      <c r="N164" s="27"/>
      <c r="O164" s="27"/>
      <c r="P164" s="27"/>
      <c r="Q164" s="117" t="s">
        <v>718</v>
      </c>
      <c r="T164" s="141" t="str">
        <f t="shared" si="36"/>
        <v xml:space="preserve"> </v>
      </c>
      <c r="X164" s="119" t="s">
        <v>719</v>
      </c>
      <c r="Y164" s="27"/>
      <c r="AE164" s="27"/>
      <c r="AH164" s="99"/>
      <c r="BD164" s="97"/>
      <c r="BE164" s="108"/>
      <c r="BF164" s="108"/>
      <c r="BG164" s="97"/>
      <c r="BH164" s="97"/>
      <c r="BI164" s="97"/>
      <c r="BJ164" s="97"/>
      <c r="BK164" s="110"/>
      <c r="BL164" s="97"/>
      <c r="BM164" s="97"/>
      <c r="BN164" s="97"/>
      <c r="BO164" s="142"/>
      <c r="BP164" s="143">
        <f t="shared" si="25"/>
        <v>0</v>
      </c>
      <c r="BQ164" s="142"/>
      <c r="BR164" s="143">
        <f t="shared" si="26"/>
        <v>0</v>
      </c>
      <c r="BS164" s="132"/>
      <c r="BT164" s="146">
        <f t="shared" si="27"/>
        <v>0</v>
      </c>
      <c r="BU164" s="132"/>
      <c r="BV164" s="143">
        <f t="shared" si="28"/>
        <v>0</v>
      </c>
      <c r="BW164" s="132"/>
      <c r="BX164" s="146">
        <f t="shared" si="29"/>
        <v>0</v>
      </c>
      <c r="BY164" s="132"/>
      <c r="BZ164" s="146">
        <f t="shared" si="30"/>
        <v>0</v>
      </c>
      <c r="CA164" s="132"/>
      <c r="CB164" s="146">
        <f t="shared" si="31"/>
        <v>0</v>
      </c>
      <c r="CC164" s="132"/>
      <c r="CD164" s="143">
        <f t="shared" si="32"/>
        <v>0</v>
      </c>
      <c r="CE164" s="132"/>
      <c r="CF164" s="143">
        <f t="shared" si="33"/>
        <v>0</v>
      </c>
      <c r="CG164" s="132"/>
      <c r="CH164" s="143">
        <f t="shared" si="34"/>
        <v>0</v>
      </c>
      <c r="CI164" s="132">
        <f t="shared" si="35"/>
        <v>0</v>
      </c>
      <c r="CJ164" s="143">
        <f t="shared" si="35"/>
        <v>0</v>
      </c>
    </row>
    <row r="165" spans="1:88" x14ac:dyDescent="0.3">
      <c r="A165" s="27"/>
      <c r="B165" s="27"/>
      <c r="C165" s="27"/>
      <c r="D165" s="27"/>
      <c r="E165" s="27"/>
      <c r="F165" s="27"/>
      <c r="G165" s="27"/>
      <c r="H165" s="27"/>
      <c r="I165" s="27"/>
      <c r="J165" s="27"/>
      <c r="K165" s="27"/>
      <c r="L165" s="27"/>
      <c r="N165" s="27"/>
      <c r="O165" s="27"/>
      <c r="P165" s="27"/>
      <c r="Q165" s="117" t="s">
        <v>720</v>
      </c>
      <c r="T165" s="141" t="str">
        <f t="shared" si="36"/>
        <v xml:space="preserve"> </v>
      </c>
      <c r="X165" s="119" t="s">
        <v>721</v>
      </c>
      <c r="Y165" s="27"/>
      <c r="AE165" s="27"/>
      <c r="AH165" s="99"/>
      <c r="BD165" s="97"/>
      <c r="BE165" s="108"/>
      <c r="BF165" s="108"/>
      <c r="BG165" s="97"/>
      <c r="BH165" s="97"/>
      <c r="BI165" s="97"/>
      <c r="BJ165" s="97"/>
      <c r="BK165" s="110"/>
      <c r="BL165" s="97"/>
      <c r="BM165" s="97"/>
      <c r="BN165" s="97"/>
      <c r="BO165" s="144"/>
      <c r="BP165" s="143">
        <f t="shared" si="25"/>
        <v>0</v>
      </c>
      <c r="BQ165" s="144"/>
      <c r="BR165" s="143">
        <f t="shared" si="26"/>
        <v>0</v>
      </c>
      <c r="BS165" s="132"/>
      <c r="BT165" s="146">
        <f t="shared" si="27"/>
        <v>0</v>
      </c>
      <c r="BU165" s="145"/>
      <c r="BV165" s="143">
        <f t="shared" si="28"/>
        <v>0</v>
      </c>
      <c r="BW165" s="145"/>
      <c r="BX165" s="146">
        <f t="shared" si="29"/>
        <v>0</v>
      </c>
      <c r="BY165" s="145"/>
      <c r="BZ165" s="146">
        <f t="shared" si="30"/>
        <v>0</v>
      </c>
      <c r="CA165" s="145"/>
      <c r="CB165" s="146">
        <f t="shared" si="31"/>
        <v>0</v>
      </c>
      <c r="CC165" s="145"/>
      <c r="CD165" s="143">
        <f t="shared" si="32"/>
        <v>0</v>
      </c>
      <c r="CE165" s="145"/>
      <c r="CF165" s="143">
        <f t="shared" si="33"/>
        <v>0</v>
      </c>
      <c r="CG165" s="132"/>
      <c r="CH165" s="143">
        <f t="shared" si="34"/>
        <v>0</v>
      </c>
      <c r="CI165" s="132">
        <f t="shared" si="35"/>
        <v>0</v>
      </c>
      <c r="CJ165" s="143">
        <f t="shared" si="35"/>
        <v>0</v>
      </c>
    </row>
    <row r="166" spans="1:88" x14ac:dyDescent="0.3">
      <c r="A166" s="27"/>
      <c r="B166" s="27"/>
      <c r="C166" s="27"/>
      <c r="D166" s="27"/>
      <c r="E166" s="27"/>
      <c r="F166" s="27"/>
      <c r="G166" s="27"/>
      <c r="H166" s="27"/>
      <c r="I166" s="27"/>
      <c r="J166" s="27"/>
      <c r="K166" s="27"/>
      <c r="L166" s="27"/>
      <c r="N166" s="27"/>
      <c r="O166" s="27"/>
      <c r="P166" s="27"/>
      <c r="Q166" s="117" t="s">
        <v>722</v>
      </c>
      <c r="T166" s="141" t="str">
        <f t="shared" si="36"/>
        <v xml:space="preserve"> </v>
      </c>
      <c r="X166" s="119" t="s">
        <v>723</v>
      </c>
      <c r="Y166" s="27"/>
      <c r="AE166" s="27"/>
      <c r="AH166" s="99"/>
      <c r="BD166" s="97"/>
      <c r="BE166" s="108"/>
      <c r="BF166" s="108"/>
      <c r="BG166" s="97"/>
      <c r="BH166" s="97"/>
      <c r="BI166" s="97"/>
      <c r="BJ166" s="97"/>
      <c r="BK166" s="110"/>
      <c r="BL166" s="97"/>
      <c r="BM166" s="97"/>
      <c r="BN166" s="97"/>
      <c r="BO166" s="142"/>
      <c r="BP166" s="143">
        <f t="shared" si="25"/>
        <v>0</v>
      </c>
      <c r="BQ166" s="142"/>
      <c r="BR166" s="143">
        <f t="shared" si="26"/>
        <v>0</v>
      </c>
      <c r="BS166" s="132"/>
      <c r="BT166" s="146">
        <f t="shared" si="27"/>
        <v>0</v>
      </c>
      <c r="BU166" s="132"/>
      <c r="BV166" s="143">
        <f t="shared" si="28"/>
        <v>0</v>
      </c>
      <c r="BW166" s="132"/>
      <c r="BX166" s="146">
        <f t="shared" si="29"/>
        <v>0</v>
      </c>
      <c r="BY166" s="132"/>
      <c r="BZ166" s="146">
        <f t="shared" si="30"/>
        <v>0</v>
      </c>
      <c r="CA166" s="132"/>
      <c r="CB166" s="146">
        <f t="shared" si="31"/>
        <v>0</v>
      </c>
      <c r="CC166" s="132"/>
      <c r="CD166" s="143">
        <f t="shared" si="32"/>
        <v>0</v>
      </c>
      <c r="CE166" s="132"/>
      <c r="CF166" s="143">
        <f t="shared" si="33"/>
        <v>0</v>
      </c>
      <c r="CG166" s="132"/>
      <c r="CH166" s="143">
        <f t="shared" si="34"/>
        <v>0</v>
      </c>
      <c r="CI166" s="132">
        <f t="shared" si="35"/>
        <v>0</v>
      </c>
      <c r="CJ166" s="143">
        <f t="shared" si="35"/>
        <v>0</v>
      </c>
    </row>
    <row r="167" spans="1:88" x14ac:dyDescent="0.3">
      <c r="A167" s="27"/>
      <c r="B167" s="27"/>
      <c r="C167" s="27"/>
      <c r="D167" s="27"/>
      <c r="E167" s="27"/>
      <c r="F167" s="27"/>
      <c r="G167" s="27"/>
      <c r="H167" s="27"/>
      <c r="I167" s="27"/>
      <c r="J167" s="27"/>
      <c r="K167" s="27"/>
      <c r="L167" s="27"/>
      <c r="N167" s="27"/>
      <c r="O167" s="27"/>
      <c r="P167" s="27"/>
      <c r="Q167" s="117" t="s">
        <v>724</v>
      </c>
      <c r="T167" s="141" t="str">
        <f t="shared" si="36"/>
        <v xml:space="preserve"> </v>
      </c>
      <c r="X167" s="119" t="s">
        <v>725</v>
      </c>
      <c r="Y167" s="27"/>
      <c r="AE167" s="27"/>
      <c r="AH167" s="99"/>
      <c r="BD167" s="97"/>
      <c r="BE167" s="108"/>
      <c r="BF167" s="108"/>
      <c r="BG167" s="97"/>
      <c r="BH167" s="97"/>
      <c r="BI167" s="97"/>
      <c r="BJ167" s="97"/>
      <c r="BK167" s="110"/>
      <c r="BL167" s="97"/>
      <c r="BM167" s="97"/>
      <c r="BN167" s="97"/>
      <c r="BO167" s="144"/>
      <c r="BP167" s="143">
        <f t="shared" si="25"/>
        <v>0</v>
      </c>
      <c r="BQ167" s="144"/>
      <c r="BR167" s="143">
        <f t="shared" si="26"/>
        <v>0</v>
      </c>
      <c r="BS167" s="132"/>
      <c r="BT167" s="146">
        <f t="shared" si="27"/>
        <v>0</v>
      </c>
      <c r="BU167" s="145"/>
      <c r="BV167" s="143">
        <f t="shared" si="28"/>
        <v>0</v>
      </c>
      <c r="BW167" s="145"/>
      <c r="BX167" s="146">
        <f t="shared" si="29"/>
        <v>0</v>
      </c>
      <c r="BY167" s="145"/>
      <c r="BZ167" s="146">
        <f t="shared" si="30"/>
        <v>0</v>
      </c>
      <c r="CA167" s="145"/>
      <c r="CB167" s="146">
        <f t="shared" si="31"/>
        <v>0</v>
      </c>
      <c r="CC167" s="145"/>
      <c r="CD167" s="143">
        <f t="shared" si="32"/>
        <v>0</v>
      </c>
      <c r="CE167" s="145"/>
      <c r="CF167" s="143">
        <f t="shared" si="33"/>
        <v>0</v>
      </c>
      <c r="CG167" s="132"/>
      <c r="CH167" s="143">
        <f t="shared" si="34"/>
        <v>0</v>
      </c>
      <c r="CI167" s="132">
        <f t="shared" si="35"/>
        <v>0</v>
      </c>
      <c r="CJ167" s="143">
        <f t="shared" si="35"/>
        <v>0</v>
      </c>
    </row>
    <row r="168" spans="1:88" x14ac:dyDescent="0.3">
      <c r="A168" s="27"/>
      <c r="B168" s="27"/>
      <c r="C168" s="27"/>
      <c r="D168" s="27"/>
      <c r="E168" s="27"/>
      <c r="F168" s="27"/>
      <c r="G168" s="27"/>
      <c r="H168" s="27"/>
      <c r="I168" s="27"/>
      <c r="J168" s="27"/>
      <c r="K168" s="27"/>
      <c r="L168" s="27"/>
      <c r="N168" s="27"/>
      <c r="O168" s="27"/>
      <c r="P168" s="27"/>
      <c r="Q168" s="117" t="s">
        <v>726</v>
      </c>
      <c r="T168" s="141" t="str">
        <f t="shared" si="36"/>
        <v xml:space="preserve"> </v>
      </c>
      <c r="X168" s="119" t="s">
        <v>727</v>
      </c>
      <c r="Y168" s="27"/>
      <c r="AE168" s="27"/>
      <c r="AH168" s="99"/>
      <c r="BD168" s="97"/>
      <c r="BE168" s="108"/>
      <c r="BF168" s="108"/>
      <c r="BG168" s="97"/>
      <c r="BH168" s="97"/>
      <c r="BI168" s="97"/>
      <c r="BJ168" s="97"/>
      <c r="BK168" s="110"/>
      <c r="BL168" s="97"/>
      <c r="BM168" s="97"/>
      <c r="BN168" s="97"/>
      <c r="BO168" s="142"/>
      <c r="BP168" s="143">
        <f t="shared" si="25"/>
        <v>0</v>
      </c>
      <c r="BQ168" s="142"/>
      <c r="BR168" s="143">
        <f t="shared" si="26"/>
        <v>0</v>
      </c>
      <c r="BS168" s="132"/>
      <c r="BT168" s="146">
        <f t="shared" si="27"/>
        <v>0</v>
      </c>
      <c r="BU168" s="132"/>
      <c r="BV168" s="143">
        <f t="shared" si="28"/>
        <v>0</v>
      </c>
      <c r="BW168" s="132"/>
      <c r="BX168" s="146">
        <f t="shared" si="29"/>
        <v>0</v>
      </c>
      <c r="BY168" s="132"/>
      <c r="BZ168" s="146">
        <f t="shared" si="30"/>
        <v>0</v>
      </c>
      <c r="CA168" s="132"/>
      <c r="CB168" s="146">
        <f t="shared" si="31"/>
        <v>0</v>
      </c>
      <c r="CC168" s="132"/>
      <c r="CD168" s="143">
        <f t="shared" si="32"/>
        <v>0</v>
      </c>
      <c r="CE168" s="132"/>
      <c r="CF168" s="143">
        <f t="shared" si="33"/>
        <v>0</v>
      </c>
      <c r="CG168" s="132"/>
      <c r="CH168" s="143">
        <f t="shared" si="34"/>
        <v>0</v>
      </c>
      <c r="CI168" s="132">
        <f t="shared" si="35"/>
        <v>0</v>
      </c>
      <c r="CJ168" s="143">
        <f t="shared" si="35"/>
        <v>0</v>
      </c>
    </row>
    <row r="169" spans="1:88" x14ac:dyDescent="0.3">
      <c r="A169" s="27"/>
      <c r="B169" s="27"/>
      <c r="C169" s="27"/>
      <c r="D169" s="27"/>
      <c r="E169" s="27"/>
      <c r="F169" s="27"/>
      <c r="G169" s="27"/>
      <c r="H169" s="27"/>
      <c r="I169" s="27"/>
      <c r="J169" s="27"/>
      <c r="K169" s="27"/>
      <c r="L169" s="27"/>
      <c r="N169" s="27"/>
      <c r="O169" s="27"/>
      <c r="P169" s="27"/>
      <c r="Q169" s="117" t="s">
        <v>728</v>
      </c>
      <c r="T169" s="141" t="str">
        <f t="shared" si="36"/>
        <v xml:space="preserve"> </v>
      </c>
      <c r="X169" s="119" t="s">
        <v>729</v>
      </c>
      <c r="Y169" s="27"/>
      <c r="AE169" s="27"/>
      <c r="AH169" s="99"/>
      <c r="BD169" s="97"/>
      <c r="BE169" s="108"/>
      <c r="BF169" s="108"/>
      <c r="BG169" s="97"/>
      <c r="BH169" s="97"/>
      <c r="BI169" s="97"/>
      <c r="BJ169" s="97"/>
      <c r="BK169" s="110"/>
      <c r="BL169" s="97"/>
      <c r="BM169" s="97"/>
      <c r="BN169" s="97"/>
      <c r="BO169" s="142"/>
      <c r="BP169" s="143">
        <f t="shared" si="25"/>
        <v>0</v>
      </c>
      <c r="BQ169" s="142"/>
      <c r="BR169" s="143">
        <f t="shared" si="26"/>
        <v>0</v>
      </c>
      <c r="BS169" s="132"/>
      <c r="BT169" s="146">
        <f t="shared" si="27"/>
        <v>0</v>
      </c>
      <c r="BU169" s="132"/>
      <c r="BV169" s="143">
        <f t="shared" si="28"/>
        <v>0</v>
      </c>
      <c r="BW169" s="132"/>
      <c r="BX169" s="146">
        <f t="shared" si="29"/>
        <v>0</v>
      </c>
      <c r="BY169" s="132"/>
      <c r="BZ169" s="146">
        <f t="shared" si="30"/>
        <v>0</v>
      </c>
      <c r="CA169" s="132"/>
      <c r="CB169" s="146">
        <f t="shared" si="31"/>
        <v>0</v>
      </c>
      <c r="CC169" s="132"/>
      <c r="CD169" s="143">
        <f t="shared" si="32"/>
        <v>0</v>
      </c>
      <c r="CE169" s="132"/>
      <c r="CF169" s="143">
        <f t="shared" si="33"/>
        <v>0</v>
      </c>
      <c r="CG169" s="132"/>
      <c r="CH169" s="143">
        <f t="shared" si="34"/>
        <v>0</v>
      </c>
      <c r="CI169" s="132">
        <f t="shared" si="35"/>
        <v>0</v>
      </c>
      <c r="CJ169" s="143">
        <f t="shared" si="35"/>
        <v>0</v>
      </c>
    </row>
    <row r="170" spans="1:88" x14ac:dyDescent="0.3">
      <c r="A170" s="27"/>
      <c r="B170" s="27"/>
      <c r="C170" s="27"/>
      <c r="D170" s="27"/>
      <c r="E170" s="27"/>
      <c r="F170" s="27"/>
      <c r="G170" s="27"/>
      <c r="H170" s="27"/>
      <c r="I170" s="27"/>
      <c r="J170" s="27"/>
      <c r="K170" s="27"/>
      <c r="L170" s="27"/>
      <c r="N170" s="27"/>
      <c r="O170" s="27"/>
      <c r="P170" s="27"/>
      <c r="Q170" s="117" t="s">
        <v>730</v>
      </c>
      <c r="T170" s="141" t="str">
        <f t="shared" si="36"/>
        <v xml:space="preserve"> </v>
      </c>
      <c r="X170" s="119" t="s">
        <v>731</v>
      </c>
      <c r="Y170" s="27"/>
      <c r="AE170" s="27"/>
      <c r="AH170" s="99"/>
      <c r="BD170" s="97"/>
      <c r="BE170" s="108"/>
      <c r="BF170" s="108"/>
      <c r="BG170" s="97"/>
      <c r="BH170" s="97"/>
      <c r="BI170" s="97"/>
      <c r="BJ170" s="97"/>
      <c r="BK170" s="110"/>
      <c r="BL170" s="97"/>
      <c r="BM170" s="97"/>
      <c r="BN170" s="97"/>
      <c r="BO170" s="142"/>
      <c r="BP170" s="143">
        <f t="shared" si="25"/>
        <v>0</v>
      </c>
      <c r="BQ170" s="142"/>
      <c r="BR170" s="143">
        <f t="shared" si="26"/>
        <v>0</v>
      </c>
      <c r="BS170" s="132"/>
      <c r="BT170" s="146">
        <f t="shared" si="27"/>
        <v>0</v>
      </c>
      <c r="BU170" s="132"/>
      <c r="BV170" s="143">
        <f t="shared" si="28"/>
        <v>0</v>
      </c>
      <c r="BW170" s="132"/>
      <c r="BX170" s="146">
        <f t="shared" si="29"/>
        <v>0</v>
      </c>
      <c r="BY170" s="132"/>
      <c r="BZ170" s="146">
        <f t="shared" si="30"/>
        <v>0</v>
      </c>
      <c r="CA170" s="132"/>
      <c r="CB170" s="146">
        <f t="shared" si="31"/>
        <v>0</v>
      </c>
      <c r="CC170" s="132"/>
      <c r="CD170" s="143">
        <f t="shared" si="32"/>
        <v>0</v>
      </c>
      <c r="CE170" s="132"/>
      <c r="CF170" s="143">
        <f t="shared" si="33"/>
        <v>0</v>
      </c>
      <c r="CG170" s="132"/>
      <c r="CH170" s="143">
        <f t="shared" si="34"/>
        <v>0</v>
      </c>
      <c r="CI170" s="132">
        <f t="shared" si="35"/>
        <v>0</v>
      </c>
      <c r="CJ170" s="143">
        <f t="shared" si="35"/>
        <v>0</v>
      </c>
    </row>
    <row r="171" spans="1:88" ht="27.6" x14ac:dyDescent="0.3">
      <c r="A171" s="27"/>
      <c r="B171" s="27"/>
      <c r="C171" s="27"/>
      <c r="D171" s="27"/>
      <c r="E171" s="27"/>
      <c r="F171" s="27"/>
      <c r="G171" s="27"/>
      <c r="H171" s="27"/>
      <c r="I171" s="27"/>
      <c r="J171" s="27"/>
      <c r="K171" s="27"/>
      <c r="L171" s="27"/>
      <c r="N171" s="27"/>
      <c r="O171" s="27"/>
      <c r="P171" s="27"/>
      <c r="Q171" s="117" t="s">
        <v>732</v>
      </c>
      <c r="T171" s="141" t="str">
        <f t="shared" si="36"/>
        <v xml:space="preserve"> </v>
      </c>
      <c r="X171" s="119" t="s">
        <v>733</v>
      </c>
      <c r="Y171" s="27"/>
      <c r="AE171" s="27"/>
      <c r="AH171" s="99"/>
      <c r="BD171" s="97"/>
      <c r="BE171" s="108"/>
      <c r="BF171" s="108"/>
      <c r="BG171" s="97"/>
      <c r="BH171" s="97"/>
      <c r="BI171" s="97"/>
      <c r="BJ171" s="97"/>
      <c r="BK171" s="110"/>
      <c r="BL171" s="97"/>
      <c r="BM171" s="97"/>
      <c r="BN171" s="97"/>
      <c r="BO171" s="148"/>
      <c r="BP171" s="143">
        <f t="shared" si="25"/>
        <v>0</v>
      </c>
      <c r="BQ171" s="148"/>
      <c r="BR171" s="143">
        <f t="shared" si="26"/>
        <v>0</v>
      </c>
      <c r="BS171" s="132"/>
      <c r="BT171" s="146">
        <f t="shared" si="27"/>
        <v>0</v>
      </c>
      <c r="BU171" s="149"/>
      <c r="BV171" s="143">
        <f t="shared" si="28"/>
        <v>0</v>
      </c>
      <c r="BW171" s="149"/>
      <c r="BX171" s="146">
        <f t="shared" si="29"/>
        <v>0</v>
      </c>
      <c r="BY171" s="149"/>
      <c r="BZ171" s="146">
        <f t="shared" si="30"/>
        <v>0</v>
      </c>
      <c r="CA171" s="149"/>
      <c r="CB171" s="146">
        <f t="shared" si="31"/>
        <v>0</v>
      </c>
      <c r="CC171" s="149"/>
      <c r="CD171" s="143">
        <f t="shared" si="32"/>
        <v>0</v>
      </c>
      <c r="CE171" s="149"/>
      <c r="CF171" s="143">
        <f t="shared" si="33"/>
        <v>0</v>
      </c>
      <c r="CG171" s="132"/>
      <c r="CH171" s="143">
        <f t="shared" si="34"/>
        <v>0</v>
      </c>
      <c r="CI171" s="132">
        <f t="shared" si="35"/>
        <v>0</v>
      </c>
      <c r="CJ171" s="143">
        <f t="shared" si="35"/>
        <v>0</v>
      </c>
    </row>
    <row r="172" spans="1:88" x14ac:dyDescent="0.3">
      <c r="A172" s="27"/>
      <c r="B172" s="27"/>
      <c r="C172" s="27"/>
      <c r="D172" s="27"/>
      <c r="E172" s="27"/>
      <c r="F172" s="27"/>
      <c r="G172" s="27"/>
      <c r="H172" s="27"/>
      <c r="I172" s="27"/>
      <c r="J172" s="27"/>
      <c r="K172" s="27"/>
      <c r="L172" s="27"/>
      <c r="N172" s="27"/>
      <c r="O172" s="27"/>
      <c r="P172" s="27"/>
      <c r="Q172" s="117" t="s">
        <v>734</v>
      </c>
      <c r="T172" s="141" t="str">
        <f t="shared" si="36"/>
        <v xml:space="preserve"> </v>
      </c>
      <c r="X172" s="119" t="s">
        <v>735</v>
      </c>
      <c r="Y172" s="27"/>
      <c r="AE172" s="27"/>
      <c r="AH172" s="99"/>
      <c r="BD172" s="97"/>
      <c r="BE172" s="108"/>
      <c r="BF172" s="108"/>
      <c r="BG172" s="97"/>
      <c r="BH172" s="97"/>
      <c r="BI172" s="97"/>
      <c r="BJ172" s="97"/>
      <c r="BK172" s="110"/>
      <c r="BL172" s="97"/>
      <c r="BM172" s="97"/>
      <c r="BN172" s="97"/>
      <c r="BO172" s="142"/>
      <c r="BP172" s="143">
        <f t="shared" si="25"/>
        <v>0</v>
      </c>
      <c r="BQ172" s="142"/>
      <c r="BR172" s="143">
        <f t="shared" si="26"/>
        <v>0</v>
      </c>
      <c r="BS172" s="132"/>
      <c r="BT172" s="146">
        <f t="shared" si="27"/>
        <v>0</v>
      </c>
      <c r="BU172" s="132"/>
      <c r="BV172" s="143">
        <f t="shared" si="28"/>
        <v>0</v>
      </c>
      <c r="BW172" s="132"/>
      <c r="BX172" s="146">
        <f t="shared" si="29"/>
        <v>0</v>
      </c>
      <c r="BY172" s="132"/>
      <c r="BZ172" s="146">
        <f t="shared" si="30"/>
        <v>0</v>
      </c>
      <c r="CA172" s="132"/>
      <c r="CB172" s="146">
        <f t="shared" si="31"/>
        <v>0</v>
      </c>
      <c r="CC172" s="132"/>
      <c r="CD172" s="143">
        <f t="shared" si="32"/>
        <v>0</v>
      </c>
      <c r="CE172" s="132"/>
      <c r="CF172" s="143">
        <f t="shared" si="33"/>
        <v>0</v>
      </c>
      <c r="CG172" s="132"/>
      <c r="CH172" s="143">
        <f t="shared" si="34"/>
        <v>0</v>
      </c>
      <c r="CI172" s="132">
        <f t="shared" si="35"/>
        <v>0</v>
      </c>
      <c r="CJ172" s="143">
        <f t="shared" si="35"/>
        <v>0</v>
      </c>
    </row>
    <row r="173" spans="1:88" x14ac:dyDescent="0.3">
      <c r="A173" s="27"/>
      <c r="B173" s="27"/>
      <c r="C173" s="27"/>
      <c r="D173" s="27"/>
      <c r="E173" s="27"/>
      <c r="F173" s="27"/>
      <c r="G173" s="27"/>
      <c r="H173" s="27"/>
      <c r="I173" s="27"/>
      <c r="J173" s="27"/>
      <c r="K173" s="27"/>
      <c r="L173" s="27"/>
      <c r="N173" s="27"/>
      <c r="O173" s="27"/>
      <c r="P173" s="27"/>
      <c r="Q173" s="117" t="s">
        <v>736</v>
      </c>
      <c r="T173" s="141" t="str">
        <f t="shared" si="36"/>
        <v xml:space="preserve"> </v>
      </c>
      <c r="X173" s="119" t="s">
        <v>737</v>
      </c>
      <c r="Y173" s="27"/>
      <c r="AE173" s="27"/>
      <c r="AH173" s="99"/>
      <c r="BD173" s="97"/>
      <c r="BE173" s="108"/>
      <c r="BF173" s="108"/>
      <c r="BG173" s="97"/>
      <c r="BH173" s="97"/>
      <c r="BI173" s="97"/>
      <c r="BJ173" s="97"/>
      <c r="BK173" s="110"/>
      <c r="BL173" s="97"/>
      <c r="BM173" s="97"/>
      <c r="BN173" s="97"/>
      <c r="BO173" s="142"/>
      <c r="BP173" s="143">
        <f t="shared" si="25"/>
        <v>0</v>
      </c>
      <c r="BQ173" s="142"/>
      <c r="BR173" s="143">
        <f t="shared" si="26"/>
        <v>0</v>
      </c>
      <c r="BS173" s="132"/>
      <c r="BT173" s="146">
        <f t="shared" si="27"/>
        <v>0</v>
      </c>
      <c r="BU173" s="132"/>
      <c r="BV173" s="143">
        <f t="shared" si="28"/>
        <v>0</v>
      </c>
      <c r="BW173" s="132"/>
      <c r="BX173" s="146">
        <f t="shared" si="29"/>
        <v>0</v>
      </c>
      <c r="BY173" s="132"/>
      <c r="BZ173" s="146">
        <f t="shared" si="30"/>
        <v>0</v>
      </c>
      <c r="CA173" s="132"/>
      <c r="CB173" s="146">
        <f t="shared" si="31"/>
        <v>0</v>
      </c>
      <c r="CC173" s="132"/>
      <c r="CD173" s="143">
        <f t="shared" si="32"/>
        <v>0</v>
      </c>
      <c r="CE173" s="132"/>
      <c r="CF173" s="143">
        <f t="shared" si="33"/>
        <v>0</v>
      </c>
      <c r="CG173" s="132"/>
      <c r="CH173" s="143">
        <f t="shared" si="34"/>
        <v>0</v>
      </c>
      <c r="CI173" s="132">
        <f t="shared" si="35"/>
        <v>0</v>
      </c>
      <c r="CJ173" s="143">
        <f t="shared" si="35"/>
        <v>0</v>
      </c>
    </row>
    <row r="174" spans="1:88" x14ac:dyDescent="0.3">
      <c r="A174" s="27"/>
      <c r="B174" s="27"/>
      <c r="C174" s="27"/>
      <c r="D174" s="27"/>
      <c r="E174" s="27"/>
      <c r="F174" s="27"/>
      <c r="G174" s="27"/>
      <c r="H174" s="27"/>
      <c r="I174" s="27"/>
      <c r="J174" s="27"/>
      <c r="K174" s="27"/>
      <c r="L174" s="27"/>
      <c r="N174" s="27"/>
      <c r="O174" s="27"/>
      <c r="P174" s="27"/>
      <c r="Q174" s="117" t="s">
        <v>738</v>
      </c>
      <c r="T174" s="141" t="str">
        <f t="shared" si="36"/>
        <v xml:space="preserve"> </v>
      </c>
      <c r="X174" s="119" t="s">
        <v>739</v>
      </c>
      <c r="Y174" s="27"/>
      <c r="AE174" s="27"/>
      <c r="AH174" s="99"/>
      <c r="BD174" s="97"/>
      <c r="BE174" s="108"/>
      <c r="BF174" s="108"/>
      <c r="BG174" s="97"/>
      <c r="BH174" s="97"/>
      <c r="BI174" s="97"/>
      <c r="BJ174" s="97"/>
      <c r="BK174" s="110"/>
      <c r="BL174" s="97"/>
      <c r="BM174" s="97"/>
      <c r="BN174" s="97"/>
      <c r="BO174" s="142"/>
      <c r="BP174" s="143">
        <f t="shared" si="25"/>
        <v>0</v>
      </c>
      <c r="BQ174" s="142"/>
      <c r="BR174" s="143">
        <f t="shared" si="26"/>
        <v>0</v>
      </c>
      <c r="BS174" s="132"/>
      <c r="BT174" s="146">
        <f t="shared" si="27"/>
        <v>0</v>
      </c>
      <c r="BU174" s="132"/>
      <c r="BV174" s="143">
        <f t="shared" si="28"/>
        <v>0</v>
      </c>
      <c r="BW174" s="132"/>
      <c r="BX174" s="146">
        <f t="shared" si="29"/>
        <v>0</v>
      </c>
      <c r="BY174" s="132"/>
      <c r="BZ174" s="146">
        <f t="shared" si="30"/>
        <v>0</v>
      </c>
      <c r="CA174" s="132"/>
      <c r="CB174" s="146">
        <f t="shared" si="31"/>
        <v>0</v>
      </c>
      <c r="CC174" s="132"/>
      <c r="CD174" s="143">
        <f t="shared" si="32"/>
        <v>0</v>
      </c>
      <c r="CE174" s="132"/>
      <c r="CF174" s="143">
        <f t="shared" si="33"/>
        <v>0</v>
      </c>
      <c r="CG174" s="132"/>
      <c r="CH174" s="143">
        <f t="shared" si="34"/>
        <v>0</v>
      </c>
      <c r="CI174" s="132">
        <f t="shared" si="35"/>
        <v>0</v>
      </c>
      <c r="CJ174" s="143">
        <f t="shared" si="35"/>
        <v>0</v>
      </c>
    </row>
    <row r="175" spans="1:88" x14ac:dyDescent="0.3">
      <c r="A175" s="27"/>
      <c r="B175" s="27"/>
      <c r="C175" s="27"/>
      <c r="D175" s="27"/>
      <c r="E175" s="27"/>
      <c r="F175" s="27"/>
      <c r="G175" s="27"/>
      <c r="H175" s="27"/>
      <c r="I175" s="27"/>
      <c r="J175" s="27"/>
      <c r="K175" s="27"/>
      <c r="L175" s="27"/>
      <c r="N175" s="27"/>
      <c r="O175" s="27"/>
      <c r="P175" s="27"/>
      <c r="Q175" s="117" t="s">
        <v>333</v>
      </c>
      <c r="T175" s="141" t="str">
        <f t="shared" si="36"/>
        <v xml:space="preserve"> </v>
      </c>
      <c r="X175" s="119" t="s">
        <v>740</v>
      </c>
      <c r="Y175" s="27"/>
      <c r="AE175" s="27"/>
      <c r="AH175" s="99"/>
      <c r="BD175" s="97"/>
      <c r="BE175" s="108"/>
      <c r="BF175" s="108"/>
      <c r="BG175" s="97"/>
      <c r="BH175" s="97"/>
      <c r="BI175" s="97"/>
      <c r="BJ175" s="97"/>
      <c r="BK175" s="110"/>
      <c r="BL175" s="97"/>
      <c r="BM175" s="97"/>
      <c r="BN175" s="97"/>
      <c r="BO175" s="142"/>
      <c r="BP175" s="143">
        <f t="shared" si="25"/>
        <v>0</v>
      </c>
      <c r="BQ175" s="142"/>
      <c r="BR175" s="143">
        <f t="shared" si="26"/>
        <v>0</v>
      </c>
      <c r="BS175" s="132"/>
      <c r="BT175" s="146">
        <f t="shared" si="27"/>
        <v>0</v>
      </c>
      <c r="BU175" s="132"/>
      <c r="BV175" s="143">
        <f t="shared" si="28"/>
        <v>0</v>
      </c>
      <c r="BW175" s="132"/>
      <c r="BX175" s="146">
        <f t="shared" si="29"/>
        <v>0</v>
      </c>
      <c r="BY175" s="132"/>
      <c r="BZ175" s="146">
        <f t="shared" si="30"/>
        <v>0</v>
      </c>
      <c r="CA175" s="132"/>
      <c r="CB175" s="146">
        <f t="shared" si="31"/>
        <v>0</v>
      </c>
      <c r="CC175" s="132"/>
      <c r="CD175" s="143">
        <f t="shared" si="32"/>
        <v>0</v>
      </c>
      <c r="CE175" s="132"/>
      <c r="CF175" s="143">
        <f t="shared" si="33"/>
        <v>0</v>
      </c>
      <c r="CG175" s="132"/>
      <c r="CH175" s="143">
        <f t="shared" si="34"/>
        <v>0</v>
      </c>
      <c r="CI175" s="132">
        <f t="shared" si="35"/>
        <v>0</v>
      </c>
      <c r="CJ175" s="143">
        <f t="shared" si="35"/>
        <v>0</v>
      </c>
    </row>
    <row r="176" spans="1:88" x14ac:dyDescent="0.3">
      <c r="A176" s="27"/>
      <c r="B176" s="27"/>
      <c r="C176" s="27"/>
      <c r="D176" s="27"/>
      <c r="E176" s="27"/>
      <c r="F176" s="27"/>
      <c r="G176" s="27"/>
      <c r="H176" s="27"/>
      <c r="I176" s="27"/>
      <c r="J176" s="27"/>
      <c r="K176" s="27"/>
      <c r="L176" s="27"/>
      <c r="N176" s="27"/>
      <c r="O176" s="27"/>
      <c r="P176" s="27"/>
      <c r="Q176" s="117" t="s">
        <v>741</v>
      </c>
      <c r="T176" s="141" t="str">
        <f t="shared" si="36"/>
        <v xml:space="preserve"> </v>
      </c>
      <c r="X176" s="119" t="s">
        <v>742</v>
      </c>
      <c r="Y176" s="27"/>
      <c r="AE176" s="27"/>
      <c r="AH176" s="99"/>
      <c r="BD176" s="97"/>
      <c r="BE176" s="108"/>
      <c r="BF176" s="108"/>
      <c r="BG176" s="97"/>
      <c r="BH176" s="97"/>
      <c r="BI176" s="97"/>
      <c r="BJ176" s="97"/>
      <c r="BK176" s="110"/>
      <c r="BL176" s="97"/>
      <c r="BM176" s="97"/>
      <c r="BN176" s="97"/>
      <c r="BO176" s="142"/>
      <c r="BP176" s="143">
        <f t="shared" si="25"/>
        <v>0</v>
      </c>
      <c r="BQ176" s="142"/>
      <c r="BR176" s="143">
        <f>BQ176*AX176</f>
        <v>0</v>
      </c>
      <c r="BS176" s="132"/>
      <c r="BT176" s="146">
        <f t="shared" si="27"/>
        <v>0</v>
      </c>
      <c r="BU176" s="132"/>
      <c r="BV176" s="143">
        <f t="shared" si="28"/>
        <v>0</v>
      </c>
      <c r="BW176" s="132"/>
      <c r="BX176" s="146">
        <f t="shared" si="29"/>
        <v>0</v>
      </c>
      <c r="BY176" s="132"/>
      <c r="BZ176" s="146">
        <f t="shared" si="30"/>
        <v>0</v>
      </c>
      <c r="CA176" s="132"/>
      <c r="CB176" s="146">
        <f t="shared" si="31"/>
        <v>0</v>
      </c>
      <c r="CC176" s="132"/>
      <c r="CD176" s="143">
        <f t="shared" si="32"/>
        <v>0</v>
      </c>
      <c r="CE176" s="132"/>
      <c r="CF176" s="143">
        <f t="shared" si="33"/>
        <v>0</v>
      </c>
      <c r="CG176" s="132"/>
      <c r="CH176" s="143">
        <f t="shared" si="34"/>
        <v>0</v>
      </c>
      <c r="CI176" s="132">
        <f t="shared" si="35"/>
        <v>0</v>
      </c>
      <c r="CJ176" s="143">
        <f t="shared" si="35"/>
        <v>0</v>
      </c>
    </row>
    <row r="177" spans="1:88" x14ac:dyDescent="0.3">
      <c r="A177" s="27"/>
      <c r="B177" s="27"/>
      <c r="C177" s="27"/>
      <c r="D177" s="27"/>
      <c r="E177" s="27"/>
      <c r="F177" s="27"/>
      <c r="G177" s="27"/>
      <c r="H177" s="27"/>
      <c r="I177" s="27"/>
      <c r="J177" s="27"/>
      <c r="K177" s="27"/>
      <c r="L177" s="27"/>
      <c r="N177" s="27"/>
      <c r="O177" s="27"/>
      <c r="P177" s="27"/>
      <c r="Q177" s="117" t="s">
        <v>743</v>
      </c>
      <c r="T177" s="141" t="str">
        <f t="shared" si="36"/>
        <v xml:space="preserve"> </v>
      </c>
      <c r="X177" s="119" t="s">
        <v>744</v>
      </c>
      <c r="Y177" s="27"/>
      <c r="AE177" s="27"/>
      <c r="AH177" s="99"/>
      <c r="BD177" s="97"/>
      <c r="BE177" s="108"/>
      <c r="BF177" s="108"/>
      <c r="BG177" s="97"/>
      <c r="BH177" s="97"/>
      <c r="BI177" s="97"/>
      <c r="BJ177" s="97"/>
      <c r="BK177" s="110"/>
      <c r="BL177" s="97"/>
      <c r="BM177" s="97"/>
      <c r="BN177" s="97"/>
      <c r="BO177" s="148"/>
      <c r="BP177" s="143">
        <f t="shared" si="25"/>
        <v>0</v>
      </c>
      <c r="BQ177" s="148"/>
      <c r="BR177" s="143">
        <f t="shared" si="26"/>
        <v>0</v>
      </c>
      <c r="BS177" s="132"/>
      <c r="BT177" s="146">
        <f t="shared" si="27"/>
        <v>0</v>
      </c>
      <c r="BU177" s="149"/>
      <c r="BV177" s="143">
        <f t="shared" si="28"/>
        <v>0</v>
      </c>
      <c r="BW177" s="149"/>
      <c r="BX177" s="146">
        <f t="shared" si="29"/>
        <v>0</v>
      </c>
      <c r="BY177" s="149"/>
      <c r="BZ177" s="146">
        <f t="shared" si="30"/>
        <v>0</v>
      </c>
      <c r="CA177" s="149"/>
      <c r="CB177" s="146">
        <f t="shared" si="31"/>
        <v>0</v>
      </c>
      <c r="CC177" s="149"/>
      <c r="CD177" s="143">
        <f t="shared" si="32"/>
        <v>0</v>
      </c>
      <c r="CE177" s="149"/>
      <c r="CF177" s="143">
        <f t="shared" si="33"/>
        <v>0</v>
      </c>
      <c r="CG177" s="132"/>
      <c r="CH177" s="143">
        <f t="shared" si="34"/>
        <v>0</v>
      </c>
      <c r="CI177" s="132">
        <f t="shared" si="35"/>
        <v>0</v>
      </c>
      <c r="CJ177" s="143">
        <f t="shared" si="35"/>
        <v>0</v>
      </c>
    </row>
    <row r="178" spans="1:88" x14ac:dyDescent="0.3">
      <c r="A178" s="27"/>
      <c r="B178" s="27"/>
      <c r="C178" s="27"/>
      <c r="D178" s="27"/>
      <c r="E178" s="27"/>
      <c r="F178" s="27"/>
      <c r="G178" s="27"/>
      <c r="H178" s="27"/>
      <c r="I178" s="27"/>
      <c r="J178" s="27"/>
      <c r="K178" s="27"/>
      <c r="L178" s="27"/>
      <c r="N178" s="27"/>
      <c r="O178" s="27"/>
      <c r="P178" s="27"/>
      <c r="Q178" s="117" t="s">
        <v>745</v>
      </c>
      <c r="T178" s="141" t="str">
        <f t="shared" si="36"/>
        <v xml:space="preserve"> </v>
      </c>
      <c r="X178" s="119" t="s">
        <v>746</v>
      </c>
      <c r="Y178" s="27"/>
      <c r="AE178" s="27"/>
      <c r="AH178" s="99"/>
      <c r="BD178" s="97"/>
      <c r="BE178" s="108"/>
      <c r="BF178" s="108"/>
      <c r="BG178" s="97"/>
      <c r="BH178" s="97"/>
      <c r="BI178" s="97"/>
      <c r="BJ178" s="97"/>
      <c r="BK178" s="110"/>
      <c r="BL178" s="97"/>
      <c r="BM178" s="97"/>
      <c r="BN178" s="97"/>
      <c r="BO178" s="142"/>
      <c r="BP178" s="143">
        <f t="shared" si="25"/>
        <v>0</v>
      </c>
      <c r="BQ178" s="142"/>
      <c r="BR178" s="143">
        <f t="shared" si="26"/>
        <v>0</v>
      </c>
      <c r="BS178" s="132"/>
      <c r="BT178" s="146">
        <f t="shared" si="27"/>
        <v>0</v>
      </c>
      <c r="BU178" s="132"/>
      <c r="BV178" s="143">
        <f t="shared" si="28"/>
        <v>0</v>
      </c>
      <c r="BW178" s="132"/>
      <c r="BX178" s="146">
        <f t="shared" si="29"/>
        <v>0</v>
      </c>
      <c r="BY178" s="132"/>
      <c r="BZ178" s="146">
        <f t="shared" si="30"/>
        <v>0</v>
      </c>
      <c r="CA178" s="132"/>
      <c r="CB178" s="146">
        <f t="shared" si="31"/>
        <v>0</v>
      </c>
      <c r="CC178" s="132"/>
      <c r="CD178" s="143">
        <f t="shared" si="32"/>
        <v>0</v>
      </c>
      <c r="CE178" s="132"/>
      <c r="CF178" s="143">
        <f t="shared" si="33"/>
        <v>0</v>
      </c>
      <c r="CG178" s="132"/>
      <c r="CH178" s="143">
        <f t="shared" si="34"/>
        <v>0</v>
      </c>
      <c r="CI178" s="132">
        <f t="shared" si="35"/>
        <v>0</v>
      </c>
      <c r="CJ178" s="143">
        <f t="shared" si="35"/>
        <v>0</v>
      </c>
    </row>
    <row r="179" spans="1:88" x14ac:dyDescent="0.3">
      <c r="A179" s="27"/>
      <c r="B179" s="27"/>
      <c r="C179" s="27"/>
      <c r="D179" s="27"/>
      <c r="E179" s="27"/>
      <c r="F179" s="27"/>
      <c r="G179" s="27"/>
      <c r="H179" s="27"/>
      <c r="I179" s="27"/>
      <c r="J179" s="27"/>
      <c r="K179" s="27"/>
      <c r="L179" s="27"/>
      <c r="N179" s="27"/>
      <c r="O179" s="27"/>
      <c r="P179" s="27"/>
      <c r="Q179" s="117" t="s">
        <v>747</v>
      </c>
      <c r="T179" s="141" t="str">
        <f t="shared" si="36"/>
        <v xml:space="preserve"> </v>
      </c>
      <c r="X179" s="119" t="s">
        <v>748</v>
      </c>
      <c r="Y179" s="27"/>
      <c r="AE179" s="27"/>
      <c r="AH179" s="99"/>
      <c r="BD179" s="97"/>
      <c r="BE179" s="108"/>
      <c r="BF179" s="108"/>
      <c r="BG179" s="97"/>
      <c r="BH179" s="97"/>
      <c r="BI179" s="97"/>
      <c r="BJ179" s="97"/>
      <c r="BK179" s="110"/>
      <c r="BL179" s="97"/>
      <c r="BM179" s="97"/>
      <c r="BN179" s="97"/>
      <c r="BO179" s="142"/>
      <c r="BP179" s="143">
        <f t="shared" si="25"/>
        <v>0</v>
      </c>
      <c r="BQ179" s="142"/>
      <c r="BR179" s="143">
        <f t="shared" si="26"/>
        <v>0</v>
      </c>
      <c r="BS179" s="132"/>
      <c r="BT179" s="146">
        <f t="shared" si="27"/>
        <v>0</v>
      </c>
      <c r="BU179" s="132"/>
      <c r="BV179" s="143">
        <f t="shared" si="28"/>
        <v>0</v>
      </c>
      <c r="BW179" s="132"/>
      <c r="BX179" s="146">
        <f t="shared" si="29"/>
        <v>0</v>
      </c>
      <c r="BY179" s="132"/>
      <c r="BZ179" s="146">
        <f t="shared" si="30"/>
        <v>0</v>
      </c>
      <c r="CA179" s="132"/>
      <c r="CB179" s="146">
        <f t="shared" si="31"/>
        <v>0</v>
      </c>
      <c r="CC179" s="132"/>
      <c r="CD179" s="143">
        <f t="shared" si="32"/>
        <v>0</v>
      </c>
      <c r="CE179" s="132"/>
      <c r="CF179" s="143">
        <f t="shared" si="33"/>
        <v>0</v>
      </c>
      <c r="CG179" s="132"/>
      <c r="CH179" s="143">
        <f t="shared" si="34"/>
        <v>0</v>
      </c>
      <c r="CI179" s="132">
        <f t="shared" si="35"/>
        <v>0</v>
      </c>
      <c r="CJ179" s="143">
        <f t="shared" si="35"/>
        <v>0</v>
      </c>
    </row>
    <row r="180" spans="1:88" x14ac:dyDescent="0.3">
      <c r="A180" s="27"/>
      <c r="B180" s="27"/>
      <c r="C180" s="27"/>
      <c r="D180" s="27"/>
      <c r="E180" s="27"/>
      <c r="F180" s="27"/>
      <c r="G180" s="27"/>
      <c r="H180" s="27"/>
      <c r="I180" s="27"/>
      <c r="J180" s="27"/>
      <c r="K180" s="27"/>
      <c r="L180" s="27"/>
      <c r="N180" s="27"/>
      <c r="O180" s="27"/>
      <c r="P180" s="27"/>
      <c r="Q180" s="117" t="s">
        <v>749</v>
      </c>
      <c r="T180" s="141" t="str">
        <f t="shared" si="36"/>
        <v xml:space="preserve"> </v>
      </c>
      <c r="X180" s="119" t="s">
        <v>750</v>
      </c>
      <c r="Y180" s="27"/>
      <c r="AE180" s="27"/>
      <c r="AH180" s="99"/>
      <c r="BD180" s="97"/>
      <c r="BE180" s="108"/>
      <c r="BF180" s="108"/>
      <c r="BG180" s="97"/>
      <c r="BH180" s="97"/>
      <c r="BI180" s="97"/>
      <c r="BJ180" s="97"/>
      <c r="BK180" s="110"/>
      <c r="BL180" s="97"/>
      <c r="BM180" s="97"/>
      <c r="BN180" s="97"/>
      <c r="BO180" s="142"/>
      <c r="BP180" s="143">
        <f t="shared" si="25"/>
        <v>0</v>
      </c>
      <c r="BQ180" s="142"/>
      <c r="BR180" s="143">
        <f t="shared" si="26"/>
        <v>0</v>
      </c>
      <c r="BS180" s="132"/>
      <c r="BT180" s="146">
        <f t="shared" si="27"/>
        <v>0</v>
      </c>
      <c r="BU180" s="132"/>
      <c r="BV180" s="143">
        <f t="shared" si="28"/>
        <v>0</v>
      </c>
      <c r="BW180" s="132"/>
      <c r="BX180" s="146">
        <f t="shared" si="29"/>
        <v>0</v>
      </c>
      <c r="BY180" s="132"/>
      <c r="BZ180" s="146">
        <f t="shared" si="30"/>
        <v>0</v>
      </c>
      <c r="CA180" s="132"/>
      <c r="CB180" s="146">
        <f t="shared" si="31"/>
        <v>0</v>
      </c>
      <c r="CC180" s="132"/>
      <c r="CD180" s="143">
        <f t="shared" si="32"/>
        <v>0</v>
      </c>
      <c r="CE180" s="132"/>
      <c r="CF180" s="143">
        <f t="shared" si="33"/>
        <v>0</v>
      </c>
      <c r="CG180" s="132"/>
      <c r="CH180" s="143">
        <f t="shared" si="34"/>
        <v>0</v>
      </c>
      <c r="CI180" s="132">
        <f t="shared" si="35"/>
        <v>0</v>
      </c>
      <c r="CJ180" s="143">
        <f t="shared" si="35"/>
        <v>0</v>
      </c>
    </row>
    <row r="181" spans="1:88" x14ac:dyDescent="0.3">
      <c r="A181" s="27"/>
      <c r="B181" s="27"/>
      <c r="C181" s="27"/>
      <c r="D181" s="27"/>
      <c r="E181" s="27"/>
      <c r="F181" s="27"/>
      <c r="G181" s="27"/>
      <c r="H181" s="27"/>
      <c r="I181" s="27"/>
      <c r="J181" s="27"/>
      <c r="K181" s="27"/>
      <c r="L181" s="27"/>
      <c r="N181" s="27"/>
      <c r="O181" s="27"/>
      <c r="P181" s="27"/>
      <c r="Q181" s="117" t="s">
        <v>340</v>
      </c>
      <c r="T181" s="141" t="str">
        <f t="shared" si="36"/>
        <v xml:space="preserve"> </v>
      </c>
      <c r="X181" s="119" t="s">
        <v>751</v>
      </c>
      <c r="Y181" s="27"/>
      <c r="AE181" s="27"/>
      <c r="AH181" s="99"/>
      <c r="BD181" s="97"/>
      <c r="BE181" s="108"/>
      <c r="BF181" s="108"/>
      <c r="BG181" s="97"/>
      <c r="BH181" s="97"/>
      <c r="BI181" s="97"/>
      <c r="BJ181" s="97"/>
      <c r="BK181" s="110"/>
      <c r="BL181" s="97"/>
      <c r="BM181" s="97"/>
      <c r="BN181" s="97"/>
      <c r="BO181" s="142"/>
      <c r="BP181" s="143">
        <f t="shared" si="25"/>
        <v>0</v>
      </c>
      <c r="BQ181" s="142"/>
      <c r="BR181" s="143">
        <f t="shared" si="26"/>
        <v>0</v>
      </c>
      <c r="BS181" s="132"/>
      <c r="BT181" s="146">
        <f t="shared" si="27"/>
        <v>0</v>
      </c>
      <c r="BU181" s="132"/>
      <c r="BV181" s="143">
        <f t="shared" si="28"/>
        <v>0</v>
      </c>
      <c r="BW181" s="132"/>
      <c r="BX181" s="146">
        <f t="shared" si="29"/>
        <v>0</v>
      </c>
      <c r="BY181" s="132"/>
      <c r="BZ181" s="146">
        <f t="shared" si="30"/>
        <v>0</v>
      </c>
      <c r="CA181" s="132"/>
      <c r="CB181" s="146">
        <f t="shared" si="31"/>
        <v>0</v>
      </c>
      <c r="CC181" s="132"/>
      <c r="CD181" s="143">
        <f t="shared" si="32"/>
        <v>0</v>
      </c>
      <c r="CE181" s="132"/>
      <c r="CF181" s="143">
        <f t="shared" si="33"/>
        <v>0</v>
      </c>
      <c r="CG181" s="132"/>
      <c r="CH181" s="143">
        <f t="shared" si="34"/>
        <v>0</v>
      </c>
      <c r="CI181" s="132">
        <f t="shared" si="35"/>
        <v>0</v>
      </c>
      <c r="CJ181" s="143">
        <f t="shared" si="35"/>
        <v>0</v>
      </c>
    </row>
    <row r="182" spans="1:88" x14ac:dyDescent="0.3">
      <c r="A182" s="27"/>
      <c r="B182" s="27"/>
      <c r="C182" s="27"/>
      <c r="D182" s="27"/>
      <c r="E182" s="27"/>
      <c r="F182" s="27"/>
      <c r="G182" s="27"/>
      <c r="H182" s="27"/>
      <c r="I182" s="27"/>
      <c r="J182" s="27"/>
      <c r="K182" s="27"/>
      <c r="L182" s="27"/>
      <c r="N182" s="27"/>
      <c r="O182" s="27"/>
      <c r="P182" s="27"/>
      <c r="Q182" s="117" t="s">
        <v>752</v>
      </c>
      <c r="T182" s="141" t="str">
        <f t="shared" si="36"/>
        <v xml:space="preserve"> </v>
      </c>
      <c r="X182" s="119" t="s">
        <v>753</v>
      </c>
      <c r="Y182" s="27"/>
      <c r="AE182" s="27"/>
      <c r="AH182" s="99"/>
      <c r="BD182" s="97"/>
      <c r="BE182" s="108"/>
      <c r="BF182" s="108"/>
      <c r="BG182" s="97"/>
      <c r="BH182" s="97"/>
      <c r="BI182" s="97"/>
      <c r="BJ182" s="97"/>
      <c r="BK182" s="110"/>
      <c r="BL182" s="97"/>
      <c r="BM182" s="97"/>
      <c r="BN182" s="97"/>
      <c r="BO182" s="152"/>
      <c r="BP182" s="143">
        <f t="shared" si="25"/>
        <v>0</v>
      </c>
      <c r="BQ182" s="152"/>
      <c r="BR182" s="143">
        <f t="shared" si="26"/>
        <v>0</v>
      </c>
      <c r="BS182" s="132"/>
      <c r="BT182" s="146">
        <f t="shared" si="27"/>
        <v>0</v>
      </c>
      <c r="BU182" s="97"/>
      <c r="BV182" s="143">
        <f t="shared" si="28"/>
        <v>0</v>
      </c>
      <c r="BW182" s="97"/>
      <c r="BX182" s="146">
        <f t="shared" si="29"/>
        <v>0</v>
      </c>
      <c r="BY182" s="97"/>
      <c r="BZ182" s="146">
        <f t="shared" si="30"/>
        <v>0</v>
      </c>
      <c r="CA182" s="97"/>
      <c r="CB182" s="146">
        <f t="shared" si="31"/>
        <v>0</v>
      </c>
      <c r="CC182" s="97"/>
      <c r="CD182" s="143">
        <f t="shared" si="32"/>
        <v>0</v>
      </c>
      <c r="CE182" s="97"/>
      <c r="CF182" s="143">
        <f t="shared" si="33"/>
        <v>0</v>
      </c>
      <c r="CG182" s="132"/>
      <c r="CH182" s="143">
        <f t="shared" si="34"/>
        <v>0</v>
      </c>
      <c r="CI182" s="132">
        <f t="shared" si="35"/>
        <v>0</v>
      </c>
      <c r="CJ182" s="143">
        <f t="shared" si="35"/>
        <v>0</v>
      </c>
    </row>
    <row r="183" spans="1:88" x14ac:dyDescent="0.3">
      <c r="A183" s="27"/>
      <c r="B183" s="27"/>
      <c r="C183" s="27"/>
      <c r="D183" s="27"/>
      <c r="E183" s="27"/>
      <c r="F183" s="27"/>
      <c r="G183" s="27"/>
      <c r="H183" s="27"/>
      <c r="I183" s="27"/>
      <c r="J183" s="27"/>
      <c r="K183" s="27"/>
      <c r="L183" s="27"/>
      <c r="N183" s="27"/>
      <c r="O183" s="27"/>
      <c r="P183" s="27"/>
      <c r="Q183" s="117" t="s">
        <v>754</v>
      </c>
      <c r="T183" s="141" t="str">
        <f t="shared" si="36"/>
        <v xml:space="preserve"> </v>
      </c>
      <c r="X183" s="119" t="s">
        <v>755</v>
      </c>
      <c r="Y183" s="27"/>
      <c r="AE183" s="27"/>
      <c r="AH183" s="99"/>
      <c r="BD183" s="97"/>
      <c r="BE183" s="108"/>
      <c r="BF183" s="108"/>
      <c r="BG183" s="97"/>
      <c r="BH183" s="97"/>
      <c r="BI183" s="97"/>
      <c r="BJ183" s="97"/>
      <c r="BK183" s="110"/>
      <c r="BL183" s="97"/>
      <c r="BM183" s="97"/>
      <c r="BN183" s="97"/>
      <c r="BO183" s="142"/>
      <c r="BP183" s="143">
        <f t="shared" si="25"/>
        <v>0</v>
      </c>
      <c r="BQ183" s="142"/>
      <c r="BR183" s="143">
        <f t="shared" si="26"/>
        <v>0</v>
      </c>
      <c r="BS183" s="132"/>
      <c r="BT183" s="146">
        <f t="shared" si="27"/>
        <v>0</v>
      </c>
      <c r="BU183" s="132"/>
      <c r="BV183" s="143">
        <f t="shared" si="28"/>
        <v>0</v>
      </c>
      <c r="BW183" s="132"/>
      <c r="BX183" s="146">
        <f t="shared" si="29"/>
        <v>0</v>
      </c>
      <c r="BY183" s="132"/>
      <c r="BZ183" s="146">
        <f t="shared" si="30"/>
        <v>0</v>
      </c>
      <c r="CA183" s="132"/>
      <c r="CB183" s="146">
        <f t="shared" si="31"/>
        <v>0</v>
      </c>
      <c r="CC183" s="132"/>
      <c r="CD183" s="143">
        <f t="shared" si="32"/>
        <v>0</v>
      </c>
      <c r="CE183" s="132"/>
      <c r="CF183" s="143">
        <f t="shared" si="33"/>
        <v>0</v>
      </c>
      <c r="CG183" s="132"/>
      <c r="CH183" s="143">
        <f t="shared" si="34"/>
        <v>0</v>
      </c>
      <c r="CI183" s="132">
        <f t="shared" si="35"/>
        <v>0</v>
      </c>
      <c r="CJ183" s="143">
        <f t="shared" si="35"/>
        <v>0</v>
      </c>
    </row>
    <row r="184" spans="1:88" x14ac:dyDescent="0.3">
      <c r="A184" s="27"/>
      <c r="B184" s="27"/>
      <c r="C184" s="27"/>
      <c r="D184" s="27"/>
      <c r="E184" s="27"/>
      <c r="F184" s="27"/>
      <c r="G184" s="27"/>
      <c r="H184" s="27"/>
      <c r="I184" s="27"/>
      <c r="J184" s="27"/>
      <c r="K184" s="27"/>
      <c r="L184" s="27"/>
      <c r="N184" s="27"/>
      <c r="O184" s="27"/>
      <c r="P184" s="27"/>
      <c r="Q184" s="117" t="s">
        <v>756</v>
      </c>
      <c r="T184" s="141" t="str">
        <f t="shared" si="36"/>
        <v xml:space="preserve"> </v>
      </c>
      <c r="X184" s="119" t="s">
        <v>757</v>
      </c>
      <c r="Y184" s="27"/>
      <c r="AE184" s="27"/>
      <c r="AH184" s="99"/>
      <c r="BD184" s="97"/>
      <c r="BE184" s="108"/>
      <c r="BF184" s="108"/>
      <c r="BG184" s="97"/>
      <c r="BH184" s="97"/>
      <c r="BI184" s="97"/>
      <c r="BJ184" s="97"/>
      <c r="BK184" s="110"/>
      <c r="BL184" s="97"/>
      <c r="BM184" s="97"/>
      <c r="BN184" s="97"/>
      <c r="BO184" s="142"/>
      <c r="BP184" s="143">
        <f t="shared" si="25"/>
        <v>0</v>
      </c>
      <c r="BQ184" s="142"/>
      <c r="BR184" s="143">
        <f t="shared" si="26"/>
        <v>0</v>
      </c>
      <c r="BS184" s="132"/>
      <c r="BT184" s="146">
        <f t="shared" si="27"/>
        <v>0</v>
      </c>
      <c r="BU184" s="132"/>
      <c r="BV184" s="143">
        <f t="shared" si="28"/>
        <v>0</v>
      </c>
      <c r="BW184" s="132"/>
      <c r="BX184" s="146">
        <f t="shared" si="29"/>
        <v>0</v>
      </c>
      <c r="BY184" s="132"/>
      <c r="BZ184" s="146">
        <f t="shared" si="30"/>
        <v>0</v>
      </c>
      <c r="CA184" s="132"/>
      <c r="CB184" s="146">
        <f t="shared" si="31"/>
        <v>0</v>
      </c>
      <c r="CC184" s="132"/>
      <c r="CD184" s="143">
        <f t="shared" si="32"/>
        <v>0</v>
      </c>
      <c r="CE184" s="132"/>
      <c r="CF184" s="143">
        <f t="shared" si="33"/>
        <v>0</v>
      </c>
      <c r="CG184" s="132"/>
      <c r="CH184" s="143">
        <f t="shared" si="34"/>
        <v>0</v>
      </c>
      <c r="CI184" s="132">
        <f t="shared" si="35"/>
        <v>0</v>
      </c>
      <c r="CJ184" s="143">
        <f t="shared" si="35"/>
        <v>0</v>
      </c>
    </row>
    <row r="185" spans="1:88" x14ac:dyDescent="0.3">
      <c r="A185" s="27"/>
      <c r="B185" s="27"/>
      <c r="C185" s="27"/>
      <c r="D185" s="27"/>
      <c r="E185" s="27"/>
      <c r="F185" s="27"/>
      <c r="G185" s="27"/>
      <c r="H185" s="27"/>
      <c r="I185" s="27"/>
      <c r="J185" s="27"/>
      <c r="K185" s="27"/>
      <c r="L185" s="27"/>
      <c r="N185" s="27"/>
      <c r="O185" s="27"/>
      <c r="P185" s="27"/>
      <c r="Q185" s="117" t="s">
        <v>758</v>
      </c>
      <c r="T185" s="141" t="str">
        <f t="shared" si="36"/>
        <v xml:space="preserve"> </v>
      </c>
      <c r="X185" s="119" t="s">
        <v>759</v>
      </c>
      <c r="Y185" s="27"/>
      <c r="AE185" s="27"/>
      <c r="AH185" s="99"/>
      <c r="BD185" s="97"/>
      <c r="BE185" s="108"/>
      <c r="BF185" s="108"/>
      <c r="BG185" s="97"/>
      <c r="BH185" s="97"/>
      <c r="BI185" s="97"/>
      <c r="BJ185" s="97"/>
      <c r="BK185" s="110"/>
      <c r="BL185" s="97"/>
      <c r="BM185" s="97"/>
      <c r="BN185" s="97"/>
      <c r="BO185" s="142"/>
      <c r="BP185" s="143">
        <f t="shared" si="25"/>
        <v>0</v>
      </c>
      <c r="BQ185" s="142"/>
      <c r="BR185" s="143">
        <f t="shared" si="26"/>
        <v>0</v>
      </c>
      <c r="BS185" s="132"/>
      <c r="BT185" s="146">
        <f t="shared" si="27"/>
        <v>0</v>
      </c>
      <c r="BU185" s="132"/>
      <c r="BV185" s="143">
        <f t="shared" si="28"/>
        <v>0</v>
      </c>
      <c r="BW185" s="132"/>
      <c r="BX185" s="146">
        <f t="shared" si="29"/>
        <v>0</v>
      </c>
      <c r="BY185" s="132"/>
      <c r="BZ185" s="146">
        <f t="shared" si="30"/>
        <v>0</v>
      </c>
      <c r="CA185" s="132"/>
      <c r="CB185" s="146">
        <f t="shared" si="31"/>
        <v>0</v>
      </c>
      <c r="CC185" s="132"/>
      <c r="CD185" s="143">
        <f t="shared" si="32"/>
        <v>0</v>
      </c>
      <c r="CE185" s="132"/>
      <c r="CF185" s="143">
        <f t="shared" si="33"/>
        <v>0</v>
      </c>
      <c r="CG185" s="132"/>
      <c r="CH185" s="143">
        <f t="shared" si="34"/>
        <v>0</v>
      </c>
      <c r="CI185" s="132">
        <f t="shared" si="35"/>
        <v>0</v>
      </c>
      <c r="CJ185" s="143">
        <f t="shared" si="35"/>
        <v>0</v>
      </c>
    </row>
    <row r="186" spans="1:88" x14ac:dyDescent="0.3">
      <c r="A186" s="27"/>
      <c r="B186" s="27"/>
      <c r="C186" s="27"/>
      <c r="D186" s="27"/>
      <c r="E186" s="27"/>
      <c r="F186" s="27"/>
      <c r="G186" s="27"/>
      <c r="H186" s="27"/>
      <c r="I186" s="27"/>
      <c r="J186" s="27"/>
      <c r="K186" s="27"/>
      <c r="L186" s="27"/>
      <c r="N186" s="27"/>
      <c r="O186" s="27"/>
      <c r="P186" s="27"/>
      <c r="Q186" s="117" t="s">
        <v>760</v>
      </c>
      <c r="T186" s="141" t="str">
        <f t="shared" si="36"/>
        <v xml:space="preserve"> </v>
      </c>
      <c r="X186" s="119" t="s">
        <v>761</v>
      </c>
      <c r="Y186" s="27"/>
      <c r="AE186" s="27"/>
      <c r="AH186" s="99"/>
      <c r="BD186" s="97"/>
      <c r="BE186" s="108"/>
      <c r="BF186" s="108"/>
      <c r="BG186" s="97"/>
      <c r="BH186" s="97"/>
      <c r="BI186" s="97"/>
      <c r="BJ186" s="97"/>
      <c r="BK186" s="110"/>
      <c r="BL186" s="97"/>
      <c r="BM186" s="97"/>
      <c r="BN186" s="97"/>
      <c r="BO186" s="142"/>
      <c r="BP186" s="143">
        <f t="shared" si="25"/>
        <v>0</v>
      </c>
      <c r="BQ186" s="142"/>
      <c r="BR186" s="143">
        <f t="shared" si="26"/>
        <v>0</v>
      </c>
      <c r="BS186" s="132"/>
      <c r="BT186" s="146">
        <f t="shared" si="27"/>
        <v>0</v>
      </c>
      <c r="BU186" s="132"/>
      <c r="BV186" s="143">
        <f t="shared" si="28"/>
        <v>0</v>
      </c>
      <c r="BW186" s="132"/>
      <c r="BX186" s="146">
        <f t="shared" si="29"/>
        <v>0</v>
      </c>
      <c r="BY186" s="132"/>
      <c r="BZ186" s="146">
        <f t="shared" si="30"/>
        <v>0</v>
      </c>
      <c r="CA186" s="132"/>
      <c r="CB186" s="146">
        <f t="shared" si="31"/>
        <v>0</v>
      </c>
      <c r="CC186" s="132"/>
      <c r="CD186" s="143">
        <f t="shared" si="32"/>
        <v>0</v>
      </c>
      <c r="CE186" s="132"/>
      <c r="CF186" s="143">
        <f t="shared" si="33"/>
        <v>0</v>
      </c>
      <c r="CG186" s="132"/>
      <c r="CH186" s="143">
        <f t="shared" si="34"/>
        <v>0</v>
      </c>
      <c r="CI186" s="132">
        <f t="shared" si="35"/>
        <v>0</v>
      </c>
      <c r="CJ186" s="143">
        <f t="shared" si="35"/>
        <v>0</v>
      </c>
    </row>
    <row r="187" spans="1:88" x14ac:dyDescent="0.3">
      <c r="A187" s="27"/>
      <c r="B187" s="27"/>
      <c r="C187" s="27"/>
      <c r="D187" s="27"/>
      <c r="E187" s="27"/>
      <c r="F187" s="27"/>
      <c r="G187" s="27"/>
      <c r="H187" s="27"/>
      <c r="I187" s="27"/>
      <c r="J187" s="27"/>
      <c r="K187" s="27"/>
      <c r="L187" s="27"/>
      <c r="N187" s="27"/>
      <c r="O187" s="27"/>
      <c r="P187" s="27"/>
      <c r="Q187" s="117" t="s">
        <v>762</v>
      </c>
      <c r="T187" s="141" t="str">
        <f t="shared" si="36"/>
        <v xml:space="preserve"> </v>
      </c>
      <c r="X187" s="119" t="s">
        <v>763</v>
      </c>
      <c r="Y187" s="27"/>
      <c r="AE187" s="27"/>
      <c r="AH187" s="99"/>
      <c r="BD187" s="97"/>
      <c r="BE187" s="108"/>
      <c r="BF187" s="108"/>
      <c r="BG187" s="97"/>
      <c r="BH187" s="97"/>
      <c r="BI187" s="97"/>
      <c r="BJ187" s="97"/>
      <c r="BK187" s="110"/>
      <c r="BL187" s="97"/>
      <c r="BM187" s="97"/>
      <c r="BN187" s="97"/>
      <c r="BO187" s="142"/>
      <c r="BP187" s="143">
        <f t="shared" si="25"/>
        <v>0</v>
      </c>
      <c r="BQ187" s="142"/>
      <c r="BR187" s="143">
        <f t="shared" si="26"/>
        <v>0</v>
      </c>
      <c r="BS187" s="132"/>
      <c r="BT187" s="146">
        <f t="shared" si="27"/>
        <v>0</v>
      </c>
      <c r="BU187" s="132"/>
      <c r="BV187" s="143">
        <f t="shared" si="28"/>
        <v>0</v>
      </c>
      <c r="BW187" s="132"/>
      <c r="BX187" s="146">
        <f t="shared" si="29"/>
        <v>0</v>
      </c>
      <c r="BY187" s="132"/>
      <c r="BZ187" s="146">
        <f t="shared" si="30"/>
        <v>0</v>
      </c>
      <c r="CA187" s="132"/>
      <c r="CB187" s="146">
        <f t="shared" si="31"/>
        <v>0</v>
      </c>
      <c r="CC187" s="132"/>
      <c r="CD187" s="143">
        <f t="shared" si="32"/>
        <v>0</v>
      </c>
      <c r="CE187" s="132"/>
      <c r="CF187" s="143">
        <f t="shared" si="33"/>
        <v>0</v>
      </c>
      <c r="CG187" s="132"/>
      <c r="CH187" s="143">
        <f t="shared" si="34"/>
        <v>0</v>
      </c>
      <c r="CI187" s="132">
        <f t="shared" si="35"/>
        <v>0</v>
      </c>
      <c r="CJ187" s="143">
        <f t="shared" si="35"/>
        <v>0</v>
      </c>
    </row>
    <row r="188" spans="1:88" x14ac:dyDescent="0.3">
      <c r="A188" s="27"/>
      <c r="B188" s="27"/>
      <c r="C188" s="27"/>
      <c r="D188" s="27"/>
      <c r="E188" s="27"/>
      <c r="F188" s="27"/>
      <c r="G188" s="27"/>
      <c r="H188" s="27"/>
      <c r="I188" s="27"/>
      <c r="J188" s="27"/>
      <c r="K188" s="27"/>
      <c r="L188" s="27"/>
      <c r="N188" s="27"/>
      <c r="O188" s="27"/>
      <c r="P188" s="27"/>
      <c r="Q188" s="117" t="s">
        <v>764</v>
      </c>
      <c r="T188" s="141" t="str">
        <f t="shared" si="36"/>
        <v xml:space="preserve"> </v>
      </c>
      <c r="X188" s="119" t="s">
        <v>765</v>
      </c>
      <c r="Y188" s="27"/>
      <c r="AE188" s="27"/>
      <c r="AH188" s="99"/>
      <c r="BD188" s="97"/>
      <c r="BE188" s="108"/>
      <c r="BF188" s="108"/>
      <c r="BG188" s="97"/>
      <c r="BH188" s="97"/>
      <c r="BI188" s="97"/>
      <c r="BJ188" s="97"/>
      <c r="BK188" s="110"/>
      <c r="BL188" s="97"/>
      <c r="BM188" s="97"/>
      <c r="BN188" s="97"/>
      <c r="BO188" s="142"/>
      <c r="BP188" s="143">
        <f t="shared" si="25"/>
        <v>0</v>
      </c>
      <c r="BQ188" s="142"/>
      <c r="BR188" s="143">
        <f t="shared" si="26"/>
        <v>0</v>
      </c>
      <c r="BS188" s="132"/>
      <c r="BT188" s="146">
        <f t="shared" si="27"/>
        <v>0</v>
      </c>
      <c r="BU188" s="132"/>
      <c r="BV188" s="143">
        <f t="shared" si="28"/>
        <v>0</v>
      </c>
      <c r="BW188" s="132"/>
      <c r="BX188" s="146">
        <f t="shared" si="29"/>
        <v>0</v>
      </c>
      <c r="BY188" s="132"/>
      <c r="BZ188" s="146">
        <f t="shared" si="30"/>
        <v>0</v>
      </c>
      <c r="CA188" s="132"/>
      <c r="CB188" s="146">
        <f t="shared" si="31"/>
        <v>0</v>
      </c>
      <c r="CC188" s="132"/>
      <c r="CD188" s="143">
        <f t="shared" si="32"/>
        <v>0</v>
      </c>
      <c r="CE188" s="132"/>
      <c r="CF188" s="143">
        <f t="shared" si="33"/>
        <v>0</v>
      </c>
      <c r="CG188" s="132"/>
      <c r="CH188" s="143">
        <f t="shared" si="34"/>
        <v>0</v>
      </c>
      <c r="CI188" s="132">
        <f t="shared" si="35"/>
        <v>0</v>
      </c>
      <c r="CJ188" s="143">
        <f t="shared" si="35"/>
        <v>0</v>
      </c>
    </row>
    <row r="189" spans="1:88" x14ac:dyDescent="0.3">
      <c r="A189" s="27"/>
      <c r="B189" s="27"/>
      <c r="C189" s="27"/>
      <c r="D189" s="27"/>
      <c r="E189" s="27"/>
      <c r="F189" s="27"/>
      <c r="G189" s="27"/>
      <c r="H189" s="27"/>
      <c r="I189" s="27"/>
      <c r="J189" s="27"/>
      <c r="K189" s="27"/>
      <c r="L189" s="27"/>
      <c r="N189" s="27"/>
      <c r="O189" s="27"/>
      <c r="P189" s="27"/>
      <c r="Q189" s="117" t="s">
        <v>766</v>
      </c>
      <c r="T189" s="141" t="str">
        <f t="shared" si="36"/>
        <v xml:space="preserve"> </v>
      </c>
      <c r="X189" s="119" t="s">
        <v>767</v>
      </c>
      <c r="Y189" s="27"/>
      <c r="AE189" s="27"/>
      <c r="AH189" s="99"/>
      <c r="BD189" s="97"/>
      <c r="BE189" s="108"/>
      <c r="BF189" s="108"/>
      <c r="BG189" s="97"/>
      <c r="BH189" s="97"/>
      <c r="BI189" s="97"/>
      <c r="BJ189" s="97"/>
      <c r="BK189" s="110"/>
      <c r="BL189" s="97"/>
      <c r="BM189" s="97"/>
      <c r="BN189" s="97"/>
      <c r="BO189" s="142"/>
      <c r="BP189" s="143">
        <f t="shared" si="25"/>
        <v>0</v>
      </c>
      <c r="BQ189" s="142"/>
      <c r="BR189" s="143">
        <f t="shared" si="26"/>
        <v>0</v>
      </c>
      <c r="BS189" s="132"/>
      <c r="BT189" s="146">
        <f t="shared" si="27"/>
        <v>0</v>
      </c>
      <c r="BU189" s="132"/>
      <c r="BV189" s="143">
        <f t="shared" si="28"/>
        <v>0</v>
      </c>
      <c r="BW189" s="132"/>
      <c r="BX189" s="146">
        <f t="shared" si="29"/>
        <v>0</v>
      </c>
      <c r="BY189" s="132"/>
      <c r="BZ189" s="146">
        <f t="shared" si="30"/>
        <v>0</v>
      </c>
      <c r="CA189" s="132"/>
      <c r="CB189" s="146">
        <f t="shared" si="31"/>
        <v>0</v>
      </c>
      <c r="CC189" s="132"/>
      <c r="CD189" s="143">
        <f t="shared" si="32"/>
        <v>0</v>
      </c>
      <c r="CE189" s="132"/>
      <c r="CF189" s="143">
        <f t="shared" si="33"/>
        <v>0</v>
      </c>
      <c r="CG189" s="132"/>
      <c r="CH189" s="143">
        <f t="shared" si="34"/>
        <v>0</v>
      </c>
      <c r="CI189" s="132">
        <f t="shared" si="35"/>
        <v>0</v>
      </c>
      <c r="CJ189" s="143">
        <f t="shared" si="35"/>
        <v>0</v>
      </c>
    </row>
    <row r="190" spans="1:88" x14ac:dyDescent="0.3">
      <c r="A190" s="27"/>
      <c r="B190" s="27"/>
      <c r="C190" s="27"/>
      <c r="D190" s="27"/>
      <c r="E190" s="27"/>
      <c r="F190" s="27"/>
      <c r="G190" s="27"/>
      <c r="H190" s="27"/>
      <c r="I190" s="27"/>
      <c r="J190" s="27"/>
      <c r="K190" s="27"/>
      <c r="L190" s="27"/>
      <c r="N190" s="27"/>
      <c r="O190" s="27"/>
      <c r="P190" s="27"/>
      <c r="Q190" s="117" t="s">
        <v>768</v>
      </c>
      <c r="T190" s="141" t="str">
        <f t="shared" si="36"/>
        <v xml:space="preserve"> </v>
      </c>
      <c r="X190" s="119" t="s">
        <v>769</v>
      </c>
      <c r="Y190" s="27"/>
      <c r="AE190" s="27"/>
      <c r="AH190" s="99"/>
      <c r="BD190" s="97"/>
      <c r="BE190" s="108"/>
      <c r="BF190" s="108"/>
      <c r="BG190" s="97"/>
      <c r="BH190" s="97"/>
      <c r="BI190" s="97"/>
      <c r="BJ190" s="97"/>
      <c r="BK190" s="110"/>
      <c r="BL190" s="97"/>
      <c r="BM190" s="97"/>
      <c r="BN190" s="97"/>
      <c r="BO190" s="142"/>
      <c r="BP190" s="143">
        <f t="shared" si="25"/>
        <v>0</v>
      </c>
      <c r="BQ190" s="142"/>
      <c r="BR190" s="143">
        <f t="shared" si="26"/>
        <v>0</v>
      </c>
      <c r="BS190" s="132"/>
      <c r="BT190" s="146">
        <f t="shared" si="27"/>
        <v>0</v>
      </c>
      <c r="BU190" s="132"/>
      <c r="BV190" s="143">
        <f t="shared" si="28"/>
        <v>0</v>
      </c>
      <c r="BW190" s="132"/>
      <c r="BX190" s="146">
        <f t="shared" si="29"/>
        <v>0</v>
      </c>
      <c r="BY190" s="132"/>
      <c r="BZ190" s="146">
        <f t="shared" si="30"/>
        <v>0</v>
      </c>
      <c r="CA190" s="132"/>
      <c r="CB190" s="146">
        <f t="shared" si="31"/>
        <v>0</v>
      </c>
      <c r="CC190" s="132"/>
      <c r="CD190" s="143">
        <f t="shared" si="32"/>
        <v>0</v>
      </c>
      <c r="CE190" s="132"/>
      <c r="CF190" s="143">
        <f t="shared" si="33"/>
        <v>0</v>
      </c>
      <c r="CG190" s="132"/>
      <c r="CH190" s="143">
        <f t="shared" si="34"/>
        <v>0</v>
      </c>
      <c r="CI190" s="132">
        <f t="shared" si="35"/>
        <v>0</v>
      </c>
      <c r="CJ190" s="143">
        <f t="shared" si="35"/>
        <v>0</v>
      </c>
    </row>
    <row r="191" spans="1:88" x14ac:dyDescent="0.3">
      <c r="A191" s="27"/>
      <c r="B191" s="27"/>
      <c r="C191" s="27"/>
      <c r="D191" s="27"/>
      <c r="E191" s="27"/>
      <c r="F191" s="27"/>
      <c r="G191" s="27"/>
      <c r="H191" s="27"/>
      <c r="I191" s="27"/>
      <c r="J191" s="27"/>
      <c r="K191" s="27"/>
      <c r="L191" s="27"/>
      <c r="N191" s="27"/>
      <c r="O191" s="27"/>
      <c r="P191" s="27"/>
      <c r="Q191" s="117" t="s">
        <v>352</v>
      </c>
      <c r="T191" s="141" t="str">
        <f t="shared" si="36"/>
        <v xml:space="preserve"> </v>
      </c>
      <c r="X191" s="119" t="s">
        <v>770</v>
      </c>
      <c r="Y191" s="27"/>
      <c r="AE191" s="27"/>
      <c r="AH191" s="99"/>
      <c r="BD191" s="97"/>
      <c r="BE191" s="108"/>
      <c r="BF191" s="108"/>
      <c r="BG191" s="97"/>
      <c r="BH191" s="97"/>
      <c r="BI191" s="97"/>
      <c r="BJ191" s="97"/>
      <c r="BK191" s="110"/>
      <c r="BL191" s="97"/>
      <c r="BM191" s="97"/>
      <c r="BN191" s="97"/>
      <c r="BO191" s="142"/>
      <c r="BP191" s="143">
        <f t="shared" si="25"/>
        <v>0</v>
      </c>
      <c r="BQ191" s="142"/>
      <c r="BR191" s="143">
        <f t="shared" si="26"/>
        <v>0</v>
      </c>
      <c r="BS191" s="132"/>
      <c r="BT191" s="146">
        <f t="shared" si="27"/>
        <v>0</v>
      </c>
      <c r="BU191" s="132"/>
      <c r="BV191" s="143">
        <f t="shared" si="28"/>
        <v>0</v>
      </c>
      <c r="BW191" s="132"/>
      <c r="BX191" s="146">
        <f t="shared" si="29"/>
        <v>0</v>
      </c>
      <c r="BY191" s="132"/>
      <c r="BZ191" s="146">
        <f t="shared" si="30"/>
        <v>0</v>
      </c>
      <c r="CA191" s="132"/>
      <c r="CB191" s="146">
        <f t="shared" si="31"/>
        <v>0</v>
      </c>
      <c r="CC191" s="132"/>
      <c r="CD191" s="143">
        <f t="shared" si="32"/>
        <v>0</v>
      </c>
      <c r="CE191" s="132"/>
      <c r="CF191" s="143">
        <f t="shared" si="33"/>
        <v>0</v>
      </c>
      <c r="CG191" s="132"/>
      <c r="CH191" s="143">
        <f t="shared" si="34"/>
        <v>0</v>
      </c>
      <c r="CI191" s="132">
        <f t="shared" si="35"/>
        <v>0</v>
      </c>
      <c r="CJ191" s="143">
        <f t="shared" si="35"/>
        <v>0</v>
      </c>
    </row>
    <row r="192" spans="1:88" x14ac:dyDescent="0.3">
      <c r="A192" s="27"/>
      <c r="B192" s="27"/>
      <c r="C192" s="27"/>
      <c r="D192" s="27"/>
      <c r="E192" s="27"/>
      <c r="F192" s="27"/>
      <c r="G192" s="27"/>
      <c r="H192" s="27"/>
      <c r="I192" s="27"/>
      <c r="J192" s="27"/>
      <c r="K192" s="27"/>
      <c r="L192" s="27"/>
      <c r="N192" s="27"/>
      <c r="O192" s="27"/>
      <c r="P192" s="27"/>
      <c r="Q192" s="117" t="s">
        <v>771</v>
      </c>
      <c r="T192" s="141" t="str">
        <f t="shared" si="36"/>
        <v xml:space="preserve"> </v>
      </c>
      <c r="X192" s="119" t="s">
        <v>772</v>
      </c>
      <c r="Y192" s="27"/>
      <c r="AE192" s="27"/>
      <c r="AH192" s="99"/>
      <c r="BD192" s="97"/>
      <c r="BE192" s="108"/>
      <c r="BF192" s="108"/>
      <c r="BG192" s="97"/>
      <c r="BH192" s="97"/>
      <c r="BI192" s="97"/>
      <c r="BJ192" s="97"/>
      <c r="BK192" s="110"/>
      <c r="BL192" s="97"/>
      <c r="BM192" s="97"/>
      <c r="BN192" s="97"/>
      <c r="BO192" s="142"/>
      <c r="BP192" s="143">
        <f t="shared" si="25"/>
        <v>0</v>
      </c>
      <c r="BQ192" s="142"/>
      <c r="BR192" s="143">
        <f t="shared" si="26"/>
        <v>0</v>
      </c>
      <c r="BS192" s="132"/>
      <c r="BT192" s="146">
        <f t="shared" si="27"/>
        <v>0</v>
      </c>
      <c r="BU192" s="132"/>
      <c r="BV192" s="143">
        <f t="shared" si="28"/>
        <v>0</v>
      </c>
      <c r="BW192" s="132"/>
      <c r="BX192" s="146">
        <f t="shared" si="29"/>
        <v>0</v>
      </c>
      <c r="BY192" s="132"/>
      <c r="BZ192" s="146">
        <f t="shared" si="30"/>
        <v>0</v>
      </c>
      <c r="CA192" s="132"/>
      <c r="CB192" s="146">
        <f t="shared" si="31"/>
        <v>0</v>
      </c>
      <c r="CC192" s="132"/>
      <c r="CD192" s="143">
        <f t="shared" si="32"/>
        <v>0</v>
      </c>
      <c r="CE192" s="132"/>
      <c r="CF192" s="143">
        <f t="shared" si="33"/>
        <v>0</v>
      </c>
      <c r="CG192" s="132"/>
      <c r="CH192" s="143">
        <f t="shared" si="34"/>
        <v>0</v>
      </c>
      <c r="CI192" s="132">
        <f t="shared" si="35"/>
        <v>0</v>
      </c>
      <c r="CJ192" s="143">
        <f t="shared" si="35"/>
        <v>0</v>
      </c>
    </row>
    <row r="193" spans="1:88" x14ac:dyDescent="0.3">
      <c r="A193" s="27"/>
      <c r="B193" s="27"/>
      <c r="C193" s="27"/>
      <c r="D193" s="27"/>
      <c r="E193" s="27"/>
      <c r="F193" s="27"/>
      <c r="G193" s="27"/>
      <c r="H193" s="27"/>
      <c r="I193" s="27"/>
      <c r="J193" s="27"/>
      <c r="K193" s="27"/>
      <c r="L193" s="27"/>
      <c r="N193" s="27"/>
      <c r="O193" s="27"/>
      <c r="P193" s="27"/>
      <c r="Q193" s="117" t="s">
        <v>773</v>
      </c>
      <c r="T193" s="141" t="str">
        <f t="shared" si="36"/>
        <v xml:space="preserve"> </v>
      </c>
      <c r="X193" s="119" t="s">
        <v>774</v>
      </c>
      <c r="Y193" s="27"/>
      <c r="AE193" s="27"/>
      <c r="AH193" s="99"/>
      <c r="BD193" s="97"/>
      <c r="BE193" s="108"/>
      <c r="BF193" s="108"/>
      <c r="BG193" s="97"/>
      <c r="BH193" s="97"/>
      <c r="BI193" s="97"/>
      <c r="BJ193" s="97"/>
      <c r="BK193" s="110"/>
      <c r="BL193" s="97"/>
      <c r="BM193" s="97"/>
      <c r="BN193" s="97"/>
      <c r="BO193" s="142"/>
      <c r="BP193" s="143">
        <f t="shared" si="25"/>
        <v>0</v>
      </c>
      <c r="BQ193" s="142"/>
      <c r="BR193" s="143">
        <f t="shared" si="26"/>
        <v>0</v>
      </c>
      <c r="BS193" s="132"/>
      <c r="BT193" s="146">
        <f t="shared" si="27"/>
        <v>0</v>
      </c>
      <c r="BU193" s="132"/>
      <c r="BV193" s="143">
        <f t="shared" si="28"/>
        <v>0</v>
      </c>
      <c r="BW193" s="132"/>
      <c r="BX193" s="146">
        <f t="shared" si="29"/>
        <v>0</v>
      </c>
      <c r="BY193" s="132"/>
      <c r="BZ193" s="146">
        <f t="shared" si="30"/>
        <v>0</v>
      </c>
      <c r="CA193" s="132"/>
      <c r="CB193" s="146">
        <f t="shared" si="31"/>
        <v>0</v>
      </c>
      <c r="CC193" s="132"/>
      <c r="CD193" s="143">
        <f t="shared" si="32"/>
        <v>0</v>
      </c>
      <c r="CE193" s="132"/>
      <c r="CF193" s="143">
        <f t="shared" si="33"/>
        <v>0</v>
      </c>
      <c r="CG193" s="132"/>
      <c r="CH193" s="143">
        <f t="shared" si="34"/>
        <v>0</v>
      </c>
      <c r="CI193" s="132">
        <f t="shared" si="35"/>
        <v>0</v>
      </c>
      <c r="CJ193" s="143">
        <f t="shared" si="35"/>
        <v>0</v>
      </c>
    </row>
    <row r="194" spans="1:88" x14ac:dyDescent="0.3">
      <c r="A194" s="27"/>
      <c r="B194" s="27"/>
      <c r="C194" s="27"/>
      <c r="D194" s="27"/>
      <c r="E194" s="27"/>
      <c r="F194" s="27"/>
      <c r="G194" s="27"/>
      <c r="H194" s="27"/>
      <c r="I194" s="27"/>
      <c r="J194" s="27"/>
      <c r="K194" s="27"/>
      <c r="L194" s="27"/>
      <c r="N194" s="27"/>
      <c r="O194" s="27"/>
      <c r="P194" s="27"/>
      <c r="Q194" s="117" t="s">
        <v>775</v>
      </c>
      <c r="T194" s="141" t="str">
        <f t="shared" si="36"/>
        <v xml:space="preserve"> </v>
      </c>
      <c r="X194" s="119" t="s">
        <v>776</v>
      </c>
      <c r="Y194" s="27"/>
      <c r="AE194" s="27"/>
      <c r="AH194" s="99"/>
      <c r="BD194" s="97"/>
      <c r="BE194" s="108"/>
      <c r="BF194" s="108"/>
      <c r="BG194" s="97"/>
      <c r="BH194" s="97"/>
      <c r="BI194" s="97"/>
      <c r="BJ194" s="97"/>
      <c r="BK194" s="110"/>
      <c r="BL194" s="97"/>
      <c r="BM194" s="97"/>
      <c r="BN194" s="97"/>
      <c r="BO194" s="142"/>
      <c r="BP194" s="143">
        <f t="shared" si="25"/>
        <v>0</v>
      </c>
      <c r="BQ194" s="142"/>
      <c r="BR194" s="143">
        <f t="shared" si="26"/>
        <v>0</v>
      </c>
      <c r="BS194" s="132"/>
      <c r="BT194" s="146">
        <f t="shared" si="27"/>
        <v>0</v>
      </c>
      <c r="BU194" s="132"/>
      <c r="BV194" s="143">
        <f t="shared" si="28"/>
        <v>0</v>
      </c>
      <c r="BW194" s="132"/>
      <c r="BX194" s="146">
        <f t="shared" si="29"/>
        <v>0</v>
      </c>
      <c r="BY194" s="132"/>
      <c r="BZ194" s="146">
        <f t="shared" si="30"/>
        <v>0</v>
      </c>
      <c r="CA194" s="132"/>
      <c r="CB194" s="146">
        <f t="shared" si="31"/>
        <v>0</v>
      </c>
      <c r="CC194" s="132"/>
      <c r="CD194" s="143">
        <f t="shared" si="32"/>
        <v>0</v>
      </c>
      <c r="CE194" s="132"/>
      <c r="CF194" s="143">
        <f t="shared" si="33"/>
        <v>0</v>
      </c>
      <c r="CG194" s="132"/>
      <c r="CH194" s="143">
        <f t="shared" si="34"/>
        <v>0</v>
      </c>
      <c r="CI194" s="132">
        <f t="shared" si="35"/>
        <v>0</v>
      </c>
      <c r="CJ194" s="143">
        <f t="shared" si="35"/>
        <v>0</v>
      </c>
    </row>
    <row r="195" spans="1:88" x14ac:dyDescent="0.3">
      <c r="A195" s="27"/>
      <c r="B195" s="27"/>
      <c r="C195" s="27"/>
      <c r="D195" s="27"/>
      <c r="E195" s="27"/>
      <c r="F195" s="27"/>
      <c r="G195" s="27"/>
      <c r="H195" s="27"/>
      <c r="I195" s="27"/>
      <c r="J195" s="27"/>
      <c r="K195" s="27"/>
      <c r="L195" s="27"/>
      <c r="N195" s="27"/>
      <c r="O195" s="27"/>
      <c r="P195" s="27"/>
      <c r="Q195" s="117" t="s">
        <v>777</v>
      </c>
      <c r="T195" s="141" t="str">
        <f t="shared" si="36"/>
        <v xml:space="preserve"> </v>
      </c>
      <c r="X195" s="119" t="s">
        <v>778</v>
      </c>
      <c r="Y195" s="27"/>
      <c r="AE195" s="27"/>
      <c r="AH195" s="99"/>
      <c r="BD195" s="97"/>
      <c r="BE195" s="108"/>
      <c r="BF195" s="108"/>
      <c r="BG195" s="97"/>
      <c r="BH195" s="97"/>
      <c r="BI195" s="97"/>
      <c r="BJ195" s="97"/>
      <c r="BK195" s="110"/>
      <c r="BL195" s="97"/>
      <c r="BM195" s="97"/>
      <c r="BN195" s="97"/>
      <c r="BO195" s="142"/>
      <c r="BP195" s="143">
        <f t="shared" si="25"/>
        <v>0</v>
      </c>
      <c r="BQ195" s="142"/>
      <c r="BR195" s="143">
        <f t="shared" si="26"/>
        <v>0</v>
      </c>
      <c r="BS195" s="132"/>
      <c r="BT195" s="146">
        <f t="shared" si="27"/>
        <v>0</v>
      </c>
      <c r="BU195" s="132"/>
      <c r="BV195" s="143">
        <f t="shared" si="28"/>
        <v>0</v>
      </c>
      <c r="BW195" s="132"/>
      <c r="BX195" s="146">
        <f t="shared" si="29"/>
        <v>0</v>
      </c>
      <c r="BY195" s="132"/>
      <c r="BZ195" s="146">
        <f t="shared" si="30"/>
        <v>0</v>
      </c>
      <c r="CA195" s="132"/>
      <c r="CB195" s="146">
        <f t="shared" si="31"/>
        <v>0</v>
      </c>
      <c r="CC195" s="132"/>
      <c r="CD195" s="143">
        <f t="shared" si="32"/>
        <v>0</v>
      </c>
      <c r="CE195" s="132"/>
      <c r="CF195" s="143">
        <f t="shared" si="33"/>
        <v>0</v>
      </c>
      <c r="CG195" s="132"/>
      <c r="CH195" s="143">
        <f t="shared" si="34"/>
        <v>0</v>
      </c>
      <c r="CI195" s="132">
        <f t="shared" si="35"/>
        <v>0</v>
      </c>
      <c r="CJ195" s="143">
        <f t="shared" si="35"/>
        <v>0</v>
      </c>
    </row>
    <row r="196" spans="1:88" x14ac:dyDescent="0.3">
      <c r="A196" s="27"/>
      <c r="B196" s="27"/>
      <c r="C196" s="27"/>
      <c r="D196" s="27"/>
      <c r="E196" s="27"/>
      <c r="F196" s="27"/>
      <c r="G196" s="27"/>
      <c r="H196" s="27"/>
      <c r="I196" s="27"/>
      <c r="J196" s="27"/>
      <c r="K196" s="27"/>
      <c r="L196" s="27"/>
      <c r="N196" s="27"/>
      <c r="O196" s="27"/>
      <c r="P196" s="27"/>
      <c r="Q196" s="117" t="s">
        <v>779</v>
      </c>
      <c r="T196" s="141" t="str">
        <f t="shared" si="36"/>
        <v xml:space="preserve"> </v>
      </c>
      <c r="X196" s="119" t="s">
        <v>780</v>
      </c>
      <c r="Y196" s="27"/>
      <c r="AE196" s="27"/>
      <c r="AH196" s="99"/>
      <c r="BD196" s="97"/>
      <c r="BE196" s="108"/>
      <c r="BF196" s="108"/>
      <c r="BG196" s="97"/>
      <c r="BH196" s="97"/>
      <c r="BI196" s="97"/>
      <c r="BJ196" s="97"/>
      <c r="BK196" s="110"/>
      <c r="BL196" s="97"/>
      <c r="BM196" s="97"/>
      <c r="BN196" s="97"/>
      <c r="BO196" s="142"/>
      <c r="BP196" s="143">
        <f t="shared" si="25"/>
        <v>0</v>
      </c>
      <c r="BQ196" s="142"/>
      <c r="BR196" s="143">
        <f t="shared" si="26"/>
        <v>0</v>
      </c>
      <c r="BS196" s="132"/>
      <c r="BT196" s="146">
        <f t="shared" si="27"/>
        <v>0</v>
      </c>
      <c r="BU196" s="132"/>
      <c r="BV196" s="143">
        <f t="shared" si="28"/>
        <v>0</v>
      </c>
      <c r="BW196" s="132"/>
      <c r="BX196" s="146">
        <f t="shared" si="29"/>
        <v>0</v>
      </c>
      <c r="BY196" s="132"/>
      <c r="BZ196" s="146">
        <f t="shared" si="30"/>
        <v>0</v>
      </c>
      <c r="CA196" s="132"/>
      <c r="CB196" s="146">
        <f t="shared" si="31"/>
        <v>0</v>
      </c>
      <c r="CC196" s="132"/>
      <c r="CD196" s="143">
        <f t="shared" si="32"/>
        <v>0</v>
      </c>
      <c r="CE196" s="132"/>
      <c r="CF196" s="143">
        <f t="shared" si="33"/>
        <v>0</v>
      </c>
      <c r="CG196" s="132"/>
      <c r="CH196" s="143">
        <f t="shared" si="34"/>
        <v>0</v>
      </c>
      <c r="CI196" s="132">
        <f t="shared" si="35"/>
        <v>0</v>
      </c>
      <c r="CJ196" s="143">
        <f t="shared" si="35"/>
        <v>0</v>
      </c>
    </row>
    <row r="197" spans="1:88" x14ac:dyDescent="0.3">
      <c r="A197" s="27"/>
      <c r="B197" s="27"/>
      <c r="C197" s="27"/>
      <c r="D197" s="27"/>
      <c r="E197" s="27"/>
      <c r="F197" s="27"/>
      <c r="G197" s="27"/>
      <c r="H197" s="27"/>
      <c r="I197" s="27"/>
      <c r="J197" s="27"/>
      <c r="K197" s="27"/>
      <c r="L197" s="27"/>
      <c r="N197" s="27"/>
      <c r="O197" s="27"/>
      <c r="P197" s="27"/>
      <c r="Q197" s="117" t="s">
        <v>781</v>
      </c>
      <c r="T197" s="141" t="str">
        <f t="shared" si="36"/>
        <v xml:space="preserve"> </v>
      </c>
      <c r="X197" s="119" t="s">
        <v>782</v>
      </c>
      <c r="Y197" s="27"/>
      <c r="AE197" s="27"/>
      <c r="AH197" s="99"/>
      <c r="BD197" s="97"/>
      <c r="BE197" s="108"/>
      <c r="BF197" s="108"/>
      <c r="BG197" s="97"/>
      <c r="BH197" s="97"/>
      <c r="BI197" s="97"/>
      <c r="BJ197" s="97"/>
      <c r="BK197" s="110"/>
      <c r="BL197" s="97"/>
      <c r="BM197" s="97"/>
      <c r="BN197" s="97"/>
      <c r="BO197" s="142"/>
      <c r="BP197" s="143">
        <f t="shared" si="25"/>
        <v>0</v>
      </c>
      <c r="BQ197" s="142"/>
      <c r="BR197" s="143">
        <f t="shared" si="26"/>
        <v>0</v>
      </c>
      <c r="BS197" s="132"/>
      <c r="BT197" s="146">
        <f t="shared" si="27"/>
        <v>0</v>
      </c>
      <c r="BU197" s="132"/>
      <c r="BV197" s="143">
        <f t="shared" si="28"/>
        <v>0</v>
      </c>
      <c r="BW197" s="132"/>
      <c r="BX197" s="146">
        <f t="shared" si="29"/>
        <v>0</v>
      </c>
      <c r="BY197" s="132"/>
      <c r="BZ197" s="146">
        <f t="shared" si="30"/>
        <v>0</v>
      </c>
      <c r="CA197" s="132"/>
      <c r="CB197" s="146">
        <f t="shared" si="31"/>
        <v>0</v>
      </c>
      <c r="CC197" s="132"/>
      <c r="CD197" s="143">
        <f t="shared" si="32"/>
        <v>0</v>
      </c>
      <c r="CE197" s="132"/>
      <c r="CF197" s="143">
        <f t="shared" si="33"/>
        <v>0</v>
      </c>
      <c r="CG197" s="132"/>
      <c r="CH197" s="143">
        <f t="shared" si="34"/>
        <v>0</v>
      </c>
      <c r="CI197" s="132">
        <f t="shared" si="35"/>
        <v>0</v>
      </c>
      <c r="CJ197" s="143">
        <f t="shared" si="35"/>
        <v>0</v>
      </c>
    </row>
    <row r="198" spans="1:88" x14ac:dyDescent="0.3">
      <c r="A198" s="27"/>
      <c r="B198" s="27"/>
      <c r="C198" s="27"/>
      <c r="D198" s="27"/>
      <c r="E198" s="27"/>
      <c r="F198" s="27"/>
      <c r="G198" s="27"/>
      <c r="H198" s="27"/>
      <c r="I198" s="27"/>
      <c r="J198" s="27"/>
      <c r="K198" s="27"/>
      <c r="L198" s="27"/>
      <c r="N198" s="27"/>
      <c r="O198" s="27"/>
      <c r="P198" s="27"/>
      <c r="Q198" s="117" t="s">
        <v>783</v>
      </c>
      <c r="T198" s="141" t="str">
        <f t="shared" si="36"/>
        <v xml:space="preserve"> </v>
      </c>
      <c r="X198" s="131"/>
      <c r="Y198" s="27"/>
      <c r="AE198" s="27"/>
      <c r="AH198" s="99"/>
      <c r="BD198" s="97"/>
      <c r="BE198" s="108"/>
      <c r="BF198" s="108"/>
      <c r="BG198" s="97"/>
      <c r="BH198" s="97"/>
      <c r="BI198" s="97"/>
      <c r="BJ198" s="97"/>
      <c r="BK198" s="110"/>
      <c r="BL198" s="97"/>
      <c r="BM198" s="97"/>
      <c r="BN198" s="97"/>
      <c r="BO198" s="142"/>
      <c r="BP198" s="143">
        <f t="shared" si="25"/>
        <v>0</v>
      </c>
      <c r="BQ198" s="142"/>
      <c r="BR198" s="143">
        <f t="shared" si="26"/>
        <v>0</v>
      </c>
      <c r="BS198" s="132"/>
      <c r="BT198" s="146">
        <f t="shared" si="27"/>
        <v>0</v>
      </c>
      <c r="BU198" s="132"/>
      <c r="BV198" s="143">
        <f t="shared" si="28"/>
        <v>0</v>
      </c>
      <c r="BW198" s="132"/>
      <c r="BX198" s="146">
        <f t="shared" si="29"/>
        <v>0</v>
      </c>
      <c r="BY198" s="132"/>
      <c r="BZ198" s="146">
        <f t="shared" si="30"/>
        <v>0</v>
      </c>
      <c r="CA198" s="132"/>
      <c r="CB198" s="146">
        <f t="shared" si="31"/>
        <v>0</v>
      </c>
      <c r="CC198" s="132"/>
      <c r="CD198" s="143">
        <f t="shared" si="32"/>
        <v>0</v>
      </c>
      <c r="CE198" s="132"/>
      <c r="CF198" s="143">
        <f t="shared" si="33"/>
        <v>0</v>
      </c>
      <c r="CG198" s="132"/>
      <c r="CH198" s="143">
        <f t="shared" si="34"/>
        <v>0</v>
      </c>
      <c r="CI198" s="132">
        <f t="shared" si="35"/>
        <v>0</v>
      </c>
      <c r="CJ198" s="143">
        <f t="shared" si="35"/>
        <v>0</v>
      </c>
    </row>
    <row r="199" spans="1:88" x14ac:dyDescent="0.3">
      <c r="A199" s="27"/>
      <c r="B199" s="27"/>
      <c r="C199" s="27"/>
      <c r="D199" s="27"/>
      <c r="E199" s="27"/>
      <c r="F199" s="27"/>
      <c r="G199" s="27"/>
      <c r="H199" s="27"/>
      <c r="I199" s="27"/>
      <c r="J199" s="27"/>
      <c r="K199" s="27"/>
      <c r="L199" s="27"/>
      <c r="N199" s="27"/>
      <c r="O199" s="27"/>
      <c r="P199" s="27"/>
      <c r="Q199" s="117" t="s">
        <v>784</v>
      </c>
      <c r="T199" s="141" t="str">
        <f t="shared" si="36"/>
        <v xml:space="preserve"> </v>
      </c>
      <c r="X199" s="131"/>
      <c r="Y199" s="27"/>
      <c r="AE199" s="27"/>
      <c r="AH199" s="99"/>
      <c r="BD199" s="97"/>
      <c r="BE199" s="108"/>
      <c r="BF199" s="108"/>
      <c r="BG199" s="97"/>
      <c r="BH199" s="97"/>
      <c r="BI199" s="97"/>
      <c r="BJ199" s="97"/>
      <c r="BK199" s="110"/>
      <c r="BL199" s="97"/>
      <c r="BM199" s="97"/>
      <c r="BN199" s="97"/>
      <c r="BO199" s="142"/>
      <c r="BP199" s="143">
        <f t="shared" si="25"/>
        <v>0</v>
      </c>
      <c r="BQ199" s="142"/>
      <c r="BR199" s="143">
        <f t="shared" si="26"/>
        <v>0</v>
      </c>
      <c r="BS199" s="132"/>
      <c r="BT199" s="146">
        <f t="shared" si="27"/>
        <v>0</v>
      </c>
      <c r="BU199" s="132"/>
      <c r="BV199" s="143">
        <f t="shared" si="28"/>
        <v>0</v>
      </c>
      <c r="BW199" s="132"/>
      <c r="BX199" s="146">
        <f t="shared" si="29"/>
        <v>0</v>
      </c>
      <c r="BY199" s="132"/>
      <c r="BZ199" s="146">
        <f t="shared" si="30"/>
        <v>0</v>
      </c>
      <c r="CA199" s="132"/>
      <c r="CB199" s="146">
        <f t="shared" si="31"/>
        <v>0</v>
      </c>
      <c r="CC199" s="132"/>
      <c r="CD199" s="143">
        <f t="shared" si="32"/>
        <v>0</v>
      </c>
      <c r="CE199" s="132"/>
      <c r="CF199" s="143">
        <f t="shared" si="33"/>
        <v>0</v>
      </c>
      <c r="CG199" s="132"/>
      <c r="CH199" s="143">
        <f t="shared" si="34"/>
        <v>0</v>
      </c>
      <c r="CI199" s="132">
        <f t="shared" si="35"/>
        <v>0</v>
      </c>
      <c r="CJ199" s="143">
        <f t="shared" si="35"/>
        <v>0</v>
      </c>
    </row>
    <row r="200" spans="1:88" x14ac:dyDescent="0.3">
      <c r="A200" s="27"/>
      <c r="B200" s="27"/>
      <c r="C200" s="27"/>
      <c r="D200" s="27"/>
      <c r="E200" s="27"/>
      <c r="F200" s="27"/>
      <c r="G200" s="27"/>
      <c r="H200" s="27"/>
      <c r="I200" s="27"/>
      <c r="J200" s="27"/>
      <c r="K200" s="27"/>
      <c r="L200" s="27"/>
      <c r="N200" s="27"/>
      <c r="O200" s="27"/>
      <c r="P200" s="27"/>
      <c r="Q200" s="117" t="s">
        <v>785</v>
      </c>
      <c r="T200" s="141" t="str">
        <f t="shared" si="36"/>
        <v xml:space="preserve"> </v>
      </c>
      <c r="X200" s="131"/>
      <c r="Y200" s="27"/>
      <c r="AE200" s="27"/>
      <c r="AH200" s="99"/>
      <c r="BD200" s="97"/>
      <c r="BE200" s="108"/>
      <c r="BF200" s="108"/>
      <c r="BG200" s="97"/>
      <c r="BH200" s="97"/>
      <c r="BI200" s="97"/>
      <c r="BJ200" s="97"/>
      <c r="BK200" s="110"/>
      <c r="BL200" s="97"/>
      <c r="BM200" s="97"/>
      <c r="BN200" s="97"/>
      <c r="BO200" s="142"/>
      <c r="BP200" s="143">
        <f t="shared" si="25"/>
        <v>0</v>
      </c>
      <c r="BQ200" s="142"/>
      <c r="BR200" s="143">
        <f t="shared" si="26"/>
        <v>0</v>
      </c>
      <c r="BS200" s="132"/>
      <c r="BT200" s="146">
        <f t="shared" si="27"/>
        <v>0</v>
      </c>
      <c r="BU200" s="132"/>
      <c r="BV200" s="143">
        <f t="shared" si="28"/>
        <v>0</v>
      </c>
      <c r="BW200" s="132"/>
      <c r="BX200" s="146">
        <f t="shared" si="29"/>
        <v>0</v>
      </c>
      <c r="BY200" s="132"/>
      <c r="BZ200" s="146">
        <f t="shared" si="30"/>
        <v>0</v>
      </c>
      <c r="CA200" s="132"/>
      <c r="CB200" s="146">
        <f t="shared" si="31"/>
        <v>0</v>
      </c>
      <c r="CC200" s="132"/>
      <c r="CD200" s="143">
        <f t="shared" si="32"/>
        <v>0</v>
      </c>
      <c r="CE200" s="132"/>
      <c r="CF200" s="143">
        <f t="shared" si="33"/>
        <v>0</v>
      </c>
      <c r="CG200" s="132"/>
      <c r="CH200" s="143">
        <f t="shared" si="34"/>
        <v>0</v>
      </c>
      <c r="CI200" s="132">
        <f t="shared" si="35"/>
        <v>0</v>
      </c>
      <c r="CJ200" s="143">
        <f t="shared" si="35"/>
        <v>0</v>
      </c>
    </row>
    <row r="201" spans="1:88" x14ac:dyDescent="0.3">
      <c r="A201" s="27"/>
      <c r="B201" s="27"/>
      <c r="C201" s="27"/>
      <c r="D201" s="27"/>
      <c r="E201" s="27"/>
      <c r="F201" s="27"/>
      <c r="G201" s="27"/>
      <c r="H201" s="27"/>
      <c r="I201" s="27"/>
      <c r="J201" s="27"/>
      <c r="K201" s="27"/>
      <c r="L201" s="27"/>
      <c r="N201" s="27"/>
      <c r="O201" s="27"/>
      <c r="P201" s="27"/>
      <c r="Q201" s="117" t="s">
        <v>786</v>
      </c>
      <c r="T201" s="141" t="str">
        <f t="shared" si="36"/>
        <v xml:space="preserve"> </v>
      </c>
      <c r="X201" s="131"/>
      <c r="Y201" s="27"/>
      <c r="AE201" s="27"/>
      <c r="AH201" s="99"/>
      <c r="BD201" s="97"/>
      <c r="BE201" s="108"/>
      <c r="BF201" s="108"/>
      <c r="BG201" s="97"/>
      <c r="BH201" s="97"/>
      <c r="BI201" s="97"/>
      <c r="BJ201" s="97"/>
      <c r="BK201" s="110"/>
      <c r="BL201" s="97"/>
      <c r="BM201" s="97"/>
      <c r="BN201" s="97"/>
      <c r="BO201" s="142"/>
      <c r="BP201" s="143">
        <f t="shared" si="25"/>
        <v>0</v>
      </c>
      <c r="BQ201" s="142"/>
      <c r="BR201" s="143">
        <f t="shared" si="26"/>
        <v>0</v>
      </c>
      <c r="BS201" s="132"/>
      <c r="BT201" s="146">
        <f t="shared" si="27"/>
        <v>0</v>
      </c>
      <c r="BU201" s="132"/>
      <c r="BV201" s="143">
        <f t="shared" si="28"/>
        <v>0</v>
      </c>
      <c r="BW201" s="132"/>
      <c r="BX201" s="146">
        <f t="shared" si="29"/>
        <v>0</v>
      </c>
      <c r="BY201" s="132"/>
      <c r="BZ201" s="146">
        <f t="shared" si="30"/>
        <v>0</v>
      </c>
      <c r="CA201" s="132"/>
      <c r="CB201" s="146">
        <f t="shared" si="31"/>
        <v>0</v>
      </c>
      <c r="CC201" s="132"/>
      <c r="CD201" s="143">
        <f t="shared" si="32"/>
        <v>0</v>
      </c>
      <c r="CE201" s="132"/>
      <c r="CF201" s="143">
        <f t="shared" si="33"/>
        <v>0</v>
      </c>
      <c r="CG201" s="132"/>
      <c r="CH201" s="143">
        <f t="shared" si="34"/>
        <v>0</v>
      </c>
      <c r="CI201" s="132">
        <f t="shared" si="35"/>
        <v>0</v>
      </c>
      <c r="CJ201" s="143">
        <f t="shared" si="35"/>
        <v>0</v>
      </c>
    </row>
    <row r="202" spans="1:88" x14ac:dyDescent="0.3">
      <c r="A202" s="27"/>
      <c r="B202" s="27"/>
      <c r="C202" s="27"/>
      <c r="D202" s="27"/>
      <c r="E202" s="27"/>
      <c r="F202" s="27"/>
      <c r="G202" s="27"/>
      <c r="H202" s="27"/>
      <c r="I202" s="27"/>
      <c r="J202" s="27"/>
      <c r="K202" s="27"/>
      <c r="L202" s="27"/>
      <c r="N202" s="27"/>
      <c r="O202" s="27"/>
      <c r="P202" s="27"/>
      <c r="Q202" s="117" t="s">
        <v>787</v>
      </c>
      <c r="T202" s="141" t="str">
        <f t="shared" si="36"/>
        <v xml:space="preserve"> </v>
      </c>
      <c r="X202" s="131"/>
      <c r="Y202" s="27"/>
      <c r="AE202" s="27"/>
      <c r="AH202" s="99"/>
      <c r="BD202" s="97"/>
      <c r="BE202" s="108"/>
      <c r="BF202" s="108"/>
      <c r="BG202" s="97"/>
      <c r="BH202" s="97"/>
      <c r="BI202" s="97"/>
      <c r="BJ202" s="97"/>
      <c r="BK202" s="110"/>
      <c r="BL202" s="97"/>
      <c r="BM202" s="97"/>
      <c r="BN202" s="97"/>
      <c r="BO202" s="144"/>
      <c r="BP202" s="143">
        <f t="shared" ref="BP202:BP265" si="37">BO202*AX202</f>
        <v>0</v>
      </c>
      <c r="BQ202" s="144"/>
      <c r="BR202" s="143">
        <f t="shared" ref="BR202:BR265" si="38">BQ202*AX202</f>
        <v>0</v>
      </c>
      <c r="BS202" s="132"/>
      <c r="BT202" s="146">
        <f t="shared" ref="BT202:BT265" si="39">BS202*AX202</f>
        <v>0</v>
      </c>
      <c r="BU202" s="145"/>
      <c r="BV202" s="143">
        <f t="shared" ref="BV202:BV265" si="40">BU202*AX202</f>
        <v>0</v>
      </c>
      <c r="BW202" s="145"/>
      <c r="BX202" s="146">
        <f t="shared" ref="BX202:BX265" si="41">BW202*AX202</f>
        <v>0</v>
      </c>
      <c r="BY202" s="145"/>
      <c r="BZ202" s="146">
        <f t="shared" ref="BZ202:BZ265" si="42">BY202*AX202</f>
        <v>0</v>
      </c>
      <c r="CA202" s="145"/>
      <c r="CB202" s="146">
        <f t="shared" ref="CB202:CB265" si="43">CA202*AX202</f>
        <v>0</v>
      </c>
      <c r="CC202" s="145"/>
      <c r="CD202" s="143">
        <f t="shared" ref="CD202:CD265" si="44">CC202*AX202</f>
        <v>0</v>
      </c>
      <c r="CE202" s="145"/>
      <c r="CF202" s="143">
        <f t="shared" ref="CF202:CF265" si="45">CE202*AX202</f>
        <v>0</v>
      </c>
      <c r="CG202" s="132"/>
      <c r="CH202" s="143">
        <f t="shared" ref="CH202:CH265" si="46">CG202*AX202</f>
        <v>0</v>
      </c>
      <c r="CI202" s="132">
        <f t="shared" ref="CI202:CJ265" si="47">SUM(BO202,BQ202,BS202,BU202,BW202,BY202,CA202,CC202,CE202,CG202)</f>
        <v>0</v>
      </c>
      <c r="CJ202" s="143">
        <f t="shared" si="47"/>
        <v>0</v>
      </c>
    </row>
    <row r="203" spans="1:88" x14ac:dyDescent="0.3">
      <c r="A203" s="27"/>
      <c r="B203" s="27"/>
      <c r="C203" s="27"/>
      <c r="D203" s="27"/>
      <c r="E203" s="27"/>
      <c r="F203" s="27"/>
      <c r="G203" s="27"/>
      <c r="H203" s="27"/>
      <c r="I203" s="27"/>
      <c r="J203" s="27"/>
      <c r="K203" s="27"/>
      <c r="L203" s="27"/>
      <c r="N203" s="27"/>
      <c r="O203" s="27"/>
      <c r="P203" s="27"/>
      <c r="Q203" s="117" t="s">
        <v>788</v>
      </c>
      <c r="T203" s="141" t="str">
        <f t="shared" si="36"/>
        <v xml:space="preserve"> </v>
      </c>
      <c r="X203" s="131"/>
      <c r="Y203" s="27"/>
      <c r="AE203" s="27"/>
      <c r="AH203" s="99"/>
      <c r="BD203" s="97"/>
      <c r="BE203" s="108"/>
      <c r="BF203" s="108"/>
      <c r="BG203" s="97"/>
      <c r="BH203" s="97"/>
      <c r="BI203" s="97"/>
      <c r="BJ203" s="97"/>
      <c r="BK203" s="110"/>
      <c r="BL203" s="97"/>
      <c r="BM203" s="97"/>
      <c r="BN203" s="97"/>
      <c r="BO203" s="142"/>
      <c r="BP203" s="143">
        <f t="shared" si="37"/>
        <v>0</v>
      </c>
      <c r="BQ203" s="142"/>
      <c r="BR203" s="143">
        <f t="shared" si="38"/>
        <v>0</v>
      </c>
      <c r="BS203" s="132"/>
      <c r="BT203" s="146">
        <f t="shared" si="39"/>
        <v>0</v>
      </c>
      <c r="BU203" s="132"/>
      <c r="BV203" s="143">
        <f t="shared" si="40"/>
        <v>0</v>
      </c>
      <c r="BW203" s="132"/>
      <c r="BX203" s="146">
        <f t="shared" si="41"/>
        <v>0</v>
      </c>
      <c r="BY203" s="132"/>
      <c r="BZ203" s="146">
        <f t="shared" si="42"/>
        <v>0</v>
      </c>
      <c r="CA203" s="132"/>
      <c r="CB203" s="146">
        <f t="shared" si="43"/>
        <v>0</v>
      </c>
      <c r="CC203" s="132"/>
      <c r="CD203" s="143">
        <f t="shared" si="44"/>
        <v>0</v>
      </c>
      <c r="CE203" s="132"/>
      <c r="CF203" s="143">
        <f t="shared" si="45"/>
        <v>0</v>
      </c>
      <c r="CG203" s="132"/>
      <c r="CH203" s="143">
        <f t="shared" si="46"/>
        <v>0</v>
      </c>
      <c r="CI203" s="132">
        <f t="shared" si="47"/>
        <v>0</v>
      </c>
      <c r="CJ203" s="143">
        <f t="shared" si="47"/>
        <v>0</v>
      </c>
    </row>
    <row r="204" spans="1:88" x14ac:dyDescent="0.3">
      <c r="A204" s="27"/>
      <c r="B204" s="27"/>
      <c r="C204" s="27"/>
      <c r="D204" s="27"/>
      <c r="E204" s="27"/>
      <c r="F204" s="27"/>
      <c r="G204" s="27"/>
      <c r="H204" s="27"/>
      <c r="I204" s="27"/>
      <c r="J204" s="27"/>
      <c r="K204" s="27"/>
      <c r="L204" s="27"/>
      <c r="N204" s="27"/>
      <c r="O204" s="27"/>
      <c r="P204" s="27"/>
      <c r="Q204" s="117" t="s">
        <v>789</v>
      </c>
      <c r="T204" s="141" t="str">
        <f t="shared" si="36"/>
        <v xml:space="preserve"> </v>
      </c>
      <c r="X204" s="131"/>
      <c r="Y204" s="27"/>
      <c r="AE204" s="27"/>
      <c r="AH204" s="99"/>
      <c r="BD204" s="97"/>
      <c r="BE204" s="108"/>
      <c r="BF204" s="108"/>
      <c r="BG204" s="97"/>
      <c r="BH204" s="97"/>
      <c r="BI204" s="97"/>
      <c r="BJ204" s="97"/>
      <c r="BK204" s="110"/>
      <c r="BL204" s="97"/>
      <c r="BM204" s="97"/>
      <c r="BN204" s="97"/>
      <c r="BO204" s="142"/>
      <c r="BP204" s="143">
        <f t="shared" si="37"/>
        <v>0</v>
      </c>
      <c r="BQ204" s="142"/>
      <c r="BR204" s="143">
        <f t="shared" si="38"/>
        <v>0</v>
      </c>
      <c r="BS204" s="132"/>
      <c r="BT204" s="146">
        <f t="shared" si="39"/>
        <v>0</v>
      </c>
      <c r="BU204" s="132"/>
      <c r="BV204" s="143">
        <f t="shared" si="40"/>
        <v>0</v>
      </c>
      <c r="BW204" s="132"/>
      <c r="BX204" s="146">
        <f t="shared" si="41"/>
        <v>0</v>
      </c>
      <c r="BY204" s="132"/>
      <c r="BZ204" s="146">
        <f t="shared" si="42"/>
        <v>0</v>
      </c>
      <c r="CA204" s="132"/>
      <c r="CB204" s="146">
        <f t="shared" si="43"/>
        <v>0</v>
      </c>
      <c r="CC204" s="132"/>
      <c r="CD204" s="143">
        <f t="shared" si="44"/>
        <v>0</v>
      </c>
      <c r="CE204" s="132"/>
      <c r="CF204" s="143">
        <f t="shared" si="45"/>
        <v>0</v>
      </c>
      <c r="CG204" s="132"/>
      <c r="CH204" s="143">
        <f t="shared" si="46"/>
        <v>0</v>
      </c>
      <c r="CI204" s="132">
        <f t="shared" si="47"/>
        <v>0</v>
      </c>
      <c r="CJ204" s="143">
        <f t="shared" si="47"/>
        <v>0</v>
      </c>
    </row>
    <row r="205" spans="1:88" x14ac:dyDescent="0.3">
      <c r="A205" s="27"/>
      <c r="B205" s="27"/>
      <c r="C205" s="27"/>
      <c r="D205" s="27"/>
      <c r="E205" s="27"/>
      <c r="F205" s="27"/>
      <c r="G205" s="27"/>
      <c r="H205" s="27"/>
      <c r="I205" s="27"/>
      <c r="J205" s="27"/>
      <c r="K205" s="27"/>
      <c r="L205" s="27"/>
      <c r="N205" s="27"/>
      <c r="O205" s="27"/>
      <c r="P205" s="27"/>
      <c r="Q205" s="117" t="s">
        <v>790</v>
      </c>
      <c r="T205" s="141" t="str">
        <f t="shared" si="36"/>
        <v xml:space="preserve"> </v>
      </c>
      <c r="X205" s="131"/>
      <c r="Y205" s="27"/>
      <c r="AE205" s="27"/>
      <c r="AH205" s="99"/>
      <c r="BD205" s="97"/>
      <c r="BE205" s="108"/>
      <c r="BF205" s="108"/>
      <c r="BG205" s="97"/>
      <c r="BH205" s="97"/>
      <c r="BI205" s="97"/>
      <c r="BJ205" s="97"/>
      <c r="BK205" s="110"/>
      <c r="BL205" s="97"/>
      <c r="BM205" s="97"/>
      <c r="BN205" s="97"/>
      <c r="BO205" s="142"/>
      <c r="BP205" s="143">
        <f t="shared" si="37"/>
        <v>0</v>
      </c>
      <c r="BQ205" s="142"/>
      <c r="BR205" s="143">
        <f t="shared" si="38"/>
        <v>0</v>
      </c>
      <c r="BS205" s="132"/>
      <c r="BT205" s="146">
        <f t="shared" si="39"/>
        <v>0</v>
      </c>
      <c r="BU205" s="132"/>
      <c r="BV205" s="143">
        <f t="shared" si="40"/>
        <v>0</v>
      </c>
      <c r="BW205" s="132"/>
      <c r="BX205" s="146">
        <f t="shared" si="41"/>
        <v>0</v>
      </c>
      <c r="BY205" s="132"/>
      <c r="BZ205" s="146">
        <f t="shared" si="42"/>
        <v>0</v>
      </c>
      <c r="CA205" s="132"/>
      <c r="CB205" s="146">
        <f t="shared" si="43"/>
        <v>0</v>
      </c>
      <c r="CC205" s="132"/>
      <c r="CD205" s="143">
        <f t="shared" si="44"/>
        <v>0</v>
      </c>
      <c r="CE205" s="132"/>
      <c r="CF205" s="143">
        <f t="shared" si="45"/>
        <v>0</v>
      </c>
      <c r="CG205" s="132"/>
      <c r="CH205" s="143">
        <f t="shared" si="46"/>
        <v>0</v>
      </c>
      <c r="CI205" s="132">
        <f t="shared" si="47"/>
        <v>0</v>
      </c>
      <c r="CJ205" s="143">
        <f t="shared" si="47"/>
        <v>0</v>
      </c>
    </row>
    <row r="206" spans="1:88" x14ac:dyDescent="0.3">
      <c r="A206" s="27"/>
      <c r="B206" s="27"/>
      <c r="C206" s="27"/>
      <c r="D206" s="27"/>
      <c r="E206" s="27"/>
      <c r="F206" s="27"/>
      <c r="G206" s="27"/>
      <c r="H206" s="27"/>
      <c r="I206" s="27"/>
      <c r="J206" s="27"/>
      <c r="K206" s="27"/>
      <c r="L206" s="27"/>
      <c r="N206" s="27"/>
      <c r="O206" s="27"/>
      <c r="P206" s="27"/>
      <c r="Q206" s="117" t="s">
        <v>791</v>
      </c>
      <c r="T206" s="141" t="str">
        <f t="shared" si="36"/>
        <v xml:space="preserve"> </v>
      </c>
      <c r="X206" s="131"/>
      <c r="Y206" s="27"/>
      <c r="AE206" s="27"/>
      <c r="AH206" s="99"/>
      <c r="BD206" s="97"/>
      <c r="BE206" s="108"/>
      <c r="BF206" s="108"/>
      <c r="BG206" s="97"/>
      <c r="BH206" s="97"/>
      <c r="BI206" s="97"/>
      <c r="BJ206" s="97"/>
      <c r="BK206" s="110"/>
      <c r="BL206" s="97"/>
      <c r="BM206" s="97"/>
      <c r="BN206" s="97"/>
      <c r="BO206" s="142"/>
      <c r="BP206" s="143">
        <f t="shared" si="37"/>
        <v>0</v>
      </c>
      <c r="BQ206" s="142"/>
      <c r="BR206" s="143">
        <f t="shared" si="38"/>
        <v>0</v>
      </c>
      <c r="BS206" s="132"/>
      <c r="BT206" s="146">
        <f t="shared" si="39"/>
        <v>0</v>
      </c>
      <c r="BU206" s="132"/>
      <c r="BV206" s="143">
        <f t="shared" si="40"/>
        <v>0</v>
      </c>
      <c r="BW206" s="132"/>
      <c r="BX206" s="146">
        <f t="shared" si="41"/>
        <v>0</v>
      </c>
      <c r="BY206" s="132"/>
      <c r="BZ206" s="146">
        <f t="shared" si="42"/>
        <v>0</v>
      </c>
      <c r="CA206" s="132"/>
      <c r="CB206" s="146">
        <f t="shared" si="43"/>
        <v>0</v>
      </c>
      <c r="CC206" s="132"/>
      <c r="CD206" s="143">
        <f t="shared" si="44"/>
        <v>0</v>
      </c>
      <c r="CE206" s="132"/>
      <c r="CF206" s="143">
        <f t="shared" si="45"/>
        <v>0</v>
      </c>
      <c r="CG206" s="132"/>
      <c r="CH206" s="143">
        <f t="shared" si="46"/>
        <v>0</v>
      </c>
      <c r="CI206" s="132">
        <f t="shared" si="47"/>
        <v>0</v>
      </c>
      <c r="CJ206" s="143">
        <f t="shared" si="47"/>
        <v>0</v>
      </c>
    </row>
    <row r="207" spans="1:88" x14ac:dyDescent="0.3">
      <c r="A207" s="27"/>
      <c r="B207" s="27"/>
      <c r="C207" s="27"/>
      <c r="D207" s="27"/>
      <c r="E207" s="27"/>
      <c r="F207" s="27"/>
      <c r="G207" s="27"/>
      <c r="H207" s="27"/>
      <c r="I207" s="27"/>
      <c r="J207" s="27"/>
      <c r="K207" s="27"/>
      <c r="L207" s="27"/>
      <c r="N207" s="27"/>
      <c r="O207" s="27"/>
      <c r="P207" s="27"/>
      <c r="Q207" s="117" t="s">
        <v>792</v>
      </c>
      <c r="T207" s="141" t="str">
        <f t="shared" si="36"/>
        <v xml:space="preserve"> </v>
      </c>
      <c r="X207" s="131"/>
      <c r="Y207" s="27"/>
      <c r="AE207" s="27"/>
      <c r="BD207" s="97"/>
      <c r="BE207" s="108"/>
      <c r="BF207" s="108"/>
      <c r="BG207" s="97"/>
      <c r="BH207" s="97"/>
      <c r="BI207" s="97"/>
      <c r="BJ207" s="97"/>
      <c r="BK207" s="110"/>
      <c r="BL207" s="97"/>
      <c r="BM207" s="97"/>
      <c r="BN207" s="97"/>
      <c r="BO207" s="142"/>
      <c r="BP207" s="143">
        <f t="shared" si="37"/>
        <v>0</v>
      </c>
      <c r="BQ207" s="142"/>
      <c r="BR207" s="143">
        <f t="shared" si="38"/>
        <v>0</v>
      </c>
      <c r="BS207" s="132"/>
      <c r="BT207" s="146">
        <f t="shared" si="39"/>
        <v>0</v>
      </c>
      <c r="BU207" s="132"/>
      <c r="BV207" s="143">
        <f t="shared" si="40"/>
        <v>0</v>
      </c>
      <c r="BW207" s="132"/>
      <c r="BX207" s="146">
        <f t="shared" si="41"/>
        <v>0</v>
      </c>
      <c r="BY207" s="132"/>
      <c r="BZ207" s="146">
        <f t="shared" si="42"/>
        <v>0</v>
      </c>
      <c r="CA207" s="132"/>
      <c r="CB207" s="146">
        <f t="shared" si="43"/>
        <v>0</v>
      </c>
      <c r="CC207" s="132"/>
      <c r="CD207" s="143">
        <f t="shared" si="44"/>
        <v>0</v>
      </c>
      <c r="CE207" s="132"/>
      <c r="CF207" s="143">
        <f t="shared" si="45"/>
        <v>0</v>
      </c>
      <c r="CG207" s="132"/>
      <c r="CH207" s="143">
        <f t="shared" si="46"/>
        <v>0</v>
      </c>
      <c r="CI207" s="132">
        <f t="shared" si="47"/>
        <v>0</v>
      </c>
      <c r="CJ207" s="143">
        <f t="shared" si="47"/>
        <v>0</v>
      </c>
    </row>
    <row r="208" spans="1:88" x14ac:dyDescent="0.3">
      <c r="A208" s="27"/>
      <c r="B208" s="27"/>
      <c r="C208" s="27"/>
      <c r="D208" s="27"/>
      <c r="E208" s="27"/>
      <c r="F208" s="27"/>
      <c r="G208" s="27"/>
      <c r="H208" s="27"/>
      <c r="I208" s="27"/>
      <c r="J208" s="27"/>
      <c r="K208" s="27"/>
      <c r="L208" s="27"/>
      <c r="N208" s="27"/>
      <c r="O208" s="27"/>
      <c r="P208" s="27"/>
      <c r="Q208" s="117" t="s">
        <v>793</v>
      </c>
      <c r="T208" s="141" t="str">
        <f t="shared" si="36"/>
        <v xml:space="preserve"> </v>
      </c>
      <c r="X208" s="131"/>
      <c r="Y208" s="27"/>
      <c r="AE208" s="27"/>
      <c r="BD208" s="97"/>
      <c r="BE208" s="108"/>
      <c r="BF208" s="108"/>
      <c r="BG208" s="97"/>
      <c r="BH208" s="97"/>
      <c r="BI208" s="97"/>
      <c r="BJ208" s="97"/>
      <c r="BK208" s="110"/>
      <c r="BL208" s="97"/>
      <c r="BM208" s="97"/>
      <c r="BN208" s="97"/>
      <c r="BO208" s="142"/>
      <c r="BP208" s="143">
        <f t="shared" si="37"/>
        <v>0</v>
      </c>
      <c r="BQ208" s="142"/>
      <c r="BR208" s="143">
        <f t="shared" si="38"/>
        <v>0</v>
      </c>
      <c r="BS208" s="132"/>
      <c r="BT208" s="146">
        <f t="shared" si="39"/>
        <v>0</v>
      </c>
      <c r="BU208" s="132"/>
      <c r="BV208" s="143">
        <f t="shared" si="40"/>
        <v>0</v>
      </c>
      <c r="BW208" s="132"/>
      <c r="BX208" s="146">
        <f t="shared" si="41"/>
        <v>0</v>
      </c>
      <c r="BY208" s="132"/>
      <c r="BZ208" s="146">
        <f t="shared" si="42"/>
        <v>0</v>
      </c>
      <c r="CA208" s="132"/>
      <c r="CB208" s="146">
        <f t="shared" si="43"/>
        <v>0</v>
      </c>
      <c r="CC208" s="132"/>
      <c r="CD208" s="143">
        <f t="shared" si="44"/>
        <v>0</v>
      </c>
      <c r="CE208" s="132"/>
      <c r="CF208" s="143">
        <f t="shared" si="45"/>
        <v>0</v>
      </c>
      <c r="CG208" s="132"/>
      <c r="CH208" s="143">
        <f t="shared" si="46"/>
        <v>0</v>
      </c>
      <c r="CI208" s="132">
        <f t="shared" si="47"/>
        <v>0</v>
      </c>
      <c r="CJ208" s="143">
        <f t="shared" si="47"/>
        <v>0</v>
      </c>
    </row>
    <row r="209" spans="1:88" x14ac:dyDescent="0.3">
      <c r="A209" s="27"/>
      <c r="B209" s="27"/>
      <c r="C209" s="27"/>
      <c r="D209" s="27"/>
      <c r="E209" s="27"/>
      <c r="F209" s="27"/>
      <c r="G209" s="27"/>
      <c r="H209" s="27"/>
      <c r="I209" s="27"/>
      <c r="J209" s="27"/>
      <c r="K209" s="27"/>
      <c r="L209" s="27"/>
      <c r="N209" s="27"/>
      <c r="O209" s="27"/>
      <c r="P209" s="27"/>
      <c r="Q209" s="117" t="s">
        <v>794</v>
      </c>
      <c r="T209" s="141" t="str">
        <f t="shared" si="36"/>
        <v xml:space="preserve"> </v>
      </c>
      <c r="X209" s="131"/>
      <c r="Y209" s="27"/>
      <c r="AE209" s="27"/>
      <c r="BD209" s="97"/>
      <c r="BE209" s="108"/>
      <c r="BF209" s="108"/>
      <c r="BG209" s="97"/>
      <c r="BH209" s="97"/>
      <c r="BI209" s="97"/>
      <c r="BJ209" s="97"/>
      <c r="BK209" s="110"/>
      <c r="BL209" s="97"/>
      <c r="BM209" s="97"/>
      <c r="BN209" s="97"/>
      <c r="BO209" s="142"/>
      <c r="BP209" s="143">
        <f t="shared" si="37"/>
        <v>0</v>
      </c>
      <c r="BQ209" s="142"/>
      <c r="BR209" s="143">
        <f t="shared" si="38"/>
        <v>0</v>
      </c>
      <c r="BS209" s="132"/>
      <c r="BT209" s="146">
        <f t="shared" si="39"/>
        <v>0</v>
      </c>
      <c r="BU209" s="132"/>
      <c r="BV209" s="143">
        <f t="shared" si="40"/>
        <v>0</v>
      </c>
      <c r="BW209" s="132"/>
      <c r="BX209" s="146">
        <f t="shared" si="41"/>
        <v>0</v>
      </c>
      <c r="BY209" s="132"/>
      <c r="BZ209" s="146">
        <f t="shared" si="42"/>
        <v>0</v>
      </c>
      <c r="CA209" s="132"/>
      <c r="CB209" s="146">
        <f t="shared" si="43"/>
        <v>0</v>
      </c>
      <c r="CC209" s="132"/>
      <c r="CD209" s="143">
        <f t="shared" si="44"/>
        <v>0</v>
      </c>
      <c r="CE209" s="132"/>
      <c r="CF209" s="143">
        <f t="shared" si="45"/>
        <v>0</v>
      </c>
      <c r="CG209" s="132"/>
      <c r="CH209" s="143">
        <f t="shared" si="46"/>
        <v>0</v>
      </c>
      <c r="CI209" s="132">
        <f t="shared" si="47"/>
        <v>0</v>
      </c>
      <c r="CJ209" s="143">
        <f t="shared" si="47"/>
        <v>0</v>
      </c>
    </row>
    <row r="210" spans="1:88" x14ac:dyDescent="0.3">
      <c r="A210" s="27"/>
      <c r="B210" s="27"/>
      <c r="C210" s="27"/>
      <c r="D210" s="27"/>
      <c r="E210" s="27"/>
      <c r="F210" s="27"/>
      <c r="G210" s="27"/>
      <c r="H210" s="27"/>
      <c r="I210" s="27"/>
      <c r="J210" s="27"/>
      <c r="K210" s="27"/>
      <c r="L210" s="27"/>
      <c r="N210" s="27"/>
      <c r="O210" s="27"/>
      <c r="P210" s="27"/>
      <c r="Q210" s="117" t="s">
        <v>795</v>
      </c>
      <c r="T210" s="141" t="str">
        <f t="shared" si="36"/>
        <v xml:space="preserve"> </v>
      </c>
      <c r="X210" s="131"/>
      <c r="Y210" s="27"/>
      <c r="AE210" s="27"/>
      <c r="BD210" s="97"/>
      <c r="BE210" s="108"/>
      <c r="BF210" s="108"/>
      <c r="BG210" s="97"/>
      <c r="BH210" s="97"/>
      <c r="BI210" s="97"/>
      <c r="BJ210" s="97"/>
      <c r="BK210" s="110"/>
      <c r="BL210" s="97"/>
      <c r="BM210" s="97"/>
      <c r="BN210" s="97"/>
      <c r="BO210" s="142"/>
      <c r="BP210" s="143">
        <f t="shared" si="37"/>
        <v>0</v>
      </c>
      <c r="BQ210" s="142"/>
      <c r="BR210" s="143">
        <f t="shared" si="38"/>
        <v>0</v>
      </c>
      <c r="BS210" s="132"/>
      <c r="BT210" s="146">
        <f t="shared" si="39"/>
        <v>0</v>
      </c>
      <c r="BU210" s="132"/>
      <c r="BV210" s="143">
        <f t="shared" si="40"/>
        <v>0</v>
      </c>
      <c r="BW210" s="132"/>
      <c r="BX210" s="146">
        <f t="shared" si="41"/>
        <v>0</v>
      </c>
      <c r="BY210" s="132"/>
      <c r="BZ210" s="146">
        <f t="shared" si="42"/>
        <v>0</v>
      </c>
      <c r="CA210" s="132"/>
      <c r="CB210" s="146">
        <f t="shared" si="43"/>
        <v>0</v>
      </c>
      <c r="CC210" s="132"/>
      <c r="CD210" s="143">
        <f t="shared" si="44"/>
        <v>0</v>
      </c>
      <c r="CE210" s="132"/>
      <c r="CF210" s="143">
        <f t="shared" si="45"/>
        <v>0</v>
      </c>
      <c r="CG210" s="132"/>
      <c r="CH210" s="143">
        <f t="shared" si="46"/>
        <v>0</v>
      </c>
      <c r="CI210" s="132">
        <f t="shared" si="47"/>
        <v>0</v>
      </c>
      <c r="CJ210" s="143">
        <f t="shared" si="47"/>
        <v>0</v>
      </c>
    </row>
    <row r="211" spans="1:88" x14ac:dyDescent="0.3">
      <c r="A211" s="27"/>
      <c r="B211" s="27"/>
      <c r="C211" s="27"/>
      <c r="D211" s="27"/>
      <c r="E211" s="27"/>
      <c r="F211" s="27"/>
      <c r="G211" s="27"/>
      <c r="H211" s="27"/>
      <c r="I211" s="27"/>
      <c r="J211" s="27"/>
      <c r="K211" s="27"/>
      <c r="L211" s="27"/>
      <c r="N211" s="27"/>
      <c r="O211" s="27"/>
      <c r="P211" s="27"/>
      <c r="Q211" s="117" t="s">
        <v>796</v>
      </c>
      <c r="T211" s="141" t="str">
        <f t="shared" si="36"/>
        <v xml:space="preserve"> </v>
      </c>
      <c r="X211" s="131"/>
      <c r="Y211" s="27"/>
      <c r="AE211" s="27"/>
      <c r="BD211" s="97"/>
      <c r="BE211" s="108"/>
      <c r="BF211" s="108"/>
      <c r="BG211" s="97"/>
      <c r="BH211" s="97"/>
      <c r="BI211" s="97"/>
      <c r="BJ211" s="97"/>
      <c r="BK211" s="110"/>
      <c r="BL211" s="97"/>
      <c r="BM211" s="97"/>
      <c r="BN211" s="97"/>
      <c r="BO211" s="142"/>
      <c r="BP211" s="143">
        <f t="shared" si="37"/>
        <v>0</v>
      </c>
      <c r="BQ211" s="142"/>
      <c r="BR211" s="143">
        <f t="shared" si="38"/>
        <v>0</v>
      </c>
      <c r="BS211" s="132"/>
      <c r="BT211" s="146">
        <f t="shared" si="39"/>
        <v>0</v>
      </c>
      <c r="BU211" s="132"/>
      <c r="BV211" s="143">
        <f t="shared" si="40"/>
        <v>0</v>
      </c>
      <c r="BW211" s="132"/>
      <c r="BX211" s="146">
        <f t="shared" si="41"/>
        <v>0</v>
      </c>
      <c r="BY211" s="132"/>
      <c r="BZ211" s="146">
        <f t="shared" si="42"/>
        <v>0</v>
      </c>
      <c r="CA211" s="132"/>
      <c r="CB211" s="146">
        <f t="shared" si="43"/>
        <v>0</v>
      </c>
      <c r="CC211" s="132"/>
      <c r="CD211" s="143">
        <f t="shared" si="44"/>
        <v>0</v>
      </c>
      <c r="CE211" s="132"/>
      <c r="CF211" s="143">
        <f t="shared" si="45"/>
        <v>0</v>
      </c>
      <c r="CG211" s="132"/>
      <c r="CH211" s="143">
        <f t="shared" si="46"/>
        <v>0</v>
      </c>
      <c r="CI211" s="132">
        <f t="shared" si="47"/>
        <v>0</v>
      </c>
      <c r="CJ211" s="143">
        <f t="shared" si="47"/>
        <v>0</v>
      </c>
    </row>
    <row r="212" spans="1:88" x14ac:dyDescent="0.3">
      <c r="A212" s="27"/>
      <c r="B212" s="27"/>
      <c r="C212" s="27"/>
      <c r="D212" s="27"/>
      <c r="E212" s="27"/>
      <c r="F212" s="27"/>
      <c r="G212" s="27"/>
      <c r="H212" s="27"/>
      <c r="I212" s="27"/>
      <c r="J212" s="27"/>
      <c r="K212" s="27"/>
      <c r="L212" s="27"/>
      <c r="N212" s="27"/>
      <c r="O212" s="27"/>
      <c r="P212" s="27"/>
      <c r="Q212" s="117" t="s">
        <v>797</v>
      </c>
      <c r="T212" s="141" t="str">
        <f t="shared" si="36"/>
        <v xml:space="preserve"> </v>
      </c>
      <c r="X212" s="131"/>
      <c r="Y212" s="27"/>
      <c r="AE212" s="27"/>
      <c r="BD212" s="97"/>
      <c r="BE212" s="108"/>
      <c r="BF212" s="108"/>
      <c r="BG212" s="97"/>
      <c r="BH212" s="97"/>
      <c r="BI212" s="97"/>
      <c r="BJ212" s="97"/>
      <c r="BK212" s="110"/>
      <c r="BL212" s="97"/>
      <c r="BM212" s="97"/>
      <c r="BN212" s="97"/>
      <c r="BO212" s="142"/>
      <c r="BP212" s="143">
        <f t="shared" si="37"/>
        <v>0</v>
      </c>
      <c r="BQ212" s="142"/>
      <c r="BR212" s="143">
        <f t="shared" si="38"/>
        <v>0</v>
      </c>
      <c r="BS212" s="132"/>
      <c r="BT212" s="146">
        <f t="shared" si="39"/>
        <v>0</v>
      </c>
      <c r="BU212" s="132"/>
      <c r="BV212" s="143">
        <f t="shared" si="40"/>
        <v>0</v>
      </c>
      <c r="BW212" s="132"/>
      <c r="BX212" s="146">
        <f t="shared" si="41"/>
        <v>0</v>
      </c>
      <c r="BY212" s="132"/>
      <c r="BZ212" s="146">
        <f t="shared" si="42"/>
        <v>0</v>
      </c>
      <c r="CA212" s="132"/>
      <c r="CB212" s="146">
        <f t="shared" si="43"/>
        <v>0</v>
      </c>
      <c r="CC212" s="132"/>
      <c r="CD212" s="143">
        <f t="shared" si="44"/>
        <v>0</v>
      </c>
      <c r="CE212" s="132"/>
      <c r="CF212" s="143">
        <f t="shared" si="45"/>
        <v>0</v>
      </c>
      <c r="CG212" s="132"/>
      <c r="CH212" s="143">
        <f t="shared" si="46"/>
        <v>0</v>
      </c>
      <c r="CI212" s="132">
        <f t="shared" si="47"/>
        <v>0</v>
      </c>
      <c r="CJ212" s="143">
        <f t="shared" si="47"/>
        <v>0</v>
      </c>
    </row>
    <row r="213" spans="1:88" x14ac:dyDescent="0.3">
      <c r="A213" s="27"/>
      <c r="B213" s="27"/>
      <c r="C213" s="27"/>
      <c r="D213" s="27"/>
      <c r="E213" s="27"/>
      <c r="F213" s="27"/>
      <c r="G213" s="27"/>
      <c r="H213" s="27"/>
      <c r="I213" s="27"/>
      <c r="J213" s="27"/>
      <c r="K213" s="27"/>
      <c r="L213" s="27"/>
      <c r="N213" s="27"/>
      <c r="O213" s="27"/>
      <c r="P213" s="27"/>
      <c r="Q213" s="117" t="s">
        <v>798</v>
      </c>
      <c r="T213" s="141" t="str">
        <f t="shared" si="36"/>
        <v xml:space="preserve"> </v>
      </c>
      <c r="X213" s="131"/>
      <c r="Y213" s="27"/>
      <c r="AE213" s="27"/>
      <c r="BD213" s="97"/>
      <c r="BE213" s="108"/>
      <c r="BF213" s="108"/>
      <c r="BG213" s="97"/>
      <c r="BH213" s="97"/>
      <c r="BI213" s="97"/>
      <c r="BJ213" s="97"/>
      <c r="BK213" s="110"/>
      <c r="BL213" s="97"/>
      <c r="BM213" s="97"/>
      <c r="BN213" s="97"/>
      <c r="BO213" s="142"/>
      <c r="BP213" s="143">
        <f t="shared" si="37"/>
        <v>0</v>
      </c>
      <c r="BQ213" s="142"/>
      <c r="BR213" s="143">
        <f t="shared" si="38"/>
        <v>0</v>
      </c>
      <c r="BS213" s="132"/>
      <c r="BT213" s="146">
        <f t="shared" si="39"/>
        <v>0</v>
      </c>
      <c r="BU213" s="132"/>
      <c r="BV213" s="143">
        <f t="shared" si="40"/>
        <v>0</v>
      </c>
      <c r="BW213" s="132"/>
      <c r="BX213" s="146">
        <f t="shared" si="41"/>
        <v>0</v>
      </c>
      <c r="BY213" s="132"/>
      <c r="BZ213" s="146">
        <f t="shared" si="42"/>
        <v>0</v>
      </c>
      <c r="CA213" s="132"/>
      <c r="CB213" s="146">
        <f t="shared" si="43"/>
        <v>0</v>
      </c>
      <c r="CC213" s="132"/>
      <c r="CD213" s="143">
        <f t="shared" si="44"/>
        <v>0</v>
      </c>
      <c r="CE213" s="132"/>
      <c r="CF213" s="143">
        <f t="shared" si="45"/>
        <v>0</v>
      </c>
      <c r="CG213" s="132"/>
      <c r="CH213" s="143">
        <f t="shared" si="46"/>
        <v>0</v>
      </c>
      <c r="CI213" s="132">
        <f t="shared" si="47"/>
        <v>0</v>
      </c>
      <c r="CJ213" s="143">
        <f t="shared" si="47"/>
        <v>0</v>
      </c>
    </row>
    <row r="214" spans="1:88" x14ac:dyDescent="0.3">
      <c r="A214" s="27"/>
      <c r="B214" s="27"/>
      <c r="C214" s="27"/>
      <c r="D214" s="27"/>
      <c r="E214" s="27"/>
      <c r="F214" s="27"/>
      <c r="G214" s="27"/>
      <c r="H214" s="27"/>
      <c r="I214" s="27"/>
      <c r="J214" s="27"/>
      <c r="K214" s="27"/>
      <c r="L214" s="27"/>
      <c r="N214" s="27"/>
      <c r="O214" s="27"/>
      <c r="P214" s="27"/>
      <c r="Q214" s="117" t="s">
        <v>799</v>
      </c>
      <c r="T214" s="141" t="str">
        <f t="shared" si="36"/>
        <v xml:space="preserve"> </v>
      </c>
      <c r="X214" s="131"/>
      <c r="Y214" s="27"/>
      <c r="AE214" s="27"/>
      <c r="BD214" s="97"/>
      <c r="BE214" s="108"/>
      <c r="BF214" s="108"/>
      <c r="BG214" s="97"/>
      <c r="BH214" s="97"/>
      <c r="BI214" s="97"/>
      <c r="BJ214" s="97"/>
      <c r="BK214" s="110"/>
      <c r="BL214" s="97"/>
      <c r="BM214" s="97"/>
      <c r="BN214" s="97"/>
      <c r="BO214" s="142"/>
      <c r="BP214" s="143">
        <f t="shared" si="37"/>
        <v>0</v>
      </c>
      <c r="BQ214" s="142"/>
      <c r="BR214" s="143">
        <f t="shared" si="38"/>
        <v>0</v>
      </c>
      <c r="BS214" s="132"/>
      <c r="BT214" s="146">
        <f t="shared" si="39"/>
        <v>0</v>
      </c>
      <c r="BU214" s="132"/>
      <c r="BV214" s="143">
        <f t="shared" si="40"/>
        <v>0</v>
      </c>
      <c r="BW214" s="132"/>
      <c r="BX214" s="146">
        <f t="shared" si="41"/>
        <v>0</v>
      </c>
      <c r="BY214" s="132"/>
      <c r="BZ214" s="146">
        <f t="shared" si="42"/>
        <v>0</v>
      </c>
      <c r="CA214" s="132"/>
      <c r="CB214" s="146">
        <f t="shared" si="43"/>
        <v>0</v>
      </c>
      <c r="CC214" s="132"/>
      <c r="CD214" s="143">
        <f t="shared" si="44"/>
        <v>0</v>
      </c>
      <c r="CE214" s="132"/>
      <c r="CF214" s="143">
        <f t="shared" si="45"/>
        <v>0</v>
      </c>
      <c r="CG214" s="132"/>
      <c r="CH214" s="143">
        <f t="shared" si="46"/>
        <v>0</v>
      </c>
      <c r="CI214" s="132">
        <f t="shared" si="47"/>
        <v>0</v>
      </c>
      <c r="CJ214" s="143">
        <f t="shared" si="47"/>
        <v>0</v>
      </c>
    </row>
    <row r="215" spans="1:88" x14ac:dyDescent="0.3">
      <c r="A215" s="27"/>
      <c r="B215" s="27"/>
      <c r="C215" s="27"/>
      <c r="D215" s="27"/>
      <c r="E215" s="27"/>
      <c r="F215" s="27"/>
      <c r="G215" s="27"/>
      <c r="H215" s="27"/>
      <c r="I215" s="27"/>
      <c r="J215" s="27"/>
      <c r="K215" s="27"/>
      <c r="L215" s="27"/>
      <c r="N215" s="27"/>
      <c r="O215" s="27"/>
      <c r="P215" s="27"/>
      <c r="Q215" s="117" t="s">
        <v>800</v>
      </c>
      <c r="T215" s="141" t="str">
        <f t="shared" si="36"/>
        <v xml:space="preserve"> </v>
      </c>
      <c r="X215" s="131"/>
      <c r="Y215" s="27"/>
      <c r="AE215" s="27"/>
      <c r="BD215" s="97"/>
      <c r="BE215" s="108"/>
      <c r="BF215" s="108"/>
      <c r="BG215" s="97"/>
      <c r="BH215" s="97"/>
      <c r="BI215" s="97"/>
      <c r="BJ215" s="97"/>
      <c r="BK215" s="110"/>
      <c r="BL215" s="97"/>
      <c r="BM215" s="97"/>
      <c r="BN215" s="97"/>
      <c r="BO215" s="142"/>
      <c r="BP215" s="143">
        <f t="shared" si="37"/>
        <v>0</v>
      </c>
      <c r="BQ215" s="142"/>
      <c r="BR215" s="143">
        <f t="shared" si="38"/>
        <v>0</v>
      </c>
      <c r="BS215" s="132"/>
      <c r="BT215" s="146">
        <f t="shared" si="39"/>
        <v>0</v>
      </c>
      <c r="BU215" s="132"/>
      <c r="BV215" s="143">
        <f t="shared" si="40"/>
        <v>0</v>
      </c>
      <c r="BW215" s="132"/>
      <c r="BX215" s="146">
        <f t="shared" si="41"/>
        <v>0</v>
      </c>
      <c r="BY215" s="132"/>
      <c r="BZ215" s="146">
        <f t="shared" si="42"/>
        <v>0</v>
      </c>
      <c r="CA215" s="132"/>
      <c r="CB215" s="146">
        <f t="shared" si="43"/>
        <v>0</v>
      </c>
      <c r="CC215" s="132"/>
      <c r="CD215" s="143">
        <f t="shared" si="44"/>
        <v>0</v>
      </c>
      <c r="CE215" s="132"/>
      <c r="CF215" s="143">
        <f t="shared" si="45"/>
        <v>0</v>
      </c>
      <c r="CG215" s="132"/>
      <c r="CH215" s="143">
        <f t="shared" si="46"/>
        <v>0</v>
      </c>
      <c r="CI215" s="132">
        <f t="shared" si="47"/>
        <v>0</v>
      </c>
      <c r="CJ215" s="143">
        <f t="shared" si="47"/>
        <v>0</v>
      </c>
    </row>
    <row r="216" spans="1:88" x14ac:dyDescent="0.3">
      <c r="A216" s="27"/>
      <c r="B216" s="27"/>
      <c r="C216" s="27"/>
      <c r="D216" s="27"/>
      <c r="E216" s="27"/>
      <c r="F216" s="27"/>
      <c r="G216" s="27"/>
      <c r="H216" s="27"/>
      <c r="I216" s="27"/>
      <c r="J216" s="27"/>
      <c r="K216" s="27"/>
      <c r="L216" s="27"/>
      <c r="N216" s="27"/>
      <c r="O216" s="27"/>
      <c r="P216" s="27"/>
      <c r="Q216" s="117" t="s">
        <v>801</v>
      </c>
      <c r="T216" s="141" t="str">
        <f t="shared" si="36"/>
        <v xml:space="preserve"> </v>
      </c>
      <c r="X216" s="131"/>
      <c r="Y216" s="27"/>
      <c r="AE216" s="27"/>
      <c r="BD216" s="97"/>
      <c r="BE216" s="108"/>
      <c r="BF216" s="108"/>
      <c r="BG216" s="97"/>
      <c r="BH216" s="97"/>
      <c r="BI216" s="97"/>
      <c r="BJ216" s="97"/>
      <c r="BK216" s="110"/>
      <c r="BL216" s="97"/>
      <c r="BM216" s="97"/>
      <c r="BN216" s="97"/>
      <c r="BO216" s="142"/>
      <c r="BP216" s="143">
        <f t="shared" si="37"/>
        <v>0</v>
      </c>
      <c r="BQ216" s="142"/>
      <c r="BR216" s="143">
        <f t="shared" si="38"/>
        <v>0</v>
      </c>
      <c r="BS216" s="132"/>
      <c r="BT216" s="146">
        <f t="shared" si="39"/>
        <v>0</v>
      </c>
      <c r="BU216" s="132"/>
      <c r="BV216" s="143">
        <f t="shared" si="40"/>
        <v>0</v>
      </c>
      <c r="BW216" s="132"/>
      <c r="BX216" s="146">
        <f t="shared" si="41"/>
        <v>0</v>
      </c>
      <c r="BY216" s="132"/>
      <c r="BZ216" s="146">
        <f t="shared" si="42"/>
        <v>0</v>
      </c>
      <c r="CA216" s="132"/>
      <c r="CB216" s="146">
        <f t="shared" si="43"/>
        <v>0</v>
      </c>
      <c r="CC216" s="132"/>
      <c r="CD216" s="143">
        <f t="shared" si="44"/>
        <v>0</v>
      </c>
      <c r="CE216" s="132"/>
      <c r="CF216" s="143">
        <f t="shared" si="45"/>
        <v>0</v>
      </c>
      <c r="CG216" s="132"/>
      <c r="CH216" s="143">
        <f t="shared" si="46"/>
        <v>0</v>
      </c>
      <c r="CI216" s="132">
        <f t="shared" si="47"/>
        <v>0</v>
      </c>
      <c r="CJ216" s="143">
        <f t="shared" si="47"/>
        <v>0</v>
      </c>
    </row>
    <row r="217" spans="1:88" x14ac:dyDescent="0.3">
      <c r="A217" s="27"/>
      <c r="B217" s="27"/>
      <c r="C217" s="27"/>
      <c r="D217" s="27"/>
      <c r="E217" s="27"/>
      <c r="F217" s="27"/>
      <c r="G217" s="27"/>
      <c r="H217" s="27"/>
      <c r="I217" s="27"/>
      <c r="J217" s="27"/>
      <c r="K217" s="27"/>
      <c r="L217" s="27"/>
      <c r="N217" s="27"/>
      <c r="O217" s="27"/>
      <c r="P217" s="27"/>
      <c r="Q217" s="117" t="s">
        <v>802</v>
      </c>
      <c r="T217" s="141" t="str">
        <f t="shared" si="36"/>
        <v xml:space="preserve"> </v>
      </c>
      <c r="X217" s="131"/>
      <c r="Y217" s="27"/>
      <c r="AE217" s="27"/>
      <c r="BD217" s="97"/>
      <c r="BE217" s="108"/>
      <c r="BF217" s="108"/>
      <c r="BG217" s="97"/>
      <c r="BH217" s="97"/>
      <c r="BI217" s="97"/>
      <c r="BJ217" s="97"/>
      <c r="BK217" s="110"/>
      <c r="BL217" s="97"/>
      <c r="BM217" s="97"/>
      <c r="BN217" s="97"/>
      <c r="BO217" s="142"/>
      <c r="BP217" s="143">
        <f t="shared" si="37"/>
        <v>0</v>
      </c>
      <c r="BQ217" s="142"/>
      <c r="BR217" s="143">
        <f t="shared" si="38"/>
        <v>0</v>
      </c>
      <c r="BS217" s="132"/>
      <c r="BT217" s="146">
        <f t="shared" si="39"/>
        <v>0</v>
      </c>
      <c r="BU217" s="132"/>
      <c r="BV217" s="143">
        <f t="shared" si="40"/>
        <v>0</v>
      </c>
      <c r="BW217" s="132"/>
      <c r="BX217" s="146">
        <f t="shared" si="41"/>
        <v>0</v>
      </c>
      <c r="BY217" s="132"/>
      <c r="BZ217" s="146">
        <f t="shared" si="42"/>
        <v>0</v>
      </c>
      <c r="CA217" s="132"/>
      <c r="CB217" s="146">
        <f t="shared" si="43"/>
        <v>0</v>
      </c>
      <c r="CC217" s="132"/>
      <c r="CD217" s="143">
        <f t="shared" si="44"/>
        <v>0</v>
      </c>
      <c r="CE217" s="132"/>
      <c r="CF217" s="143">
        <f t="shared" si="45"/>
        <v>0</v>
      </c>
      <c r="CG217" s="132"/>
      <c r="CH217" s="143">
        <f t="shared" si="46"/>
        <v>0</v>
      </c>
      <c r="CI217" s="132">
        <f t="shared" si="47"/>
        <v>0</v>
      </c>
      <c r="CJ217" s="143">
        <f t="shared" si="47"/>
        <v>0</v>
      </c>
    </row>
    <row r="218" spans="1:88" x14ac:dyDescent="0.3">
      <c r="A218" s="27"/>
      <c r="B218" s="27"/>
      <c r="C218" s="27"/>
      <c r="D218" s="27"/>
      <c r="E218" s="27"/>
      <c r="F218" s="27"/>
      <c r="G218" s="27"/>
      <c r="H218" s="27"/>
      <c r="I218" s="27"/>
      <c r="J218" s="27"/>
      <c r="K218" s="27"/>
      <c r="L218" s="27"/>
      <c r="N218" s="27"/>
      <c r="O218" s="27"/>
      <c r="P218" s="27"/>
      <c r="Q218" s="117" t="s">
        <v>803</v>
      </c>
      <c r="T218" s="141" t="str">
        <f t="shared" si="36"/>
        <v xml:space="preserve"> </v>
      </c>
      <c r="X218" s="131"/>
      <c r="Y218" s="27"/>
      <c r="AE218" s="27"/>
      <c r="BD218" s="97"/>
      <c r="BE218" s="108"/>
      <c r="BF218" s="108"/>
      <c r="BG218" s="97"/>
      <c r="BH218" s="97"/>
      <c r="BI218" s="97"/>
      <c r="BJ218" s="97"/>
      <c r="BK218" s="110"/>
      <c r="BL218" s="97"/>
      <c r="BM218" s="97"/>
      <c r="BN218" s="97"/>
      <c r="BO218" s="142"/>
      <c r="BP218" s="143">
        <f t="shared" si="37"/>
        <v>0</v>
      </c>
      <c r="BQ218" s="142"/>
      <c r="BR218" s="143">
        <f t="shared" si="38"/>
        <v>0</v>
      </c>
      <c r="BS218" s="132"/>
      <c r="BT218" s="146">
        <f t="shared" si="39"/>
        <v>0</v>
      </c>
      <c r="BU218" s="132"/>
      <c r="BV218" s="143">
        <f t="shared" si="40"/>
        <v>0</v>
      </c>
      <c r="BW218" s="132"/>
      <c r="BX218" s="146">
        <f t="shared" si="41"/>
        <v>0</v>
      </c>
      <c r="BY218" s="132"/>
      <c r="BZ218" s="146">
        <f t="shared" si="42"/>
        <v>0</v>
      </c>
      <c r="CA218" s="132"/>
      <c r="CB218" s="146">
        <f t="shared" si="43"/>
        <v>0</v>
      </c>
      <c r="CC218" s="132"/>
      <c r="CD218" s="143">
        <f t="shared" si="44"/>
        <v>0</v>
      </c>
      <c r="CE218" s="132"/>
      <c r="CF218" s="143">
        <f t="shared" si="45"/>
        <v>0</v>
      </c>
      <c r="CG218" s="132"/>
      <c r="CH218" s="143">
        <f t="shared" si="46"/>
        <v>0</v>
      </c>
      <c r="CI218" s="132">
        <f t="shared" si="47"/>
        <v>0</v>
      </c>
      <c r="CJ218" s="143">
        <f t="shared" si="47"/>
        <v>0</v>
      </c>
    </row>
    <row r="219" spans="1:88" x14ac:dyDescent="0.3">
      <c r="A219" s="27"/>
      <c r="B219" s="27"/>
      <c r="C219" s="27"/>
      <c r="D219" s="27"/>
      <c r="E219" s="27"/>
      <c r="F219" s="27"/>
      <c r="G219" s="27"/>
      <c r="H219" s="27"/>
      <c r="I219" s="27"/>
      <c r="J219" s="27"/>
      <c r="K219" s="27"/>
      <c r="L219" s="27"/>
      <c r="N219" s="27"/>
      <c r="O219" s="27"/>
      <c r="P219" s="27"/>
      <c r="Q219" s="117" t="s">
        <v>804</v>
      </c>
      <c r="T219" s="141" t="str">
        <f t="shared" si="36"/>
        <v xml:space="preserve"> </v>
      </c>
      <c r="X219" s="131"/>
      <c r="Y219" s="27"/>
      <c r="AE219" s="27"/>
      <c r="BD219" s="97"/>
      <c r="BE219" s="108"/>
      <c r="BF219" s="108"/>
      <c r="BG219" s="97"/>
      <c r="BH219" s="97"/>
      <c r="BI219" s="97"/>
      <c r="BJ219" s="97"/>
      <c r="BK219" s="110"/>
      <c r="BL219" s="97"/>
      <c r="BM219" s="97"/>
      <c r="BN219" s="97"/>
      <c r="BO219" s="142"/>
      <c r="BP219" s="143">
        <f t="shared" si="37"/>
        <v>0</v>
      </c>
      <c r="BQ219" s="142"/>
      <c r="BR219" s="143">
        <f t="shared" si="38"/>
        <v>0</v>
      </c>
      <c r="BS219" s="132"/>
      <c r="BT219" s="146">
        <f t="shared" si="39"/>
        <v>0</v>
      </c>
      <c r="BU219" s="132"/>
      <c r="BV219" s="143">
        <f t="shared" si="40"/>
        <v>0</v>
      </c>
      <c r="BW219" s="132"/>
      <c r="BX219" s="146">
        <f t="shared" si="41"/>
        <v>0</v>
      </c>
      <c r="BY219" s="132"/>
      <c r="BZ219" s="146">
        <f t="shared" si="42"/>
        <v>0</v>
      </c>
      <c r="CA219" s="132"/>
      <c r="CB219" s="146">
        <f t="shared" si="43"/>
        <v>0</v>
      </c>
      <c r="CC219" s="132"/>
      <c r="CD219" s="143">
        <f t="shared" si="44"/>
        <v>0</v>
      </c>
      <c r="CE219" s="132"/>
      <c r="CF219" s="143">
        <f t="shared" si="45"/>
        <v>0</v>
      </c>
      <c r="CG219" s="132"/>
      <c r="CH219" s="143">
        <f t="shared" si="46"/>
        <v>0</v>
      </c>
      <c r="CI219" s="132">
        <f t="shared" si="47"/>
        <v>0</v>
      </c>
      <c r="CJ219" s="143">
        <f t="shared" si="47"/>
        <v>0</v>
      </c>
    </row>
    <row r="220" spans="1:88" x14ac:dyDescent="0.3">
      <c r="A220" s="27"/>
      <c r="B220" s="27"/>
      <c r="C220" s="27"/>
      <c r="D220" s="27"/>
      <c r="E220" s="27"/>
      <c r="F220" s="27"/>
      <c r="G220" s="27"/>
      <c r="H220" s="27"/>
      <c r="I220" s="27"/>
      <c r="J220" s="27"/>
      <c r="K220" s="27"/>
      <c r="L220" s="27"/>
      <c r="N220" s="27"/>
      <c r="O220" s="27"/>
      <c r="P220" s="27"/>
      <c r="Q220" s="117" t="s">
        <v>805</v>
      </c>
      <c r="T220" s="141" t="str">
        <f t="shared" si="36"/>
        <v xml:space="preserve"> </v>
      </c>
      <c r="X220" s="131"/>
      <c r="Y220" s="27"/>
      <c r="AE220" s="27"/>
      <c r="BD220" s="97"/>
      <c r="BE220" s="108"/>
      <c r="BF220" s="108"/>
      <c r="BG220" s="97"/>
      <c r="BH220" s="97"/>
      <c r="BI220" s="97"/>
      <c r="BJ220" s="97"/>
      <c r="BK220" s="110"/>
      <c r="BL220" s="97"/>
      <c r="BM220" s="97"/>
      <c r="BN220" s="97"/>
      <c r="BO220" s="142"/>
      <c r="BP220" s="143">
        <f t="shared" si="37"/>
        <v>0</v>
      </c>
      <c r="BQ220" s="142"/>
      <c r="BR220" s="143">
        <f t="shared" si="38"/>
        <v>0</v>
      </c>
      <c r="BS220" s="132"/>
      <c r="BT220" s="146">
        <f t="shared" si="39"/>
        <v>0</v>
      </c>
      <c r="BU220" s="132"/>
      <c r="BV220" s="143">
        <f t="shared" si="40"/>
        <v>0</v>
      </c>
      <c r="BW220" s="132"/>
      <c r="BX220" s="146">
        <f t="shared" si="41"/>
        <v>0</v>
      </c>
      <c r="BY220" s="132"/>
      <c r="BZ220" s="146">
        <f t="shared" si="42"/>
        <v>0</v>
      </c>
      <c r="CA220" s="132"/>
      <c r="CB220" s="146">
        <f t="shared" si="43"/>
        <v>0</v>
      </c>
      <c r="CC220" s="132"/>
      <c r="CD220" s="143">
        <f t="shared" si="44"/>
        <v>0</v>
      </c>
      <c r="CE220" s="132"/>
      <c r="CF220" s="143">
        <f t="shared" si="45"/>
        <v>0</v>
      </c>
      <c r="CG220" s="132"/>
      <c r="CH220" s="143">
        <f t="shared" si="46"/>
        <v>0</v>
      </c>
      <c r="CI220" s="132">
        <f t="shared" si="47"/>
        <v>0</v>
      </c>
      <c r="CJ220" s="143">
        <f t="shared" si="47"/>
        <v>0</v>
      </c>
    </row>
    <row r="221" spans="1:88" x14ac:dyDescent="0.3">
      <c r="A221" s="27"/>
      <c r="B221" s="27"/>
      <c r="C221" s="27"/>
      <c r="D221" s="27"/>
      <c r="E221" s="27"/>
      <c r="F221" s="27"/>
      <c r="G221" s="27"/>
      <c r="H221" s="27"/>
      <c r="I221" s="27"/>
      <c r="J221" s="27"/>
      <c r="K221" s="27"/>
      <c r="L221" s="27"/>
      <c r="N221" s="27"/>
      <c r="O221" s="27"/>
      <c r="P221" s="27"/>
      <c r="Q221" s="117" t="s">
        <v>806</v>
      </c>
      <c r="T221" s="141" t="str">
        <f t="shared" si="36"/>
        <v xml:space="preserve"> </v>
      </c>
      <c r="X221" s="131"/>
      <c r="Y221" s="27"/>
      <c r="AE221" s="27"/>
      <c r="BD221" s="97"/>
      <c r="BE221" s="108"/>
      <c r="BF221" s="108"/>
      <c r="BG221" s="97"/>
      <c r="BH221" s="97"/>
      <c r="BI221" s="97"/>
      <c r="BJ221" s="97"/>
      <c r="BK221" s="110"/>
      <c r="BL221" s="97"/>
      <c r="BM221" s="97"/>
      <c r="BN221" s="97"/>
      <c r="BO221" s="142"/>
      <c r="BP221" s="143">
        <f t="shared" si="37"/>
        <v>0</v>
      </c>
      <c r="BQ221" s="142"/>
      <c r="BR221" s="143">
        <f t="shared" si="38"/>
        <v>0</v>
      </c>
      <c r="BS221" s="132"/>
      <c r="BT221" s="146">
        <f t="shared" si="39"/>
        <v>0</v>
      </c>
      <c r="BU221" s="132"/>
      <c r="BV221" s="143">
        <f t="shared" si="40"/>
        <v>0</v>
      </c>
      <c r="BW221" s="132"/>
      <c r="BX221" s="146">
        <f t="shared" si="41"/>
        <v>0</v>
      </c>
      <c r="BY221" s="132"/>
      <c r="BZ221" s="146">
        <f t="shared" si="42"/>
        <v>0</v>
      </c>
      <c r="CA221" s="132"/>
      <c r="CB221" s="146">
        <f t="shared" si="43"/>
        <v>0</v>
      </c>
      <c r="CC221" s="132"/>
      <c r="CD221" s="143">
        <f t="shared" si="44"/>
        <v>0</v>
      </c>
      <c r="CE221" s="132"/>
      <c r="CF221" s="143">
        <f t="shared" si="45"/>
        <v>0</v>
      </c>
      <c r="CG221" s="132"/>
      <c r="CH221" s="143">
        <f t="shared" si="46"/>
        <v>0</v>
      </c>
      <c r="CI221" s="132">
        <f t="shared" si="47"/>
        <v>0</v>
      </c>
      <c r="CJ221" s="143">
        <f t="shared" si="47"/>
        <v>0</v>
      </c>
    </row>
    <row r="222" spans="1:88" x14ac:dyDescent="0.3">
      <c r="A222" s="27"/>
      <c r="B222" s="27"/>
      <c r="C222" s="27"/>
      <c r="D222" s="27"/>
      <c r="E222" s="27"/>
      <c r="F222" s="27"/>
      <c r="G222" s="27"/>
      <c r="H222" s="27"/>
      <c r="I222" s="27"/>
      <c r="J222" s="27"/>
      <c r="K222" s="27"/>
      <c r="L222" s="27"/>
      <c r="N222" s="27"/>
      <c r="O222" s="27"/>
      <c r="P222" s="27"/>
      <c r="Q222" s="117" t="s">
        <v>807</v>
      </c>
      <c r="T222" s="141" t="str">
        <f t="shared" si="36"/>
        <v xml:space="preserve"> </v>
      </c>
      <c r="X222" s="131"/>
      <c r="Y222" s="27"/>
      <c r="AE222" s="27"/>
      <c r="BD222" s="97"/>
      <c r="BE222" s="108"/>
      <c r="BF222" s="108"/>
      <c r="BG222" s="97"/>
      <c r="BH222" s="97"/>
      <c r="BI222" s="97"/>
      <c r="BJ222" s="97"/>
      <c r="BK222" s="110"/>
      <c r="BL222" s="97"/>
      <c r="BM222" s="97"/>
      <c r="BN222" s="97"/>
      <c r="BO222" s="142"/>
      <c r="BP222" s="143">
        <f t="shared" si="37"/>
        <v>0</v>
      </c>
      <c r="BQ222" s="142"/>
      <c r="BR222" s="143">
        <f t="shared" si="38"/>
        <v>0</v>
      </c>
      <c r="BS222" s="132"/>
      <c r="BT222" s="146">
        <f t="shared" si="39"/>
        <v>0</v>
      </c>
      <c r="BU222" s="132"/>
      <c r="BV222" s="143">
        <f t="shared" si="40"/>
        <v>0</v>
      </c>
      <c r="BW222" s="132"/>
      <c r="BX222" s="146">
        <f t="shared" si="41"/>
        <v>0</v>
      </c>
      <c r="BY222" s="132"/>
      <c r="BZ222" s="146">
        <f t="shared" si="42"/>
        <v>0</v>
      </c>
      <c r="CA222" s="132"/>
      <c r="CB222" s="146">
        <f t="shared" si="43"/>
        <v>0</v>
      </c>
      <c r="CC222" s="132"/>
      <c r="CD222" s="143">
        <f t="shared" si="44"/>
        <v>0</v>
      </c>
      <c r="CE222" s="132"/>
      <c r="CF222" s="143">
        <f t="shared" si="45"/>
        <v>0</v>
      </c>
      <c r="CG222" s="132"/>
      <c r="CH222" s="143">
        <f t="shared" si="46"/>
        <v>0</v>
      </c>
      <c r="CI222" s="132">
        <f t="shared" si="47"/>
        <v>0</v>
      </c>
      <c r="CJ222" s="143">
        <f t="shared" si="47"/>
        <v>0</v>
      </c>
    </row>
    <row r="223" spans="1:88" x14ac:dyDescent="0.3">
      <c r="A223" s="27"/>
      <c r="B223" s="27"/>
      <c r="C223" s="27"/>
      <c r="D223" s="27"/>
      <c r="E223" s="27"/>
      <c r="F223" s="27"/>
      <c r="G223" s="27"/>
      <c r="H223" s="27"/>
      <c r="I223" s="27"/>
      <c r="J223" s="27"/>
      <c r="K223" s="27"/>
      <c r="L223" s="27"/>
      <c r="N223" s="27"/>
      <c r="O223" s="27"/>
      <c r="P223" s="27"/>
      <c r="Q223" s="117" t="s">
        <v>808</v>
      </c>
      <c r="T223" s="141" t="str">
        <f t="shared" si="36"/>
        <v xml:space="preserve"> </v>
      </c>
      <c r="X223" s="131"/>
      <c r="Y223" s="27"/>
      <c r="AE223" s="27"/>
      <c r="BD223" s="97"/>
      <c r="BE223" s="108"/>
      <c r="BF223" s="108"/>
      <c r="BG223" s="97"/>
      <c r="BH223" s="97"/>
      <c r="BI223" s="97"/>
      <c r="BJ223" s="97"/>
      <c r="BK223" s="110"/>
      <c r="BL223" s="97"/>
      <c r="BM223" s="97"/>
      <c r="BN223" s="97"/>
      <c r="BO223" s="147"/>
      <c r="BP223" s="143">
        <f t="shared" si="37"/>
        <v>0</v>
      </c>
      <c r="BQ223" s="147"/>
      <c r="BR223" s="143">
        <f t="shared" si="38"/>
        <v>0</v>
      </c>
      <c r="BS223" s="132"/>
      <c r="BT223" s="146">
        <f t="shared" si="39"/>
        <v>0</v>
      </c>
      <c r="BU223" s="66"/>
      <c r="BV223" s="143">
        <f t="shared" si="40"/>
        <v>0</v>
      </c>
      <c r="BW223" s="66"/>
      <c r="BX223" s="146">
        <f t="shared" si="41"/>
        <v>0</v>
      </c>
      <c r="BY223" s="66"/>
      <c r="BZ223" s="146">
        <f t="shared" si="42"/>
        <v>0</v>
      </c>
      <c r="CA223" s="66"/>
      <c r="CB223" s="146">
        <f t="shared" si="43"/>
        <v>0</v>
      </c>
      <c r="CC223" s="66"/>
      <c r="CD223" s="143">
        <f t="shared" si="44"/>
        <v>0</v>
      </c>
      <c r="CE223" s="66"/>
      <c r="CF223" s="143">
        <f t="shared" si="45"/>
        <v>0</v>
      </c>
      <c r="CG223" s="132"/>
      <c r="CH223" s="143">
        <f t="shared" si="46"/>
        <v>0</v>
      </c>
      <c r="CI223" s="132">
        <f t="shared" si="47"/>
        <v>0</v>
      </c>
      <c r="CJ223" s="143">
        <f t="shared" si="47"/>
        <v>0</v>
      </c>
    </row>
    <row r="224" spans="1:88" x14ac:dyDescent="0.3">
      <c r="A224" s="27"/>
      <c r="B224" s="27"/>
      <c r="C224" s="27"/>
      <c r="D224" s="27"/>
      <c r="E224" s="27"/>
      <c r="F224" s="27"/>
      <c r="G224" s="27"/>
      <c r="H224" s="27"/>
      <c r="I224" s="27"/>
      <c r="J224" s="27"/>
      <c r="K224" s="27"/>
      <c r="L224" s="27"/>
      <c r="N224" s="27"/>
      <c r="O224" s="27"/>
      <c r="P224" s="27"/>
      <c r="Q224" s="117" t="s">
        <v>809</v>
      </c>
      <c r="T224" s="141" t="str">
        <f t="shared" si="36"/>
        <v xml:space="preserve"> </v>
      </c>
      <c r="X224" s="131"/>
      <c r="Y224" s="27"/>
      <c r="AE224" s="27"/>
      <c r="BD224" s="97"/>
      <c r="BE224" s="108"/>
      <c r="BF224" s="108"/>
      <c r="BG224" s="97"/>
      <c r="BH224" s="97"/>
      <c r="BI224" s="97"/>
      <c r="BJ224" s="97"/>
      <c r="BK224" s="110"/>
      <c r="BL224" s="97"/>
      <c r="BM224" s="97"/>
      <c r="BN224" s="97"/>
      <c r="BO224" s="153"/>
      <c r="BP224" s="143">
        <f t="shared" si="37"/>
        <v>0</v>
      </c>
      <c r="BQ224" s="153"/>
      <c r="BR224" s="143">
        <f t="shared" si="38"/>
        <v>0</v>
      </c>
      <c r="BS224" s="132"/>
      <c r="BT224" s="146">
        <f t="shared" si="39"/>
        <v>0</v>
      </c>
      <c r="BU224" s="154"/>
      <c r="BV224" s="143">
        <f t="shared" si="40"/>
        <v>0</v>
      </c>
      <c r="BW224" s="154"/>
      <c r="BX224" s="146">
        <f t="shared" si="41"/>
        <v>0</v>
      </c>
      <c r="BY224" s="154"/>
      <c r="BZ224" s="146">
        <f t="shared" si="42"/>
        <v>0</v>
      </c>
      <c r="CA224" s="154"/>
      <c r="CB224" s="146">
        <f t="shared" si="43"/>
        <v>0</v>
      </c>
      <c r="CC224" s="154"/>
      <c r="CD224" s="143">
        <f t="shared" si="44"/>
        <v>0</v>
      </c>
      <c r="CE224" s="154"/>
      <c r="CF224" s="143">
        <f t="shared" si="45"/>
        <v>0</v>
      </c>
      <c r="CG224" s="132"/>
      <c r="CH224" s="143">
        <f t="shared" si="46"/>
        <v>0</v>
      </c>
      <c r="CI224" s="132">
        <f t="shared" si="47"/>
        <v>0</v>
      </c>
      <c r="CJ224" s="143">
        <f t="shared" si="47"/>
        <v>0</v>
      </c>
    </row>
    <row r="225" spans="1:88" x14ac:dyDescent="0.3">
      <c r="A225" s="27"/>
      <c r="B225" s="27"/>
      <c r="C225" s="27"/>
      <c r="D225" s="27"/>
      <c r="E225" s="27"/>
      <c r="F225" s="27"/>
      <c r="G225" s="27"/>
      <c r="H225" s="27"/>
      <c r="I225" s="27"/>
      <c r="J225" s="27"/>
      <c r="K225" s="27"/>
      <c r="L225" s="27"/>
      <c r="N225" s="27"/>
      <c r="O225" s="27"/>
      <c r="P225" s="27"/>
      <c r="Q225" s="117" t="s">
        <v>810</v>
      </c>
      <c r="T225" s="141" t="str">
        <f t="shared" si="36"/>
        <v xml:space="preserve"> </v>
      </c>
      <c r="X225" s="131"/>
      <c r="Y225" s="27"/>
      <c r="AE225" s="27"/>
      <c r="BD225" s="97"/>
      <c r="BE225" s="108"/>
      <c r="BF225" s="108"/>
      <c r="BG225" s="97"/>
      <c r="BH225" s="97"/>
      <c r="BI225" s="97"/>
      <c r="BJ225" s="97"/>
      <c r="BK225" s="110"/>
      <c r="BL225" s="97"/>
      <c r="BM225" s="97"/>
      <c r="BN225" s="97"/>
      <c r="BO225" s="153"/>
      <c r="BP225" s="143">
        <f t="shared" si="37"/>
        <v>0</v>
      </c>
      <c r="BQ225" s="153"/>
      <c r="BR225" s="143">
        <f t="shared" si="38"/>
        <v>0</v>
      </c>
      <c r="BS225" s="132"/>
      <c r="BT225" s="146">
        <f t="shared" si="39"/>
        <v>0</v>
      </c>
      <c r="BU225" s="154"/>
      <c r="BV225" s="143">
        <f t="shared" si="40"/>
        <v>0</v>
      </c>
      <c r="BW225" s="154"/>
      <c r="BX225" s="146">
        <f t="shared" si="41"/>
        <v>0</v>
      </c>
      <c r="BY225" s="154"/>
      <c r="BZ225" s="146">
        <f t="shared" si="42"/>
        <v>0</v>
      </c>
      <c r="CA225" s="154"/>
      <c r="CB225" s="146">
        <f t="shared" si="43"/>
        <v>0</v>
      </c>
      <c r="CC225" s="154"/>
      <c r="CD225" s="143">
        <f t="shared" si="44"/>
        <v>0</v>
      </c>
      <c r="CE225" s="154"/>
      <c r="CF225" s="143">
        <f t="shared" si="45"/>
        <v>0</v>
      </c>
      <c r="CG225" s="132"/>
      <c r="CH225" s="143">
        <f t="shared" si="46"/>
        <v>0</v>
      </c>
      <c r="CI225" s="132">
        <f t="shared" si="47"/>
        <v>0</v>
      </c>
      <c r="CJ225" s="143">
        <f t="shared" si="47"/>
        <v>0</v>
      </c>
    </row>
    <row r="226" spans="1:88" x14ac:dyDescent="0.3">
      <c r="A226" s="27"/>
      <c r="B226" s="27"/>
      <c r="C226" s="27"/>
      <c r="D226" s="27"/>
      <c r="E226" s="27"/>
      <c r="F226" s="27"/>
      <c r="G226" s="27"/>
      <c r="H226" s="27"/>
      <c r="I226" s="27"/>
      <c r="J226" s="27"/>
      <c r="K226" s="27"/>
      <c r="L226" s="27"/>
      <c r="N226" s="27"/>
      <c r="O226" s="27"/>
      <c r="P226" s="27"/>
      <c r="Q226" s="117" t="s">
        <v>811</v>
      </c>
      <c r="T226" s="141" t="str">
        <f t="shared" si="36"/>
        <v xml:space="preserve"> </v>
      </c>
      <c r="X226" s="131"/>
      <c r="Y226" s="27"/>
      <c r="AE226" s="27"/>
      <c r="BD226" s="97"/>
      <c r="BE226" s="108"/>
      <c r="BF226" s="108"/>
      <c r="BG226" s="97"/>
      <c r="BH226" s="97"/>
      <c r="BI226" s="97"/>
      <c r="BJ226" s="97"/>
      <c r="BK226" s="110"/>
      <c r="BL226" s="97"/>
      <c r="BM226" s="97"/>
      <c r="BN226" s="97"/>
      <c r="BO226" s="142"/>
      <c r="BP226" s="143">
        <f t="shared" si="37"/>
        <v>0</v>
      </c>
      <c r="BQ226" s="142"/>
      <c r="BR226" s="143">
        <f t="shared" si="38"/>
        <v>0</v>
      </c>
      <c r="BS226" s="132"/>
      <c r="BT226" s="146">
        <f t="shared" si="39"/>
        <v>0</v>
      </c>
      <c r="BU226" s="132"/>
      <c r="BV226" s="143">
        <f t="shared" si="40"/>
        <v>0</v>
      </c>
      <c r="BW226" s="132"/>
      <c r="BX226" s="146">
        <f t="shared" si="41"/>
        <v>0</v>
      </c>
      <c r="BY226" s="132"/>
      <c r="BZ226" s="146">
        <f t="shared" si="42"/>
        <v>0</v>
      </c>
      <c r="CA226" s="132"/>
      <c r="CB226" s="146">
        <f t="shared" si="43"/>
        <v>0</v>
      </c>
      <c r="CC226" s="132"/>
      <c r="CD226" s="143">
        <f t="shared" si="44"/>
        <v>0</v>
      </c>
      <c r="CE226" s="132"/>
      <c r="CF226" s="143">
        <f t="shared" si="45"/>
        <v>0</v>
      </c>
      <c r="CG226" s="132"/>
      <c r="CH226" s="143">
        <f t="shared" si="46"/>
        <v>0</v>
      </c>
      <c r="CI226" s="132">
        <f t="shared" si="47"/>
        <v>0</v>
      </c>
      <c r="CJ226" s="143">
        <f t="shared" si="47"/>
        <v>0</v>
      </c>
    </row>
    <row r="227" spans="1:88" x14ac:dyDescent="0.3">
      <c r="A227" s="27"/>
      <c r="B227" s="27"/>
      <c r="C227" s="27"/>
      <c r="D227" s="27"/>
      <c r="E227" s="27"/>
      <c r="F227" s="27"/>
      <c r="G227" s="27"/>
      <c r="H227" s="27"/>
      <c r="I227" s="27"/>
      <c r="J227" s="27"/>
      <c r="K227" s="27"/>
      <c r="L227" s="27"/>
      <c r="N227" s="27"/>
      <c r="O227" s="27"/>
      <c r="P227" s="27"/>
      <c r="Q227" s="117" t="s">
        <v>812</v>
      </c>
      <c r="T227" s="141" t="str">
        <f t="shared" ref="T227:T290" si="48">TRIM(U227)&amp;" "&amp;TRIM(V227)</f>
        <v xml:space="preserve"> </v>
      </c>
      <c r="X227" s="131"/>
      <c r="Y227" s="27"/>
      <c r="AE227" s="27"/>
      <c r="BD227" s="97"/>
      <c r="BE227" s="108"/>
      <c r="BF227" s="108"/>
      <c r="BG227" s="97"/>
      <c r="BH227" s="97"/>
      <c r="BI227" s="97"/>
      <c r="BJ227" s="97"/>
      <c r="BK227" s="110"/>
      <c r="BL227" s="97"/>
      <c r="BM227" s="97"/>
      <c r="BN227" s="97"/>
      <c r="BO227" s="142"/>
      <c r="BP227" s="143">
        <f t="shared" si="37"/>
        <v>0</v>
      </c>
      <c r="BQ227" s="142"/>
      <c r="BR227" s="143">
        <f t="shared" si="38"/>
        <v>0</v>
      </c>
      <c r="BS227" s="132"/>
      <c r="BT227" s="146">
        <f t="shared" si="39"/>
        <v>0</v>
      </c>
      <c r="BU227" s="132"/>
      <c r="BV227" s="143">
        <f t="shared" si="40"/>
        <v>0</v>
      </c>
      <c r="BW227" s="132"/>
      <c r="BX227" s="146">
        <f t="shared" si="41"/>
        <v>0</v>
      </c>
      <c r="BY227" s="132"/>
      <c r="BZ227" s="146">
        <f t="shared" si="42"/>
        <v>0</v>
      </c>
      <c r="CA227" s="132"/>
      <c r="CB227" s="146">
        <f t="shared" si="43"/>
        <v>0</v>
      </c>
      <c r="CC227" s="132"/>
      <c r="CD227" s="143">
        <f t="shared" si="44"/>
        <v>0</v>
      </c>
      <c r="CE227" s="132"/>
      <c r="CF227" s="143">
        <f t="shared" si="45"/>
        <v>0</v>
      </c>
      <c r="CG227" s="132"/>
      <c r="CH227" s="143">
        <f t="shared" si="46"/>
        <v>0</v>
      </c>
      <c r="CI227" s="132">
        <f t="shared" si="47"/>
        <v>0</v>
      </c>
      <c r="CJ227" s="143">
        <f t="shared" si="47"/>
        <v>0</v>
      </c>
    </row>
    <row r="228" spans="1:88" x14ac:dyDescent="0.3">
      <c r="A228" s="27"/>
      <c r="B228" s="27"/>
      <c r="C228" s="27"/>
      <c r="D228" s="27"/>
      <c r="E228" s="27"/>
      <c r="F228" s="27"/>
      <c r="G228" s="27"/>
      <c r="H228" s="27"/>
      <c r="I228" s="27"/>
      <c r="J228" s="27"/>
      <c r="K228" s="27"/>
      <c r="L228" s="27"/>
      <c r="N228" s="27"/>
      <c r="O228" s="27"/>
      <c r="P228" s="27"/>
      <c r="Q228" s="117" t="s">
        <v>813</v>
      </c>
      <c r="T228" s="141" t="str">
        <f t="shared" si="48"/>
        <v xml:space="preserve"> </v>
      </c>
      <c r="X228" s="131"/>
      <c r="Y228" s="27"/>
      <c r="AE228" s="27"/>
      <c r="BD228" s="97"/>
      <c r="BE228" s="108"/>
      <c r="BF228" s="108"/>
      <c r="BG228" s="97"/>
      <c r="BH228" s="97"/>
      <c r="BI228" s="97"/>
      <c r="BJ228" s="97"/>
      <c r="BK228" s="110"/>
      <c r="BL228" s="97"/>
      <c r="BM228" s="97"/>
      <c r="BN228" s="97"/>
      <c r="BO228" s="142"/>
      <c r="BP228" s="143">
        <f t="shared" si="37"/>
        <v>0</v>
      </c>
      <c r="BQ228" s="142"/>
      <c r="BR228" s="143">
        <f t="shared" si="38"/>
        <v>0</v>
      </c>
      <c r="BS228" s="132"/>
      <c r="BT228" s="146">
        <f t="shared" si="39"/>
        <v>0</v>
      </c>
      <c r="BU228" s="132"/>
      <c r="BV228" s="143">
        <f t="shared" si="40"/>
        <v>0</v>
      </c>
      <c r="BW228" s="132"/>
      <c r="BX228" s="146">
        <f t="shared" si="41"/>
        <v>0</v>
      </c>
      <c r="BY228" s="132"/>
      <c r="BZ228" s="146">
        <f t="shared" si="42"/>
        <v>0</v>
      </c>
      <c r="CA228" s="132"/>
      <c r="CB228" s="146">
        <f t="shared" si="43"/>
        <v>0</v>
      </c>
      <c r="CC228" s="132"/>
      <c r="CD228" s="143">
        <f t="shared" si="44"/>
        <v>0</v>
      </c>
      <c r="CE228" s="132"/>
      <c r="CF228" s="143">
        <f t="shared" si="45"/>
        <v>0</v>
      </c>
      <c r="CG228" s="132"/>
      <c r="CH228" s="143">
        <f t="shared" si="46"/>
        <v>0</v>
      </c>
      <c r="CI228" s="132">
        <f t="shared" si="47"/>
        <v>0</v>
      </c>
      <c r="CJ228" s="143">
        <f t="shared" si="47"/>
        <v>0</v>
      </c>
    </row>
    <row r="229" spans="1:88" x14ac:dyDescent="0.3">
      <c r="A229" s="27"/>
      <c r="B229" s="27"/>
      <c r="C229" s="27"/>
      <c r="D229" s="27"/>
      <c r="E229" s="27"/>
      <c r="F229" s="27"/>
      <c r="G229" s="27"/>
      <c r="H229" s="27"/>
      <c r="I229" s="27"/>
      <c r="J229" s="27"/>
      <c r="K229" s="27"/>
      <c r="L229" s="27"/>
      <c r="N229" s="27"/>
      <c r="O229" s="27"/>
      <c r="P229" s="27"/>
      <c r="Q229" s="117" t="s">
        <v>814</v>
      </c>
      <c r="T229" s="141" t="str">
        <f t="shared" si="48"/>
        <v xml:space="preserve"> </v>
      </c>
      <c r="X229" s="131"/>
      <c r="Y229" s="27"/>
      <c r="AE229" s="27"/>
      <c r="BD229" s="97"/>
      <c r="BE229" s="108"/>
      <c r="BF229" s="108"/>
      <c r="BG229" s="97"/>
      <c r="BH229" s="97"/>
      <c r="BI229" s="97"/>
      <c r="BJ229" s="97"/>
      <c r="BK229" s="110"/>
      <c r="BL229" s="97"/>
      <c r="BM229" s="97"/>
      <c r="BN229" s="97"/>
      <c r="BO229" s="142"/>
      <c r="BP229" s="143">
        <f t="shared" si="37"/>
        <v>0</v>
      </c>
      <c r="BQ229" s="142"/>
      <c r="BR229" s="143">
        <f t="shared" si="38"/>
        <v>0</v>
      </c>
      <c r="BS229" s="132"/>
      <c r="BT229" s="146">
        <f t="shared" si="39"/>
        <v>0</v>
      </c>
      <c r="BU229" s="132"/>
      <c r="BV229" s="143">
        <f t="shared" si="40"/>
        <v>0</v>
      </c>
      <c r="BW229" s="132"/>
      <c r="BX229" s="146">
        <f t="shared" si="41"/>
        <v>0</v>
      </c>
      <c r="BY229" s="132"/>
      <c r="BZ229" s="146">
        <f t="shared" si="42"/>
        <v>0</v>
      </c>
      <c r="CA229" s="132"/>
      <c r="CB229" s="146">
        <f t="shared" si="43"/>
        <v>0</v>
      </c>
      <c r="CC229" s="132"/>
      <c r="CD229" s="143">
        <f t="shared" si="44"/>
        <v>0</v>
      </c>
      <c r="CE229" s="132"/>
      <c r="CF229" s="143">
        <f t="shared" si="45"/>
        <v>0</v>
      </c>
      <c r="CG229" s="132"/>
      <c r="CH229" s="143">
        <f t="shared" si="46"/>
        <v>0</v>
      </c>
      <c r="CI229" s="132">
        <f t="shared" si="47"/>
        <v>0</v>
      </c>
      <c r="CJ229" s="143">
        <f t="shared" si="47"/>
        <v>0</v>
      </c>
    </row>
    <row r="230" spans="1:88" ht="27.6" x14ac:dyDescent="0.3">
      <c r="A230" s="27"/>
      <c r="B230" s="27"/>
      <c r="C230" s="27"/>
      <c r="D230" s="27"/>
      <c r="E230" s="27"/>
      <c r="F230" s="27"/>
      <c r="G230" s="27"/>
      <c r="H230" s="27"/>
      <c r="I230" s="27"/>
      <c r="J230" s="27"/>
      <c r="K230" s="27"/>
      <c r="L230" s="27"/>
      <c r="N230" s="27"/>
      <c r="O230" s="27"/>
      <c r="P230" s="27"/>
      <c r="Q230" s="117" t="s">
        <v>815</v>
      </c>
      <c r="T230" s="141" t="str">
        <f t="shared" si="48"/>
        <v xml:space="preserve"> </v>
      </c>
      <c r="X230" s="131"/>
      <c r="Y230" s="27"/>
      <c r="AE230" s="27"/>
      <c r="BD230" s="97"/>
      <c r="BE230" s="108"/>
      <c r="BF230" s="108"/>
      <c r="BG230" s="97"/>
      <c r="BH230" s="97"/>
      <c r="BI230" s="97"/>
      <c r="BJ230" s="97"/>
      <c r="BK230" s="110"/>
      <c r="BL230" s="97"/>
      <c r="BM230" s="97"/>
      <c r="BN230" s="97"/>
      <c r="BO230" s="142"/>
      <c r="BP230" s="143">
        <f t="shared" si="37"/>
        <v>0</v>
      </c>
      <c r="BQ230" s="142"/>
      <c r="BR230" s="143">
        <f t="shared" si="38"/>
        <v>0</v>
      </c>
      <c r="BS230" s="132"/>
      <c r="BT230" s="146">
        <f t="shared" si="39"/>
        <v>0</v>
      </c>
      <c r="BU230" s="132"/>
      <c r="BV230" s="143">
        <f t="shared" si="40"/>
        <v>0</v>
      </c>
      <c r="BW230" s="132"/>
      <c r="BX230" s="146">
        <f t="shared" si="41"/>
        <v>0</v>
      </c>
      <c r="BY230" s="132"/>
      <c r="BZ230" s="146">
        <f t="shared" si="42"/>
        <v>0</v>
      </c>
      <c r="CA230" s="132"/>
      <c r="CB230" s="146">
        <f t="shared" si="43"/>
        <v>0</v>
      </c>
      <c r="CC230" s="132"/>
      <c r="CD230" s="143">
        <f t="shared" si="44"/>
        <v>0</v>
      </c>
      <c r="CE230" s="132"/>
      <c r="CF230" s="143">
        <f t="shared" si="45"/>
        <v>0</v>
      </c>
      <c r="CG230" s="132"/>
      <c r="CH230" s="143">
        <f t="shared" si="46"/>
        <v>0</v>
      </c>
      <c r="CI230" s="132">
        <f t="shared" si="47"/>
        <v>0</v>
      </c>
      <c r="CJ230" s="143">
        <f t="shared" si="47"/>
        <v>0</v>
      </c>
    </row>
    <row r="231" spans="1:88" x14ac:dyDescent="0.3">
      <c r="A231" s="27"/>
      <c r="B231" s="27"/>
      <c r="C231" s="27"/>
      <c r="D231" s="27"/>
      <c r="E231" s="27"/>
      <c r="F231" s="27"/>
      <c r="G231" s="27"/>
      <c r="H231" s="27"/>
      <c r="I231" s="27"/>
      <c r="J231" s="27"/>
      <c r="K231" s="27"/>
      <c r="L231" s="27"/>
      <c r="N231" s="27"/>
      <c r="O231" s="27"/>
      <c r="P231" s="27"/>
      <c r="Q231" s="117" t="s">
        <v>816</v>
      </c>
      <c r="T231" s="141" t="str">
        <f t="shared" si="48"/>
        <v xml:space="preserve"> </v>
      </c>
      <c r="X231" s="131"/>
      <c r="Y231" s="27"/>
      <c r="AE231" s="27"/>
      <c r="BD231" s="97"/>
      <c r="BE231" s="108"/>
      <c r="BF231" s="108"/>
      <c r="BG231" s="97"/>
      <c r="BH231" s="97"/>
      <c r="BI231" s="97"/>
      <c r="BJ231" s="97"/>
      <c r="BK231" s="110"/>
      <c r="BL231" s="97"/>
      <c r="BM231" s="97"/>
      <c r="BN231" s="97"/>
      <c r="BO231" s="142"/>
      <c r="BP231" s="143">
        <f t="shared" si="37"/>
        <v>0</v>
      </c>
      <c r="BQ231" s="142"/>
      <c r="BR231" s="143">
        <f t="shared" si="38"/>
        <v>0</v>
      </c>
      <c r="BS231" s="132"/>
      <c r="BT231" s="146">
        <f t="shared" si="39"/>
        <v>0</v>
      </c>
      <c r="BU231" s="132"/>
      <c r="BV231" s="143">
        <f t="shared" si="40"/>
        <v>0</v>
      </c>
      <c r="BW231" s="132"/>
      <c r="BX231" s="146">
        <f t="shared" si="41"/>
        <v>0</v>
      </c>
      <c r="BY231" s="132"/>
      <c r="BZ231" s="146">
        <f t="shared" si="42"/>
        <v>0</v>
      </c>
      <c r="CA231" s="132"/>
      <c r="CB231" s="146">
        <f t="shared" si="43"/>
        <v>0</v>
      </c>
      <c r="CC231" s="132"/>
      <c r="CD231" s="143">
        <f t="shared" si="44"/>
        <v>0</v>
      </c>
      <c r="CE231" s="132"/>
      <c r="CF231" s="143">
        <f t="shared" si="45"/>
        <v>0</v>
      </c>
      <c r="CG231" s="132"/>
      <c r="CH231" s="143">
        <f t="shared" si="46"/>
        <v>0</v>
      </c>
      <c r="CI231" s="132">
        <f t="shared" si="47"/>
        <v>0</v>
      </c>
      <c r="CJ231" s="143">
        <f t="shared" si="47"/>
        <v>0</v>
      </c>
    </row>
    <row r="232" spans="1:88" x14ac:dyDescent="0.3">
      <c r="A232" s="27"/>
      <c r="B232" s="27"/>
      <c r="C232" s="27"/>
      <c r="D232" s="27"/>
      <c r="E232" s="27"/>
      <c r="F232" s="27"/>
      <c r="G232" s="27"/>
      <c r="H232" s="27"/>
      <c r="I232" s="27"/>
      <c r="J232" s="27"/>
      <c r="K232" s="27"/>
      <c r="L232" s="27"/>
      <c r="N232" s="27"/>
      <c r="O232" s="27"/>
      <c r="P232" s="27"/>
      <c r="Q232" s="117" t="s">
        <v>817</v>
      </c>
      <c r="T232" s="141" t="str">
        <f t="shared" si="48"/>
        <v xml:space="preserve"> </v>
      </c>
      <c r="X232" s="131"/>
      <c r="Y232" s="27"/>
      <c r="AE232" s="27"/>
      <c r="BD232" s="97"/>
      <c r="BE232" s="108"/>
      <c r="BF232" s="108"/>
      <c r="BG232" s="97"/>
      <c r="BH232" s="97"/>
      <c r="BI232" s="97"/>
      <c r="BJ232" s="97"/>
      <c r="BK232" s="110"/>
      <c r="BL232" s="97"/>
      <c r="BM232" s="97"/>
      <c r="BN232" s="97"/>
      <c r="BO232" s="142"/>
      <c r="BP232" s="143">
        <f t="shared" si="37"/>
        <v>0</v>
      </c>
      <c r="BQ232" s="142"/>
      <c r="BR232" s="143">
        <f t="shared" si="38"/>
        <v>0</v>
      </c>
      <c r="BS232" s="132"/>
      <c r="BT232" s="146">
        <f t="shared" si="39"/>
        <v>0</v>
      </c>
      <c r="BU232" s="132"/>
      <c r="BV232" s="143">
        <f t="shared" si="40"/>
        <v>0</v>
      </c>
      <c r="BW232" s="132"/>
      <c r="BX232" s="146">
        <f t="shared" si="41"/>
        <v>0</v>
      </c>
      <c r="BY232" s="132"/>
      <c r="BZ232" s="146">
        <f t="shared" si="42"/>
        <v>0</v>
      </c>
      <c r="CA232" s="132"/>
      <c r="CB232" s="146">
        <f t="shared" si="43"/>
        <v>0</v>
      </c>
      <c r="CC232" s="132"/>
      <c r="CD232" s="143">
        <f t="shared" si="44"/>
        <v>0</v>
      </c>
      <c r="CE232" s="132"/>
      <c r="CF232" s="143">
        <f t="shared" si="45"/>
        <v>0</v>
      </c>
      <c r="CG232" s="132"/>
      <c r="CH232" s="143">
        <f t="shared" si="46"/>
        <v>0</v>
      </c>
      <c r="CI232" s="132">
        <f t="shared" si="47"/>
        <v>0</v>
      </c>
      <c r="CJ232" s="143">
        <f t="shared" si="47"/>
        <v>0</v>
      </c>
    </row>
    <row r="233" spans="1:88" x14ac:dyDescent="0.3">
      <c r="A233" s="27"/>
      <c r="B233" s="27"/>
      <c r="C233" s="27"/>
      <c r="D233" s="27"/>
      <c r="E233" s="27"/>
      <c r="F233" s="27"/>
      <c r="G233" s="27"/>
      <c r="H233" s="27"/>
      <c r="I233" s="27"/>
      <c r="J233" s="27"/>
      <c r="K233" s="27"/>
      <c r="L233" s="27"/>
      <c r="N233" s="27"/>
      <c r="O233" s="27"/>
      <c r="P233" s="27"/>
      <c r="Q233" s="117" t="s">
        <v>818</v>
      </c>
      <c r="T233" s="141" t="str">
        <f t="shared" si="48"/>
        <v xml:space="preserve"> </v>
      </c>
      <c r="X233" s="131"/>
      <c r="Y233" s="27"/>
      <c r="AE233" s="27"/>
      <c r="BD233" s="97"/>
      <c r="BE233" s="108"/>
      <c r="BF233" s="108"/>
      <c r="BG233" s="97"/>
      <c r="BH233" s="97"/>
      <c r="BI233" s="97"/>
      <c r="BJ233" s="97"/>
      <c r="BK233" s="110"/>
      <c r="BL233" s="97"/>
      <c r="BM233" s="97"/>
      <c r="BN233" s="97"/>
      <c r="BO233" s="142"/>
      <c r="BP233" s="143">
        <f t="shared" si="37"/>
        <v>0</v>
      </c>
      <c r="BQ233" s="142"/>
      <c r="BR233" s="143">
        <f t="shared" si="38"/>
        <v>0</v>
      </c>
      <c r="BS233" s="132"/>
      <c r="BT233" s="146">
        <f t="shared" si="39"/>
        <v>0</v>
      </c>
      <c r="BU233" s="132"/>
      <c r="BV233" s="143">
        <f t="shared" si="40"/>
        <v>0</v>
      </c>
      <c r="BW233" s="132"/>
      <c r="BX233" s="146">
        <f t="shared" si="41"/>
        <v>0</v>
      </c>
      <c r="BY233" s="132"/>
      <c r="BZ233" s="146">
        <f t="shared" si="42"/>
        <v>0</v>
      </c>
      <c r="CA233" s="132"/>
      <c r="CB233" s="146">
        <f t="shared" si="43"/>
        <v>0</v>
      </c>
      <c r="CC233" s="132"/>
      <c r="CD233" s="143">
        <f t="shared" si="44"/>
        <v>0</v>
      </c>
      <c r="CE233" s="132"/>
      <c r="CF233" s="143">
        <f t="shared" si="45"/>
        <v>0</v>
      </c>
      <c r="CG233" s="132"/>
      <c r="CH233" s="143">
        <f t="shared" si="46"/>
        <v>0</v>
      </c>
      <c r="CI233" s="132">
        <f t="shared" si="47"/>
        <v>0</v>
      </c>
      <c r="CJ233" s="143">
        <f t="shared" si="47"/>
        <v>0</v>
      </c>
    </row>
    <row r="234" spans="1:88" x14ac:dyDescent="0.3">
      <c r="A234" s="27"/>
      <c r="B234" s="27"/>
      <c r="C234" s="27"/>
      <c r="D234" s="27"/>
      <c r="E234" s="27"/>
      <c r="F234" s="27"/>
      <c r="G234" s="27"/>
      <c r="H234" s="27"/>
      <c r="I234" s="27"/>
      <c r="J234" s="27"/>
      <c r="K234" s="27"/>
      <c r="L234" s="27"/>
      <c r="N234" s="27"/>
      <c r="O234" s="27"/>
      <c r="P234" s="27"/>
      <c r="Q234" s="117" t="s">
        <v>819</v>
      </c>
      <c r="T234" s="141" t="str">
        <f t="shared" si="48"/>
        <v xml:space="preserve"> </v>
      </c>
      <c r="Y234" s="27"/>
      <c r="AE234" s="27"/>
      <c r="BD234" s="97"/>
      <c r="BE234" s="108"/>
      <c r="BF234" s="108"/>
      <c r="BG234" s="97"/>
      <c r="BH234" s="97"/>
      <c r="BI234" s="97"/>
      <c r="BJ234" s="97"/>
      <c r="BK234" s="110"/>
      <c r="BL234" s="97"/>
      <c r="BM234" s="97"/>
      <c r="BN234" s="97"/>
      <c r="BO234" s="142"/>
      <c r="BP234" s="143">
        <f t="shared" si="37"/>
        <v>0</v>
      </c>
      <c r="BQ234" s="142"/>
      <c r="BR234" s="143">
        <f t="shared" si="38"/>
        <v>0</v>
      </c>
      <c r="BS234" s="132"/>
      <c r="BT234" s="146">
        <f t="shared" si="39"/>
        <v>0</v>
      </c>
      <c r="BU234" s="132"/>
      <c r="BV234" s="143">
        <f t="shared" si="40"/>
        <v>0</v>
      </c>
      <c r="BW234" s="132"/>
      <c r="BX234" s="146">
        <f t="shared" si="41"/>
        <v>0</v>
      </c>
      <c r="BY234" s="132"/>
      <c r="BZ234" s="146">
        <f t="shared" si="42"/>
        <v>0</v>
      </c>
      <c r="CA234" s="132"/>
      <c r="CB234" s="146">
        <f t="shared" si="43"/>
        <v>0</v>
      </c>
      <c r="CC234" s="132"/>
      <c r="CD234" s="143">
        <f t="shared" si="44"/>
        <v>0</v>
      </c>
      <c r="CE234" s="132"/>
      <c r="CF234" s="143">
        <f t="shared" si="45"/>
        <v>0</v>
      </c>
      <c r="CG234" s="132"/>
      <c r="CH234" s="143">
        <f t="shared" si="46"/>
        <v>0</v>
      </c>
      <c r="CI234" s="132">
        <f t="shared" si="47"/>
        <v>0</v>
      </c>
      <c r="CJ234" s="143">
        <f t="shared" si="47"/>
        <v>0</v>
      </c>
    </row>
    <row r="235" spans="1:88" x14ac:dyDescent="0.3">
      <c r="A235" s="27"/>
      <c r="B235" s="27"/>
      <c r="C235" s="27"/>
      <c r="D235" s="27"/>
      <c r="E235" s="27"/>
      <c r="F235" s="27"/>
      <c r="G235" s="27"/>
      <c r="H235" s="27"/>
      <c r="I235" s="27"/>
      <c r="J235" s="27"/>
      <c r="K235" s="27"/>
      <c r="L235" s="27"/>
      <c r="N235" s="27"/>
      <c r="O235" s="27"/>
      <c r="P235" s="27"/>
      <c r="Q235" s="117" t="s">
        <v>820</v>
      </c>
      <c r="T235" s="141" t="str">
        <f t="shared" si="48"/>
        <v xml:space="preserve"> </v>
      </c>
      <c r="Y235" s="27"/>
      <c r="AE235" s="27"/>
      <c r="BD235" s="97"/>
      <c r="BE235" s="108"/>
      <c r="BF235" s="108"/>
      <c r="BG235" s="97"/>
      <c r="BH235" s="97"/>
      <c r="BI235" s="97"/>
      <c r="BJ235" s="97"/>
      <c r="BK235" s="110"/>
      <c r="BL235" s="97"/>
      <c r="BM235" s="97"/>
      <c r="BN235" s="97"/>
      <c r="BO235" s="142"/>
      <c r="BP235" s="143">
        <f t="shared" si="37"/>
        <v>0</v>
      </c>
      <c r="BQ235" s="142"/>
      <c r="BR235" s="143">
        <f t="shared" si="38"/>
        <v>0</v>
      </c>
      <c r="BS235" s="132"/>
      <c r="BT235" s="146">
        <f t="shared" si="39"/>
        <v>0</v>
      </c>
      <c r="BU235" s="132"/>
      <c r="BV235" s="143">
        <f t="shared" si="40"/>
        <v>0</v>
      </c>
      <c r="BW235" s="132"/>
      <c r="BX235" s="146">
        <f t="shared" si="41"/>
        <v>0</v>
      </c>
      <c r="BY235" s="132"/>
      <c r="BZ235" s="146">
        <f t="shared" si="42"/>
        <v>0</v>
      </c>
      <c r="CA235" s="132"/>
      <c r="CB235" s="146">
        <f t="shared" si="43"/>
        <v>0</v>
      </c>
      <c r="CC235" s="132"/>
      <c r="CD235" s="143">
        <f t="shared" si="44"/>
        <v>0</v>
      </c>
      <c r="CE235" s="132"/>
      <c r="CF235" s="143">
        <f t="shared" si="45"/>
        <v>0</v>
      </c>
      <c r="CG235" s="132"/>
      <c r="CH235" s="143">
        <f t="shared" si="46"/>
        <v>0</v>
      </c>
      <c r="CI235" s="132">
        <f t="shared" si="47"/>
        <v>0</v>
      </c>
      <c r="CJ235" s="143">
        <f t="shared" si="47"/>
        <v>0</v>
      </c>
    </row>
    <row r="236" spans="1:88" x14ac:dyDescent="0.3">
      <c r="A236" s="27"/>
      <c r="B236" s="27"/>
      <c r="C236" s="27"/>
      <c r="D236" s="27"/>
      <c r="E236" s="27"/>
      <c r="F236" s="27"/>
      <c r="G236" s="27"/>
      <c r="H236" s="27"/>
      <c r="I236" s="27"/>
      <c r="J236" s="27"/>
      <c r="K236" s="27"/>
      <c r="L236" s="27"/>
      <c r="N236" s="27"/>
      <c r="O236" s="27"/>
      <c r="P236" s="27"/>
      <c r="Q236" s="117" t="s">
        <v>821</v>
      </c>
      <c r="T236" s="141" t="str">
        <f t="shared" si="48"/>
        <v xml:space="preserve"> </v>
      </c>
      <c r="Y236" s="27"/>
      <c r="AE236" s="27"/>
      <c r="BD236" s="97"/>
      <c r="BE236" s="108"/>
      <c r="BF236" s="108"/>
      <c r="BG236" s="97"/>
      <c r="BH236" s="97"/>
      <c r="BI236" s="97"/>
      <c r="BJ236" s="97"/>
      <c r="BK236" s="110"/>
      <c r="BL236" s="97"/>
      <c r="BM236" s="97"/>
      <c r="BN236" s="97"/>
      <c r="BO236" s="142"/>
      <c r="BP236" s="143">
        <f t="shared" si="37"/>
        <v>0</v>
      </c>
      <c r="BQ236" s="142"/>
      <c r="BR236" s="143">
        <f t="shared" si="38"/>
        <v>0</v>
      </c>
      <c r="BS236" s="132"/>
      <c r="BT236" s="146">
        <f t="shared" si="39"/>
        <v>0</v>
      </c>
      <c r="BU236" s="132"/>
      <c r="BV236" s="143">
        <f t="shared" si="40"/>
        <v>0</v>
      </c>
      <c r="BW236" s="132"/>
      <c r="BX236" s="146">
        <f t="shared" si="41"/>
        <v>0</v>
      </c>
      <c r="BY236" s="132"/>
      <c r="BZ236" s="146">
        <f t="shared" si="42"/>
        <v>0</v>
      </c>
      <c r="CA236" s="132"/>
      <c r="CB236" s="146">
        <f t="shared" si="43"/>
        <v>0</v>
      </c>
      <c r="CC236" s="132"/>
      <c r="CD236" s="143">
        <f t="shared" si="44"/>
        <v>0</v>
      </c>
      <c r="CE236" s="132"/>
      <c r="CF236" s="143">
        <f t="shared" si="45"/>
        <v>0</v>
      </c>
      <c r="CG236" s="132"/>
      <c r="CH236" s="143">
        <f t="shared" si="46"/>
        <v>0</v>
      </c>
      <c r="CI236" s="132">
        <f t="shared" si="47"/>
        <v>0</v>
      </c>
      <c r="CJ236" s="143">
        <f t="shared" si="47"/>
        <v>0</v>
      </c>
    </row>
    <row r="237" spans="1:88" x14ac:dyDescent="0.3">
      <c r="A237" s="27"/>
      <c r="B237" s="27"/>
      <c r="C237" s="27"/>
      <c r="D237" s="27"/>
      <c r="E237" s="27"/>
      <c r="F237" s="27"/>
      <c r="G237" s="27"/>
      <c r="H237" s="27"/>
      <c r="I237" s="27"/>
      <c r="J237" s="27"/>
      <c r="K237" s="27"/>
      <c r="L237" s="27"/>
      <c r="N237" s="27"/>
      <c r="O237" s="27"/>
      <c r="P237" s="27"/>
      <c r="Q237" s="117" t="s">
        <v>822</v>
      </c>
      <c r="T237" s="141" t="str">
        <f t="shared" si="48"/>
        <v xml:space="preserve"> </v>
      </c>
      <c r="W237" s="27"/>
      <c r="Y237" s="27"/>
      <c r="AE237" s="27"/>
      <c r="BD237" s="97"/>
      <c r="BE237" s="108"/>
      <c r="BF237" s="108"/>
      <c r="BG237" s="97"/>
      <c r="BH237" s="97"/>
      <c r="BI237" s="97"/>
      <c r="BJ237" s="97"/>
      <c r="BK237" s="110"/>
      <c r="BL237" s="97"/>
      <c r="BM237" s="97"/>
      <c r="BN237" s="97"/>
      <c r="BO237" s="142"/>
      <c r="BP237" s="143">
        <f t="shared" si="37"/>
        <v>0</v>
      </c>
      <c r="BQ237" s="142"/>
      <c r="BR237" s="143">
        <f t="shared" si="38"/>
        <v>0</v>
      </c>
      <c r="BS237" s="132"/>
      <c r="BT237" s="146">
        <f t="shared" si="39"/>
        <v>0</v>
      </c>
      <c r="BU237" s="132"/>
      <c r="BV237" s="143">
        <f t="shared" si="40"/>
        <v>0</v>
      </c>
      <c r="BW237" s="132"/>
      <c r="BX237" s="146">
        <f t="shared" si="41"/>
        <v>0</v>
      </c>
      <c r="BY237" s="132"/>
      <c r="BZ237" s="146">
        <f t="shared" si="42"/>
        <v>0</v>
      </c>
      <c r="CA237" s="132"/>
      <c r="CB237" s="146">
        <f t="shared" si="43"/>
        <v>0</v>
      </c>
      <c r="CC237" s="132"/>
      <c r="CD237" s="143">
        <f t="shared" si="44"/>
        <v>0</v>
      </c>
      <c r="CE237" s="132"/>
      <c r="CF237" s="143">
        <f t="shared" si="45"/>
        <v>0</v>
      </c>
      <c r="CG237" s="132"/>
      <c r="CH237" s="143">
        <f t="shared" si="46"/>
        <v>0</v>
      </c>
      <c r="CI237" s="132">
        <f t="shared" si="47"/>
        <v>0</v>
      </c>
      <c r="CJ237" s="143">
        <f t="shared" si="47"/>
        <v>0</v>
      </c>
    </row>
    <row r="238" spans="1:88" x14ac:dyDescent="0.3">
      <c r="A238" s="27"/>
      <c r="B238" s="27"/>
      <c r="C238" s="27"/>
      <c r="D238" s="27"/>
      <c r="E238" s="27"/>
      <c r="F238" s="27"/>
      <c r="G238" s="27"/>
      <c r="H238" s="27"/>
      <c r="I238" s="27"/>
      <c r="J238" s="27"/>
      <c r="K238" s="27"/>
      <c r="L238" s="27"/>
      <c r="N238" s="27"/>
      <c r="O238" s="27"/>
      <c r="P238" s="27"/>
      <c r="Q238" s="117" t="s">
        <v>823</v>
      </c>
      <c r="T238" s="141" t="str">
        <f t="shared" si="48"/>
        <v xml:space="preserve"> </v>
      </c>
      <c r="W238" s="27"/>
      <c r="Y238" s="27"/>
      <c r="AE238" s="27"/>
      <c r="BD238" s="97"/>
      <c r="BE238" s="108"/>
      <c r="BF238" s="108"/>
      <c r="BG238" s="97"/>
      <c r="BH238" s="97"/>
      <c r="BI238" s="97"/>
      <c r="BJ238" s="97"/>
      <c r="BK238" s="110"/>
      <c r="BL238" s="97"/>
      <c r="BM238" s="97"/>
      <c r="BN238" s="97"/>
      <c r="BO238" s="142"/>
      <c r="BP238" s="143">
        <f t="shared" si="37"/>
        <v>0</v>
      </c>
      <c r="BQ238" s="142"/>
      <c r="BR238" s="143">
        <f t="shared" si="38"/>
        <v>0</v>
      </c>
      <c r="BS238" s="132"/>
      <c r="BT238" s="146">
        <f t="shared" si="39"/>
        <v>0</v>
      </c>
      <c r="BU238" s="132"/>
      <c r="BV238" s="143">
        <f t="shared" si="40"/>
        <v>0</v>
      </c>
      <c r="BW238" s="132"/>
      <c r="BX238" s="146">
        <f t="shared" si="41"/>
        <v>0</v>
      </c>
      <c r="BY238" s="132"/>
      <c r="BZ238" s="146">
        <f t="shared" si="42"/>
        <v>0</v>
      </c>
      <c r="CA238" s="132"/>
      <c r="CB238" s="146">
        <f t="shared" si="43"/>
        <v>0</v>
      </c>
      <c r="CC238" s="132"/>
      <c r="CD238" s="143">
        <f t="shared" si="44"/>
        <v>0</v>
      </c>
      <c r="CE238" s="132"/>
      <c r="CF238" s="143">
        <f t="shared" si="45"/>
        <v>0</v>
      </c>
      <c r="CG238" s="132"/>
      <c r="CH238" s="143">
        <f t="shared" si="46"/>
        <v>0</v>
      </c>
      <c r="CI238" s="132">
        <f t="shared" si="47"/>
        <v>0</v>
      </c>
      <c r="CJ238" s="143">
        <f t="shared" si="47"/>
        <v>0</v>
      </c>
    </row>
    <row r="239" spans="1:88" x14ac:dyDescent="0.3">
      <c r="A239" s="27"/>
      <c r="B239" s="27"/>
      <c r="C239" s="27"/>
      <c r="D239" s="27"/>
      <c r="E239" s="27"/>
      <c r="F239" s="27"/>
      <c r="G239" s="27"/>
      <c r="H239" s="27"/>
      <c r="I239" s="27"/>
      <c r="J239" s="27"/>
      <c r="K239" s="27"/>
      <c r="L239" s="27"/>
      <c r="N239" s="27"/>
      <c r="O239" s="27"/>
      <c r="P239" s="27"/>
      <c r="Q239" s="117" t="s">
        <v>824</v>
      </c>
      <c r="T239" s="141" t="str">
        <f t="shared" si="48"/>
        <v xml:space="preserve"> </v>
      </c>
      <c r="W239" s="27"/>
      <c r="Y239" s="27"/>
      <c r="AE239" s="27"/>
      <c r="BD239" s="97"/>
      <c r="BE239" s="108"/>
      <c r="BF239" s="108"/>
      <c r="BG239" s="97"/>
      <c r="BH239" s="97"/>
      <c r="BI239" s="97"/>
      <c r="BJ239" s="97"/>
      <c r="BK239" s="110"/>
      <c r="BL239" s="97"/>
      <c r="BM239" s="97"/>
      <c r="BN239" s="97"/>
      <c r="BO239" s="142"/>
      <c r="BP239" s="143">
        <f t="shared" si="37"/>
        <v>0</v>
      </c>
      <c r="BQ239" s="142"/>
      <c r="BR239" s="143">
        <f t="shared" si="38"/>
        <v>0</v>
      </c>
      <c r="BS239" s="132"/>
      <c r="BT239" s="146">
        <f t="shared" si="39"/>
        <v>0</v>
      </c>
      <c r="BU239" s="132"/>
      <c r="BV239" s="143">
        <f t="shared" si="40"/>
        <v>0</v>
      </c>
      <c r="BW239" s="132"/>
      <c r="BX239" s="146">
        <f t="shared" si="41"/>
        <v>0</v>
      </c>
      <c r="BY239" s="132"/>
      <c r="BZ239" s="146">
        <f t="shared" si="42"/>
        <v>0</v>
      </c>
      <c r="CA239" s="132"/>
      <c r="CB239" s="146">
        <f t="shared" si="43"/>
        <v>0</v>
      </c>
      <c r="CC239" s="132"/>
      <c r="CD239" s="143">
        <f t="shared" si="44"/>
        <v>0</v>
      </c>
      <c r="CE239" s="132"/>
      <c r="CF239" s="143">
        <f t="shared" si="45"/>
        <v>0</v>
      </c>
      <c r="CG239" s="132"/>
      <c r="CH239" s="143">
        <f t="shared" si="46"/>
        <v>0</v>
      </c>
      <c r="CI239" s="132">
        <f t="shared" si="47"/>
        <v>0</v>
      </c>
      <c r="CJ239" s="143">
        <f t="shared" si="47"/>
        <v>0</v>
      </c>
    </row>
    <row r="240" spans="1:88" x14ac:dyDescent="0.3">
      <c r="A240" s="27"/>
      <c r="B240" s="27"/>
      <c r="C240" s="27"/>
      <c r="D240" s="27"/>
      <c r="E240" s="27"/>
      <c r="F240" s="27"/>
      <c r="G240" s="27"/>
      <c r="H240" s="27"/>
      <c r="I240" s="27"/>
      <c r="J240" s="27"/>
      <c r="K240" s="27"/>
      <c r="L240" s="27"/>
      <c r="N240" s="27"/>
      <c r="O240" s="27"/>
      <c r="P240" s="27"/>
      <c r="Q240" s="117" t="s">
        <v>825</v>
      </c>
      <c r="T240" s="141" t="str">
        <f t="shared" si="48"/>
        <v xml:space="preserve"> </v>
      </c>
      <c r="W240" s="27"/>
      <c r="Y240" s="27"/>
      <c r="AE240" s="27"/>
      <c r="BD240" s="97"/>
      <c r="BE240" s="108"/>
      <c r="BF240" s="108"/>
      <c r="BG240" s="97"/>
      <c r="BH240" s="97"/>
      <c r="BI240" s="97"/>
      <c r="BJ240" s="97"/>
      <c r="BK240" s="110"/>
      <c r="BL240" s="97"/>
      <c r="BM240" s="97"/>
      <c r="BN240" s="97"/>
      <c r="BO240" s="142"/>
      <c r="BP240" s="143">
        <f t="shared" si="37"/>
        <v>0</v>
      </c>
      <c r="BQ240" s="142"/>
      <c r="BR240" s="143">
        <f t="shared" si="38"/>
        <v>0</v>
      </c>
      <c r="BS240" s="132"/>
      <c r="BT240" s="146">
        <f t="shared" si="39"/>
        <v>0</v>
      </c>
      <c r="BU240" s="132"/>
      <c r="BV240" s="143">
        <f t="shared" si="40"/>
        <v>0</v>
      </c>
      <c r="BW240" s="132"/>
      <c r="BX240" s="146">
        <f t="shared" si="41"/>
        <v>0</v>
      </c>
      <c r="BY240" s="132"/>
      <c r="BZ240" s="146">
        <f t="shared" si="42"/>
        <v>0</v>
      </c>
      <c r="CA240" s="132"/>
      <c r="CB240" s="146">
        <f t="shared" si="43"/>
        <v>0</v>
      </c>
      <c r="CC240" s="132"/>
      <c r="CD240" s="143">
        <f t="shared" si="44"/>
        <v>0</v>
      </c>
      <c r="CE240" s="132"/>
      <c r="CF240" s="143">
        <f t="shared" si="45"/>
        <v>0</v>
      </c>
      <c r="CG240" s="132"/>
      <c r="CH240" s="143">
        <f t="shared" si="46"/>
        <v>0</v>
      </c>
      <c r="CI240" s="132">
        <f t="shared" si="47"/>
        <v>0</v>
      </c>
      <c r="CJ240" s="143">
        <f t="shared" si="47"/>
        <v>0</v>
      </c>
    </row>
    <row r="241" spans="1:88" x14ac:dyDescent="0.3">
      <c r="A241" s="27"/>
      <c r="B241" s="27"/>
      <c r="C241" s="27"/>
      <c r="D241" s="27"/>
      <c r="E241" s="27"/>
      <c r="F241" s="27"/>
      <c r="G241" s="27"/>
      <c r="H241" s="27"/>
      <c r="I241" s="27"/>
      <c r="J241" s="27"/>
      <c r="K241" s="27"/>
      <c r="L241" s="27"/>
      <c r="N241" s="27"/>
      <c r="O241" s="27"/>
      <c r="P241" s="27"/>
      <c r="Q241" s="117" t="s">
        <v>826</v>
      </c>
      <c r="T241" s="141" t="str">
        <f t="shared" si="48"/>
        <v xml:space="preserve"> </v>
      </c>
      <c r="W241" s="27"/>
      <c r="Y241" s="27"/>
      <c r="AE241" s="27"/>
      <c r="BD241" s="97"/>
      <c r="BE241" s="108"/>
      <c r="BF241" s="108"/>
      <c r="BG241" s="97"/>
      <c r="BH241" s="97"/>
      <c r="BI241" s="97"/>
      <c r="BJ241" s="97"/>
      <c r="BK241" s="110"/>
      <c r="BL241" s="97"/>
      <c r="BM241" s="97"/>
      <c r="BN241" s="97"/>
      <c r="BO241" s="142"/>
      <c r="BP241" s="143">
        <f t="shared" si="37"/>
        <v>0</v>
      </c>
      <c r="BQ241" s="142"/>
      <c r="BR241" s="143">
        <f t="shared" si="38"/>
        <v>0</v>
      </c>
      <c r="BS241" s="132"/>
      <c r="BT241" s="146">
        <f t="shared" si="39"/>
        <v>0</v>
      </c>
      <c r="BU241" s="132"/>
      <c r="BV241" s="143">
        <f t="shared" si="40"/>
        <v>0</v>
      </c>
      <c r="BW241" s="132"/>
      <c r="BX241" s="146">
        <f t="shared" si="41"/>
        <v>0</v>
      </c>
      <c r="BY241" s="132"/>
      <c r="BZ241" s="146">
        <f t="shared" si="42"/>
        <v>0</v>
      </c>
      <c r="CA241" s="132"/>
      <c r="CB241" s="146">
        <f t="shared" si="43"/>
        <v>0</v>
      </c>
      <c r="CC241" s="132"/>
      <c r="CD241" s="143">
        <f t="shared" si="44"/>
        <v>0</v>
      </c>
      <c r="CE241" s="132"/>
      <c r="CF241" s="143">
        <f t="shared" si="45"/>
        <v>0</v>
      </c>
      <c r="CG241" s="132"/>
      <c r="CH241" s="143">
        <f t="shared" si="46"/>
        <v>0</v>
      </c>
      <c r="CI241" s="132">
        <f t="shared" si="47"/>
        <v>0</v>
      </c>
      <c r="CJ241" s="143">
        <f t="shared" si="47"/>
        <v>0</v>
      </c>
    </row>
    <row r="242" spans="1:88" x14ac:dyDescent="0.3">
      <c r="A242" s="27"/>
      <c r="B242" s="27"/>
      <c r="C242" s="27"/>
      <c r="D242" s="27"/>
      <c r="E242" s="27"/>
      <c r="F242" s="27"/>
      <c r="G242" s="27"/>
      <c r="H242" s="27"/>
      <c r="I242" s="27"/>
      <c r="J242" s="27"/>
      <c r="K242" s="27"/>
      <c r="L242" s="27"/>
      <c r="N242" s="27"/>
      <c r="O242" s="27"/>
      <c r="P242" s="27"/>
      <c r="Q242" s="117" t="s">
        <v>827</v>
      </c>
      <c r="T242" s="141" t="str">
        <f t="shared" si="48"/>
        <v xml:space="preserve"> </v>
      </c>
      <c r="W242" s="27"/>
      <c r="Y242" s="27"/>
      <c r="AE242" s="27"/>
      <c r="BD242" s="97"/>
      <c r="BE242" s="108"/>
      <c r="BF242" s="108"/>
      <c r="BG242" s="97"/>
      <c r="BH242" s="97"/>
      <c r="BI242" s="97"/>
      <c r="BJ242" s="97"/>
      <c r="BK242" s="110"/>
      <c r="BL242" s="97"/>
      <c r="BM242" s="97"/>
      <c r="BN242" s="97"/>
      <c r="BO242" s="142"/>
      <c r="BP242" s="143">
        <f t="shared" si="37"/>
        <v>0</v>
      </c>
      <c r="BQ242" s="142"/>
      <c r="BR242" s="143">
        <f t="shared" si="38"/>
        <v>0</v>
      </c>
      <c r="BS242" s="132"/>
      <c r="BT242" s="146">
        <f t="shared" si="39"/>
        <v>0</v>
      </c>
      <c r="BU242" s="132"/>
      <c r="BV242" s="143">
        <f t="shared" si="40"/>
        <v>0</v>
      </c>
      <c r="BW242" s="132"/>
      <c r="BX242" s="146">
        <f t="shared" si="41"/>
        <v>0</v>
      </c>
      <c r="BY242" s="132"/>
      <c r="BZ242" s="146">
        <f t="shared" si="42"/>
        <v>0</v>
      </c>
      <c r="CA242" s="132"/>
      <c r="CB242" s="146">
        <f t="shared" si="43"/>
        <v>0</v>
      </c>
      <c r="CC242" s="132"/>
      <c r="CD242" s="143">
        <f t="shared" si="44"/>
        <v>0</v>
      </c>
      <c r="CE242" s="132"/>
      <c r="CF242" s="143">
        <f t="shared" si="45"/>
        <v>0</v>
      </c>
      <c r="CG242" s="132"/>
      <c r="CH242" s="143">
        <f t="shared" si="46"/>
        <v>0</v>
      </c>
      <c r="CI242" s="132">
        <f t="shared" si="47"/>
        <v>0</v>
      </c>
      <c r="CJ242" s="143">
        <f t="shared" si="47"/>
        <v>0</v>
      </c>
    </row>
    <row r="243" spans="1:88" x14ac:dyDescent="0.3">
      <c r="A243" s="27"/>
      <c r="B243" s="27"/>
      <c r="C243" s="27"/>
      <c r="D243" s="27"/>
      <c r="E243" s="27"/>
      <c r="F243" s="27"/>
      <c r="G243" s="27"/>
      <c r="H243" s="27"/>
      <c r="I243" s="27"/>
      <c r="J243" s="27"/>
      <c r="K243" s="27"/>
      <c r="L243" s="27"/>
      <c r="N243" s="27"/>
      <c r="O243" s="27"/>
      <c r="P243" s="27"/>
      <c r="Q243" s="117" t="s">
        <v>828</v>
      </c>
      <c r="T243" s="141" t="str">
        <f t="shared" si="48"/>
        <v xml:space="preserve"> </v>
      </c>
      <c r="W243" s="27"/>
      <c r="Y243" s="27"/>
      <c r="AE243" s="27"/>
      <c r="BD243" s="97"/>
      <c r="BE243" s="108"/>
      <c r="BF243" s="108"/>
      <c r="BG243" s="97"/>
      <c r="BH243" s="97"/>
      <c r="BI243" s="97"/>
      <c r="BJ243" s="97"/>
      <c r="BK243" s="110"/>
      <c r="BL243" s="97"/>
      <c r="BM243" s="97"/>
      <c r="BN243" s="97"/>
      <c r="BO243" s="142"/>
      <c r="BP243" s="143">
        <f t="shared" si="37"/>
        <v>0</v>
      </c>
      <c r="BQ243" s="142"/>
      <c r="BR243" s="143">
        <f t="shared" si="38"/>
        <v>0</v>
      </c>
      <c r="BS243" s="132"/>
      <c r="BT243" s="146">
        <f t="shared" si="39"/>
        <v>0</v>
      </c>
      <c r="BU243" s="132"/>
      <c r="BV243" s="143">
        <f t="shared" si="40"/>
        <v>0</v>
      </c>
      <c r="BW243" s="132"/>
      <c r="BX243" s="146">
        <f t="shared" si="41"/>
        <v>0</v>
      </c>
      <c r="BY243" s="132"/>
      <c r="BZ243" s="146">
        <f t="shared" si="42"/>
        <v>0</v>
      </c>
      <c r="CA243" s="132"/>
      <c r="CB243" s="146">
        <f t="shared" si="43"/>
        <v>0</v>
      </c>
      <c r="CC243" s="132"/>
      <c r="CD243" s="143">
        <f t="shared" si="44"/>
        <v>0</v>
      </c>
      <c r="CE243" s="132"/>
      <c r="CF243" s="143">
        <f t="shared" si="45"/>
        <v>0</v>
      </c>
      <c r="CG243" s="132"/>
      <c r="CH243" s="143">
        <f t="shared" si="46"/>
        <v>0</v>
      </c>
      <c r="CI243" s="132">
        <f t="shared" si="47"/>
        <v>0</v>
      </c>
      <c r="CJ243" s="143">
        <f t="shared" si="47"/>
        <v>0</v>
      </c>
    </row>
    <row r="244" spans="1:88" x14ac:dyDescent="0.3">
      <c r="A244" s="27"/>
      <c r="B244" s="27"/>
      <c r="C244" s="27"/>
      <c r="D244" s="27"/>
      <c r="E244" s="27"/>
      <c r="F244" s="27"/>
      <c r="G244" s="27"/>
      <c r="H244" s="27"/>
      <c r="I244" s="27"/>
      <c r="J244" s="27"/>
      <c r="K244" s="27"/>
      <c r="L244" s="27"/>
      <c r="N244" s="27"/>
      <c r="O244" s="27"/>
      <c r="P244" s="27"/>
      <c r="Q244" s="117" t="s">
        <v>829</v>
      </c>
      <c r="T244" s="141" t="str">
        <f t="shared" si="48"/>
        <v xml:space="preserve"> </v>
      </c>
      <c r="W244" s="27"/>
      <c r="Y244" s="27"/>
      <c r="AE244" s="27"/>
      <c r="BD244" s="97"/>
      <c r="BE244" s="108"/>
      <c r="BF244" s="108"/>
      <c r="BG244" s="97"/>
      <c r="BH244" s="97"/>
      <c r="BI244" s="97"/>
      <c r="BJ244" s="97"/>
      <c r="BK244" s="110"/>
      <c r="BL244" s="97"/>
      <c r="BM244" s="97"/>
      <c r="BN244" s="97"/>
      <c r="BO244" s="142"/>
      <c r="BP244" s="143">
        <f t="shared" si="37"/>
        <v>0</v>
      </c>
      <c r="BQ244" s="142"/>
      <c r="BR244" s="143">
        <f t="shared" si="38"/>
        <v>0</v>
      </c>
      <c r="BS244" s="132"/>
      <c r="BT244" s="146">
        <f t="shared" si="39"/>
        <v>0</v>
      </c>
      <c r="BU244" s="132"/>
      <c r="BV244" s="143">
        <f t="shared" si="40"/>
        <v>0</v>
      </c>
      <c r="BW244" s="132"/>
      <c r="BX244" s="146">
        <f t="shared" si="41"/>
        <v>0</v>
      </c>
      <c r="BY244" s="132"/>
      <c r="BZ244" s="146">
        <f t="shared" si="42"/>
        <v>0</v>
      </c>
      <c r="CA244" s="132"/>
      <c r="CB244" s="146">
        <f t="shared" si="43"/>
        <v>0</v>
      </c>
      <c r="CC244" s="132"/>
      <c r="CD244" s="143">
        <f t="shared" si="44"/>
        <v>0</v>
      </c>
      <c r="CE244" s="132"/>
      <c r="CF244" s="143">
        <f t="shared" si="45"/>
        <v>0</v>
      </c>
      <c r="CG244" s="132"/>
      <c r="CH244" s="143">
        <f t="shared" si="46"/>
        <v>0</v>
      </c>
      <c r="CI244" s="132">
        <f t="shared" si="47"/>
        <v>0</v>
      </c>
      <c r="CJ244" s="143">
        <f t="shared" si="47"/>
        <v>0</v>
      </c>
    </row>
    <row r="245" spans="1:88" x14ac:dyDescent="0.3">
      <c r="A245" s="27"/>
      <c r="B245" s="27"/>
      <c r="C245" s="27"/>
      <c r="D245" s="27"/>
      <c r="E245" s="27"/>
      <c r="F245" s="27"/>
      <c r="G245" s="27"/>
      <c r="H245" s="27"/>
      <c r="I245" s="27"/>
      <c r="J245" s="27"/>
      <c r="K245" s="27"/>
      <c r="L245" s="27"/>
      <c r="N245" s="27"/>
      <c r="O245" s="27"/>
      <c r="P245" s="27"/>
      <c r="Q245" s="117" t="s">
        <v>830</v>
      </c>
      <c r="T245" s="141" t="str">
        <f t="shared" si="48"/>
        <v xml:space="preserve"> </v>
      </c>
      <c r="W245" s="27"/>
      <c r="Y245" s="27"/>
      <c r="AE245" s="27"/>
      <c r="BD245" s="97"/>
      <c r="BE245" s="108"/>
      <c r="BF245" s="108"/>
      <c r="BG245" s="97"/>
      <c r="BH245" s="97"/>
      <c r="BI245" s="97"/>
      <c r="BJ245" s="97"/>
      <c r="BK245" s="110"/>
      <c r="BL245" s="97"/>
      <c r="BM245" s="97"/>
      <c r="BN245" s="97"/>
      <c r="BO245" s="142"/>
      <c r="BP245" s="143">
        <f t="shared" si="37"/>
        <v>0</v>
      </c>
      <c r="BQ245" s="142"/>
      <c r="BR245" s="143">
        <f t="shared" si="38"/>
        <v>0</v>
      </c>
      <c r="BS245" s="132"/>
      <c r="BT245" s="146">
        <f t="shared" si="39"/>
        <v>0</v>
      </c>
      <c r="BU245" s="132"/>
      <c r="BV245" s="143">
        <f t="shared" si="40"/>
        <v>0</v>
      </c>
      <c r="BW245" s="132"/>
      <c r="BX245" s="146">
        <f t="shared" si="41"/>
        <v>0</v>
      </c>
      <c r="BY245" s="132"/>
      <c r="BZ245" s="146">
        <f t="shared" si="42"/>
        <v>0</v>
      </c>
      <c r="CA245" s="132"/>
      <c r="CB245" s="146">
        <f t="shared" si="43"/>
        <v>0</v>
      </c>
      <c r="CC245" s="132"/>
      <c r="CD245" s="143">
        <f t="shared" si="44"/>
        <v>0</v>
      </c>
      <c r="CE245" s="132"/>
      <c r="CF245" s="143">
        <f t="shared" si="45"/>
        <v>0</v>
      </c>
      <c r="CG245" s="132"/>
      <c r="CH245" s="143">
        <f t="shared" si="46"/>
        <v>0</v>
      </c>
      <c r="CI245" s="132">
        <f t="shared" si="47"/>
        <v>0</v>
      </c>
      <c r="CJ245" s="143">
        <f t="shared" si="47"/>
        <v>0</v>
      </c>
    </row>
    <row r="246" spans="1:88" x14ac:dyDescent="0.3">
      <c r="A246" s="27"/>
      <c r="B246" s="27"/>
      <c r="C246" s="27"/>
      <c r="D246" s="27"/>
      <c r="E246" s="27"/>
      <c r="F246" s="27"/>
      <c r="G246" s="27"/>
      <c r="H246" s="27"/>
      <c r="I246" s="27"/>
      <c r="J246" s="27"/>
      <c r="K246" s="27"/>
      <c r="L246" s="27"/>
      <c r="N246" s="27"/>
      <c r="O246" s="27"/>
      <c r="P246" s="27"/>
      <c r="Q246" s="117" t="s">
        <v>831</v>
      </c>
      <c r="R246" s="27"/>
      <c r="S246" s="27"/>
      <c r="T246" s="141" t="str">
        <f t="shared" si="48"/>
        <v xml:space="preserve"> </v>
      </c>
      <c r="U246" s="27"/>
      <c r="V246" s="27"/>
      <c r="W246" s="27"/>
      <c r="Y246" s="27"/>
      <c r="AE246" s="27"/>
      <c r="BD246" s="97"/>
      <c r="BE246" s="108"/>
      <c r="BF246" s="108"/>
      <c r="BG246" s="97"/>
      <c r="BH246" s="97"/>
      <c r="BI246" s="97"/>
      <c r="BJ246" s="97"/>
      <c r="BK246" s="110"/>
      <c r="BL246" s="97"/>
      <c r="BM246" s="97"/>
      <c r="BN246" s="97"/>
      <c r="BO246" s="142"/>
      <c r="BP246" s="143">
        <f t="shared" si="37"/>
        <v>0</v>
      </c>
      <c r="BQ246" s="142"/>
      <c r="BR246" s="143">
        <f t="shared" si="38"/>
        <v>0</v>
      </c>
      <c r="BS246" s="132"/>
      <c r="BT246" s="146">
        <f t="shared" si="39"/>
        <v>0</v>
      </c>
      <c r="BU246" s="132"/>
      <c r="BV246" s="143">
        <f t="shared" si="40"/>
        <v>0</v>
      </c>
      <c r="BW246" s="132"/>
      <c r="BX246" s="146">
        <f t="shared" si="41"/>
        <v>0</v>
      </c>
      <c r="BY246" s="132"/>
      <c r="BZ246" s="146">
        <f t="shared" si="42"/>
        <v>0</v>
      </c>
      <c r="CA246" s="132"/>
      <c r="CB246" s="146">
        <f t="shared" si="43"/>
        <v>0</v>
      </c>
      <c r="CC246" s="132"/>
      <c r="CD246" s="143">
        <f t="shared" si="44"/>
        <v>0</v>
      </c>
      <c r="CE246" s="132"/>
      <c r="CF246" s="143">
        <f t="shared" si="45"/>
        <v>0</v>
      </c>
      <c r="CG246" s="132"/>
      <c r="CH246" s="143">
        <f t="shared" si="46"/>
        <v>0</v>
      </c>
      <c r="CI246" s="132">
        <f t="shared" si="47"/>
        <v>0</v>
      </c>
      <c r="CJ246" s="143">
        <f t="shared" si="47"/>
        <v>0</v>
      </c>
    </row>
    <row r="247" spans="1:88" x14ac:dyDescent="0.3">
      <c r="A247" s="27"/>
      <c r="B247" s="27"/>
      <c r="C247" s="27"/>
      <c r="D247" s="27"/>
      <c r="E247" s="27"/>
      <c r="F247" s="27"/>
      <c r="G247" s="27"/>
      <c r="H247" s="27"/>
      <c r="I247" s="27"/>
      <c r="J247" s="27"/>
      <c r="K247" s="27"/>
      <c r="L247" s="27"/>
      <c r="N247" s="27"/>
      <c r="O247" s="27"/>
      <c r="P247" s="27"/>
      <c r="Q247" s="117" t="s">
        <v>832</v>
      </c>
      <c r="R247" s="27"/>
      <c r="S247" s="27"/>
      <c r="T247" s="141" t="str">
        <f t="shared" si="48"/>
        <v xml:space="preserve"> </v>
      </c>
      <c r="U247" s="27"/>
      <c r="V247" s="27"/>
      <c r="W247" s="27"/>
      <c r="X247" s="27"/>
      <c r="Y247" s="27"/>
      <c r="AE247" s="27"/>
      <c r="BD247" s="97"/>
      <c r="BE247" s="108"/>
      <c r="BF247" s="108"/>
      <c r="BG247" s="97"/>
      <c r="BH247" s="97"/>
      <c r="BI247" s="97"/>
      <c r="BJ247" s="97"/>
      <c r="BK247" s="110"/>
      <c r="BL247" s="97"/>
      <c r="BM247" s="97"/>
      <c r="BN247" s="97"/>
      <c r="BO247" s="142"/>
      <c r="BP247" s="143">
        <f t="shared" si="37"/>
        <v>0</v>
      </c>
      <c r="BQ247" s="142"/>
      <c r="BR247" s="143">
        <f t="shared" si="38"/>
        <v>0</v>
      </c>
      <c r="BS247" s="132"/>
      <c r="BT247" s="146">
        <f t="shared" si="39"/>
        <v>0</v>
      </c>
      <c r="BU247" s="132"/>
      <c r="BV247" s="143">
        <f t="shared" si="40"/>
        <v>0</v>
      </c>
      <c r="BW247" s="132"/>
      <c r="BX247" s="146">
        <f t="shared" si="41"/>
        <v>0</v>
      </c>
      <c r="BY247" s="132"/>
      <c r="BZ247" s="146">
        <f t="shared" si="42"/>
        <v>0</v>
      </c>
      <c r="CA247" s="132"/>
      <c r="CB247" s="146">
        <f t="shared" si="43"/>
        <v>0</v>
      </c>
      <c r="CC247" s="132"/>
      <c r="CD247" s="143">
        <f t="shared" si="44"/>
        <v>0</v>
      </c>
      <c r="CE247" s="132"/>
      <c r="CF247" s="143">
        <f t="shared" si="45"/>
        <v>0</v>
      </c>
      <c r="CG247" s="132"/>
      <c r="CH247" s="143">
        <f t="shared" si="46"/>
        <v>0</v>
      </c>
      <c r="CI247" s="132">
        <f t="shared" si="47"/>
        <v>0</v>
      </c>
      <c r="CJ247" s="143">
        <f t="shared" si="47"/>
        <v>0</v>
      </c>
    </row>
    <row r="248" spans="1:88" x14ac:dyDescent="0.3">
      <c r="A248" s="27"/>
      <c r="B248" s="27"/>
      <c r="C248" s="27"/>
      <c r="D248" s="27"/>
      <c r="E248" s="27"/>
      <c r="F248" s="27"/>
      <c r="G248" s="27"/>
      <c r="H248" s="27"/>
      <c r="I248" s="27"/>
      <c r="J248" s="27"/>
      <c r="K248" s="27"/>
      <c r="L248" s="27"/>
      <c r="N248" s="27"/>
      <c r="O248" s="27"/>
      <c r="P248" s="27"/>
      <c r="Q248" s="117" t="s">
        <v>833</v>
      </c>
      <c r="R248" s="27"/>
      <c r="S248" s="27"/>
      <c r="T248" s="141" t="str">
        <f t="shared" si="48"/>
        <v xml:space="preserve"> </v>
      </c>
      <c r="U248" s="27"/>
      <c r="V248" s="27"/>
      <c r="W248" s="27"/>
      <c r="X248" s="27"/>
      <c r="Y248" s="27"/>
      <c r="AE248" s="27"/>
      <c r="BD248" s="97"/>
      <c r="BE248" s="108"/>
      <c r="BF248" s="108"/>
      <c r="BG248" s="97"/>
      <c r="BH248" s="97"/>
      <c r="BI248" s="97"/>
      <c r="BJ248" s="97"/>
      <c r="BK248" s="110"/>
      <c r="BL248" s="97"/>
      <c r="BM248" s="97"/>
      <c r="BN248" s="97"/>
      <c r="BO248" s="142"/>
      <c r="BP248" s="143">
        <f t="shared" si="37"/>
        <v>0</v>
      </c>
      <c r="BQ248" s="142"/>
      <c r="BR248" s="143">
        <f t="shared" si="38"/>
        <v>0</v>
      </c>
      <c r="BS248" s="132"/>
      <c r="BT248" s="146">
        <f t="shared" si="39"/>
        <v>0</v>
      </c>
      <c r="BU248" s="132"/>
      <c r="BV248" s="143">
        <f t="shared" si="40"/>
        <v>0</v>
      </c>
      <c r="BW248" s="132"/>
      <c r="BX248" s="146">
        <f t="shared" si="41"/>
        <v>0</v>
      </c>
      <c r="BY248" s="132"/>
      <c r="BZ248" s="146">
        <f t="shared" si="42"/>
        <v>0</v>
      </c>
      <c r="CA248" s="132"/>
      <c r="CB248" s="146">
        <f t="shared" si="43"/>
        <v>0</v>
      </c>
      <c r="CC248" s="132"/>
      <c r="CD248" s="143">
        <f t="shared" si="44"/>
        <v>0</v>
      </c>
      <c r="CE248" s="132"/>
      <c r="CF248" s="143">
        <f t="shared" si="45"/>
        <v>0</v>
      </c>
      <c r="CG248" s="132"/>
      <c r="CH248" s="143">
        <f t="shared" si="46"/>
        <v>0</v>
      </c>
      <c r="CI248" s="132">
        <f t="shared" si="47"/>
        <v>0</v>
      </c>
      <c r="CJ248" s="143">
        <f t="shared" si="47"/>
        <v>0</v>
      </c>
    </row>
    <row r="249" spans="1:88" x14ac:dyDescent="0.3">
      <c r="A249" s="27"/>
      <c r="B249" s="27"/>
      <c r="C249" s="27"/>
      <c r="D249" s="27"/>
      <c r="E249" s="27"/>
      <c r="F249" s="27"/>
      <c r="G249" s="27"/>
      <c r="H249" s="27"/>
      <c r="I249" s="27"/>
      <c r="J249" s="27"/>
      <c r="K249" s="27"/>
      <c r="L249" s="27"/>
      <c r="N249" s="27"/>
      <c r="O249" s="27"/>
      <c r="P249" s="27"/>
      <c r="Q249" s="117" t="s">
        <v>834</v>
      </c>
      <c r="R249" s="27"/>
      <c r="S249" s="27"/>
      <c r="T249" s="141" t="str">
        <f t="shared" si="48"/>
        <v xml:space="preserve"> </v>
      </c>
      <c r="U249" s="27"/>
      <c r="V249" s="27"/>
      <c r="W249" s="27"/>
      <c r="X249" s="27"/>
      <c r="Y249" s="27"/>
      <c r="AE249" s="27"/>
      <c r="BD249" s="97"/>
      <c r="BE249" s="108"/>
      <c r="BF249" s="108"/>
      <c r="BG249" s="97"/>
      <c r="BH249" s="97"/>
      <c r="BI249" s="97"/>
      <c r="BJ249" s="97"/>
      <c r="BK249" s="110"/>
      <c r="BL249" s="97"/>
      <c r="BM249" s="97"/>
      <c r="BN249" s="97"/>
      <c r="BO249" s="142"/>
      <c r="BP249" s="143">
        <f t="shared" si="37"/>
        <v>0</v>
      </c>
      <c r="BQ249" s="142"/>
      <c r="BR249" s="143">
        <f t="shared" si="38"/>
        <v>0</v>
      </c>
      <c r="BS249" s="132"/>
      <c r="BT249" s="146">
        <f t="shared" si="39"/>
        <v>0</v>
      </c>
      <c r="BU249" s="132"/>
      <c r="BV249" s="143">
        <f t="shared" si="40"/>
        <v>0</v>
      </c>
      <c r="BW249" s="132"/>
      <c r="BX249" s="146">
        <f t="shared" si="41"/>
        <v>0</v>
      </c>
      <c r="BY249" s="132"/>
      <c r="BZ249" s="146">
        <f t="shared" si="42"/>
        <v>0</v>
      </c>
      <c r="CA249" s="132"/>
      <c r="CB249" s="146">
        <f t="shared" si="43"/>
        <v>0</v>
      </c>
      <c r="CC249" s="132"/>
      <c r="CD249" s="143">
        <f t="shared" si="44"/>
        <v>0</v>
      </c>
      <c r="CE249" s="132"/>
      <c r="CF249" s="143">
        <f t="shared" si="45"/>
        <v>0</v>
      </c>
      <c r="CG249" s="132"/>
      <c r="CH249" s="143">
        <f t="shared" si="46"/>
        <v>0</v>
      </c>
      <c r="CI249" s="132">
        <f t="shared" si="47"/>
        <v>0</v>
      </c>
      <c r="CJ249" s="143">
        <f t="shared" si="47"/>
        <v>0</v>
      </c>
    </row>
    <row r="250" spans="1:88" x14ac:dyDescent="0.3">
      <c r="A250" s="27"/>
      <c r="B250" s="27"/>
      <c r="C250" s="27"/>
      <c r="D250" s="27"/>
      <c r="E250" s="27"/>
      <c r="F250" s="27"/>
      <c r="G250" s="27"/>
      <c r="H250" s="27"/>
      <c r="I250" s="27"/>
      <c r="J250" s="27"/>
      <c r="K250" s="27"/>
      <c r="L250" s="27"/>
      <c r="N250" s="27"/>
      <c r="O250" s="27"/>
      <c r="P250" s="27"/>
      <c r="Q250" s="117" t="s">
        <v>835</v>
      </c>
      <c r="R250" s="27"/>
      <c r="S250" s="27"/>
      <c r="T250" s="141" t="str">
        <f t="shared" si="48"/>
        <v xml:space="preserve"> </v>
      </c>
      <c r="U250" s="27"/>
      <c r="V250" s="27"/>
      <c r="W250" s="27"/>
      <c r="X250" s="27"/>
      <c r="Y250" s="27"/>
      <c r="AE250" s="27"/>
      <c r="BD250" s="97"/>
      <c r="BE250" s="108"/>
      <c r="BF250" s="108"/>
      <c r="BG250" s="97"/>
      <c r="BH250" s="97"/>
      <c r="BI250" s="97"/>
      <c r="BJ250" s="97"/>
      <c r="BK250" s="110"/>
      <c r="BL250" s="97"/>
      <c r="BM250" s="97"/>
      <c r="BN250" s="97"/>
      <c r="BO250" s="142"/>
      <c r="BP250" s="143">
        <f t="shared" si="37"/>
        <v>0</v>
      </c>
      <c r="BQ250" s="142"/>
      <c r="BR250" s="143">
        <f t="shared" si="38"/>
        <v>0</v>
      </c>
      <c r="BS250" s="132"/>
      <c r="BT250" s="146">
        <f t="shared" si="39"/>
        <v>0</v>
      </c>
      <c r="BU250" s="155"/>
      <c r="BV250" s="143">
        <f t="shared" si="40"/>
        <v>0</v>
      </c>
      <c r="BW250" s="155"/>
      <c r="BX250" s="146">
        <f t="shared" si="41"/>
        <v>0</v>
      </c>
      <c r="BY250" s="155"/>
      <c r="BZ250" s="146">
        <f t="shared" si="42"/>
        <v>0</v>
      </c>
      <c r="CA250" s="155"/>
      <c r="CB250" s="146">
        <f t="shared" si="43"/>
        <v>0</v>
      </c>
      <c r="CC250" s="155"/>
      <c r="CD250" s="143">
        <f t="shared" si="44"/>
        <v>0</v>
      </c>
      <c r="CE250" s="155"/>
      <c r="CF250" s="143">
        <f t="shared" si="45"/>
        <v>0</v>
      </c>
      <c r="CG250" s="132"/>
      <c r="CH250" s="143">
        <f t="shared" si="46"/>
        <v>0</v>
      </c>
      <c r="CI250" s="132">
        <f t="shared" si="47"/>
        <v>0</v>
      </c>
      <c r="CJ250" s="143">
        <f t="shared" si="47"/>
        <v>0</v>
      </c>
    </row>
    <row r="251" spans="1:88" x14ac:dyDescent="0.3">
      <c r="A251" s="27"/>
      <c r="B251" s="27"/>
      <c r="C251" s="27"/>
      <c r="D251" s="27"/>
      <c r="E251" s="27"/>
      <c r="F251" s="27"/>
      <c r="G251" s="27"/>
      <c r="H251" s="27"/>
      <c r="I251" s="27"/>
      <c r="J251" s="27"/>
      <c r="K251" s="27"/>
      <c r="L251" s="27"/>
      <c r="N251" s="27"/>
      <c r="O251" s="27"/>
      <c r="P251" s="27"/>
      <c r="Q251" s="117" t="s">
        <v>836</v>
      </c>
      <c r="R251" s="27"/>
      <c r="S251" s="27"/>
      <c r="T251" s="141" t="str">
        <f t="shared" si="48"/>
        <v xml:space="preserve"> </v>
      </c>
      <c r="U251" s="27"/>
      <c r="V251" s="27"/>
      <c r="W251" s="27"/>
      <c r="X251" s="27"/>
      <c r="Y251" s="27"/>
      <c r="AE251" s="27"/>
      <c r="BD251" s="97"/>
      <c r="BE251" s="108"/>
      <c r="BF251" s="108"/>
      <c r="BG251" s="97"/>
      <c r="BH251" s="97"/>
      <c r="BI251" s="97"/>
      <c r="BJ251" s="97"/>
      <c r="BK251" s="110"/>
      <c r="BL251" s="97"/>
      <c r="BM251" s="97"/>
      <c r="BN251" s="97"/>
      <c r="BO251" s="142"/>
      <c r="BP251" s="143">
        <f t="shared" si="37"/>
        <v>0</v>
      </c>
      <c r="BQ251" s="142"/>
      <c r="BR251" s="143">
        <f t="shared" si="38"/>
        <v>0</v>
      </c>
      <c r="BS251" s="132"/>
      <c r="BT251" s="146">
        <f t="shared" si="39"/>
        <v>0</v>
      </c>
      <c r="BU251" s="155"/>
      <c r="BV251" s="143">
        <f t="shared" si="40"/>
        <v>0</v>
      </c>
      <c r="BW251" s="132"/>
      <c r="BX251" s="146">
        <f t="shared" si="41"/>
        <v>0</v>
      </c>
      <c r="BY251" s="132"/>
      <c r="BZ251" s="146">
        <f t="shared" si="42"/>
        <v>0</v>
      </c>
      <c r="CA251" s="132"/>
      <c r="CB251" s="146">
        <f t="shared" si="43"/>
        <v>0</v>
      </c>
      <c r="CC251" s="132"/>
      <c r="CD251" s="143">
        <f t="shared" si="44"/>
        <v>0</v>
      </c>
      <c r="CE251" s="132"/>
      <c r="CF251" s="143">
        <f t="shared" si="45"/>
        <v>0</v>
      </c>
      <c r="CG251" s="132"/>
      <c r="CH251" s="143">
        <f t="shared" si="46"/>
        <v>0</v>
      </c>
      <c r="CI251" s="132">
        <f t="shared" si="47"/>
        <v>0</v>
      </c>
      <c r="CJ251" s="143">
        <f t="shared" si="47"/>
        <v>0</v>
      </c>
    </row>
    <row r="252" spans="1:88" x14ac:dyDescent="0.3">
      <c r="A252" s="27"/>
      <c r="B252" s="27"/>
      <c r="C252" s="27"/>
      <c r="D252" s="27"/>
      <c r="E252" s="27"/>
      <c r="F252" s="27"/>
      <c r="G252" s="27"/>
      <c r="H252" s="27"/>
      <c r="I252" s="27"/>
      <c r="J252" s="27"/>
      <c r="K252" s="27"/>
      <c r="L252" s="27"/>
      <c r="N252" s="27"/>
      <c r="O252" s="27"/>
      <c r="P252" s="27"/>
      <c r="Q252" s="117" t="s">
        <v>837</v>
      </c>
      <c r="R252" s="27"/>
      <c r="S252" s="27"/>
      <c r="T252" s="141" t="str">
        <f t="shared" si="48"/>
        <v xml:space="preserve"> </v>
      </c>
      <c r="U252" s="27"/>
      <c r="V252" s="27"/>
      <c r="W252" s="27"/>
      <c r="X252" s="27"/>
      <c r="Y252" s="27"/>
      <c r="AE252" s="27"/>
      <c r="BD252" s="97"/>
      <c r="BE252" s="108"/>
      <c r="BF252" s="108"/>
      <c r="BG252" s="97"/>
      <c r="BH252" s="97"/>
      <c r="BI252" s="97"/>
      <c r="BJ252" s="97"/>
      <c r="BK252" s="110"/>
      <c r="BL252" s="97"/>
      <c r="BM252" s="97"/>
      <c r="BN252" s="97"/>
      <c r="BO252" s="142"/>
      <c r="BP252" s="143">
        <f t="shared" si="37"/>
        <v>0</v>
      </c>
      <c r="BQ252" s="142"/>
      <c r="BR252" s="143">
        <f t="shared" si="38"/>
        <v>0</v>
      </c>
      <c r="BS252" s="132"/>
      <c r="BT252" s="146">
        <f t="shared" si="39"/>
        <v>0</v>
      </c>
      <c r="BU252" s="132"/>
      <c r="BV252" s="143">
        <f t="shared" si="40"/>
        <v>0</v>
      </c>
      <c r="BW252" s="132"/>
      <c r="BX252" s="146">
        <f t="shared" si="41"/>
        <v>0</v>
      </c>
      <c r="BY252" s="132"/>
      <c r="BZ252" s="146">
        <f t="shared" si="42"/>
        <v>0</v>
      </c>
      <c r="CA252" s="132"/>
      <c r="CB252" s="146">
        <f t="shared" si="43"/>
        <v>0</v>
      </c>
      <c r="CC252" s="132"/>
      <c r="CD252" s="143">
        <f t="shared" si="44"/>
        <v>0</v>
      </c>
      <c r="CE252" s="132"/>
      <c r="CF252" s="143">
        <f t="shared" si="45"/>
        <v>0</v>
      </c>
      <c r="CG252" s="132"/>
      <c r="CH252" s="143">
        <f t="shared" si="46"/>
        <v>0</v>
      </c>
      <c r="CI252" s="132">
        <f t="shared" si="47"/>
        <v>0</v>
      </c>
      <c r="CJ252" s="143">
        <f t="shared" si="47"/>
        <v>0</v>
      </c>
    </row>
    <row r="253" spans="1:88" x14ac:dyDescent="0.3">
      <c r="A253" s="27"/>
      <c r="B253" s="27"/>
      <c r="C253" s="27"/>
      <c r="D253" s="27"/>
      <c r="E253" s="27"/>
      <c r="F253" s="27"/>
      <c r="G253" s="27"/>
      <c r="H253" s="27"/>
      <c r="I253" s="27"/>
      <c r="J253" s="27"/>
      <c r="K253" s="27"/>
      <c r="L253" s="27"/>
      <c r="N253" s="27"/>
      <c r="O253" s="27"/>
      <c r="P253" s="27"/>
      <c r="Q253" s="117" t="s">
        <v>838</v>
      </c>
      <c r="R253" s="27"/>
      <c r="S253" s="27"/>
      <c r="T253" s="141" t="str">
        <f t="shared" si="48"/>
        <v xml:space="preserve"> </v>
      </c>
      <c r="U253" s="27"/>
      <c r="V253" s="27"/>
      <c r="W253" s="27"/>
      <c r="X253" s="27"/>
      <c r="Y253" s="27"/>
      <c r="AE253" s="27"/>
      <c r="BD253" s="97"/>
      <c r="BE253" s="108"/>
      <c r="BF253" s="108"/>
      <c r="BG253" s="97"/>
      <c r="BH253" s="97"/>
      <c r="BI253" s="97"/>
      <c r="BJ253" s="97"/>
      <c r="BK253" s="110"/>
      <c r="BL253" s="97"/>
      <c r="BM253" s="97"/>
      <c r="BN253" s="97"/>
      <c r="BO253" s="142"/>
      <c r="BP253" s="143">
        <f t="shared" si="37"/>
        <v>0</v>
      </c>
      <c r="BQ253" s="142"/>
      <c r="BR253" s="143">
        <f t="shared" si="38"/>
        <v>0</v>
      </c>
      <c r="BS253" s="132"/>
      <c r="BT253" s="146">
        <f t="shared" si="39"/>
        <v>0</v>
      </c>
      <c r="BU253" s="155"/>
      <c r="BV253" s="143">
        <f t="shared" si="40"/>
        <v>0</v>
      </c>
      <c r="BW253" s="155"/>
      <c r="BX253" s="146">
        <f t="shared" si="41"/>
        <v>0</v>
      </c>
      <c r="BY253" s="155"/>
      <c r="BZ253" s="146">
        <f t="shared" si="42"/>
        <v>0</v>
      </c>
      <c r="CA253" s="155"/>
      <c r="CB253" s="146">
        <f t="shared" si="43"/>
        <v>0</v>
      </c>
      <c r="CC253" s="155"/>
      <c r="CD253" s="143">
        <f t="shared" si="44"/>
        <v>0</v>
      </c>
      <c r="CE253" s="155"/>
      <c r="CF253" s="143">
        <f t="shared" si="45"/>
        <v>0</v>
      </c>
      <c r="CG253" s="132"/>
      <c r="CH253" s="143">
        <f t="shared" si="46"/>
        <v>0</v>
      </c>
      <c r="CI253" s="132">
        <f t="shared" si="47"/>
        <v>0</v>
      </c>
      <c r="CJ253" s="143">
        <f t="shared" si="47"/>
        <v>0</v>
      </c>
    </row>
    <row r="254" spans="1:88" x14ac:dyDescent="0.3">
      <c r="A254" s="27"/>
      <c r="B254" s="27"/>
      <c r="C254" s="27"/>
      <c r="D254" s="27"/>
      <c r="E254" s="27"/>
      <c r="F254" s="27"/>
      <c r="G254" s="27"/>
      <c r="H254" s="27"/>
      <c r="I254" s="27"/>
      <c r="J254" s="27"/>
      <c r="K254" s="27"/>
      <c r="L254" s="27"/>
      <c r="N254" s="27"/>
      <c r="O254" s="27"/>
      <c r="P254" s="27"/>
      <c r="Q254" s="117" t="s">
        <v>839</v>
      </c>
      <c r="R254" s="27"/>
      <c r="S254" s="27"/>
      <c r="T254" s="141" t="str">
        <f t="shared" si="48"/>
        <v xml:space="preserve"> </v>
      </c>
      <c r="U254" s="27"/>
      <c r="V254" s="27"/>
      <c r="W254" s="27"/>
      <c r="X254" s="27"/>
      <c r="Y254" s="27"/>
      <c r="AE254" s="27"/>
      <c r="BD254" s="97"/>
      <c r="BE254" s="108"/>
      <c r="BF254" s="108"/>
      <c r="BG254" s="97"/>
      <c r="BH254" s="97"/>
      <c r="BI254" s="97"/>
      <c r="BJ254" s="97"/>
      <c r="BK254" s="110"/>
      <c r="BL254" s="97"/>
      <c r="BM254" s="97"/>
      <c r="BN254" s="97"/>
      <c r="BO254" s="142"/>
      <c r="BP254" s="143">
        <f t="shared" si="37"/>
        <v>0</v>
      </c>
      <c r="BQ254" s="142"/>
      <c r="BR254" s="143">
        <f t="shared" si="38"/>
        <v>0</v>
      </c>
      <c r="BS254" s="132"/>
      <c r="BT254" s="146">
        <f t="shared" si="39"/>
        <v>0</v>
      </c>
      <c r="BU254" s="132"/>
      <c r="BV254" s="143">
        <f t="shared" si="40"/>
        <v>0</v>
      </c>
      <c r="BW254" s="132"/>
      <c r="BX254" s="146">
        <f t="shared" si="41"/>
        <v>0</v>
      </c>
      <c r="BY254" s="132"/>
      <c r="BZ254" s="146">
        <f t="shared" si="42"/>
        <v>0</v>
      </c>
      <c r="CA254" s="132"/>
      <c r="CB254" s="146">
        <f t="shared" si="43"/>
        <v>0</v>
      </c>
      <c r="CC254" s="132"/>
      <c r="CD254" s="143">
        <f t="shared" si="44"/>
        <v>0</v>
      </c>
      <c r="CE254" s="132"/>
      <c r="CF254" s="143">
        <f t="shared" si="45"/>
        <v>0</v>
      </c>
      <c r="CG254" s="132"/>
      <c r="CH254" s="143">
        <f t="shared" si="46"/>
        <v>0</v>
      </c>
      <c r="CI254" s="132">
        <f t="shared" si="47"/>
        <v>0</v>
      </c>
      <c r="CJ254" s="143">
        <f t="shared" si="47"/>
        <v>0</v>
      </c>
    </row>
    <row r="255" spans="1:88" x14ac:dyDescent="0.3">
      <c r="A255" s="27"/>
      <c r="B255" s="27"/>
      <c r="C255" s="27"/>
      <c r="D255" s="27"/>
      <c r="E255" s="27"/>
      <c r="F255" s="27"/>
      <c r="G255" s="27"/>
      <c r="H255" s="27"/>
      <c r="I255" s="27"/>
      <c r="J255" s="27"/>
      <c r="K255" s="27"/>
      <c r="L255" s="27"/>
      <c r="N255" s="27"/>
      <c r="O255" s="27"/>
      <c r="P255" s="27"/>
      <c r="Q255" s="117" t="s">
        <v>840</v>
      </c>
      <c r="R255" s="27"/>
      <c r="S255" s="27"/>
      <c r="T255" s="141" t="str">
        <f t="shared" si="48"/>
        <v xml:space="preserve"> </v>
      </c>
      <c r="U255" s="27"/>
      <c r="V255" s="27"/>
      <c r="W255" s="27"/>
      <c r="X255" s="27"/>
      <c r="Y255" s="27"/>
      <c r="AE255" s="27"/>
      <c r="BD255" s="97"/>
      <c r="BE255" s="108"/>
      <c r="BF255" s="108"/>
      <c r="BG255" s="97"/>
      <c r="BH255" s="97"/>
      <c r="BI255" s="97"/>
      <c r="BJ255" s="97"/>
      <c r="BK255" s="110"/>
      <c r="BL255" s="97"/>
      <c r="BM255" s="97"/>
      <c r="BN255" s="97"/>
      <c r="BO255" s="142"/>
      <c r="BP255" s="143">
        <f t="shared" si="37"/>
        <v>0</v>
      </c>
      <c r="BQ255" s="142"/>
      <c r="BR255" s="143">
        <f t="shared" si="38"/>
        <v>0</v>
      </c>
      <c r="BS255" s="132"/>
      <c r="BT255" s="146">
        <f t="shared" si="39"/>
        <v>0</v>
      </c>
      <c r="BU255" s="132"/>
      <c r="BV255" s="143">
        <f t="shared" si="40"/>
        <v>0</v>
      </c>
      <c r="BW255" s="132"/>
      <c r="BX255" s="146">
        <f t="shared" si="41"/>
        <v>0</v>
      </c>
      <c r="BY255" s="132"/>
      <c r="BZ255" s="146">
        <f t="shared" si="42"/>
        <v>0</v>
      </c>
      <c r="CA255" s="132"/>
      <c r="CB255" s="146">
        <f t="shared" si="43"/>
        <v>0</v>
      </c>
      <c r="CC255" s="132"/>
      <c r="CD255" s="143">
        <f t="shared" si="44"/>
        <v>0</v>
      </c>
      <c r="CE255" s="132"/>
      <c r="CF255" s="143">
        <f t="shared" si="45"/>
        <v>0</v>
      </c>
      <c r="CG255" s="132"/>
      <c r="CH255" s="143">
        <f t="shared" si="46"/>
        <v>0</v>
      </c>
      <c r="CI255" s="132">
        <f t="shared" si="47"/>
        <v>0</v>
      </c>
      <c r="CJ255" s="143">
        <f t="shared" si="47"/>
        <v>0</v>
      </c>
    </row>
    <row r="256" spans="1:88" x14ac:dyDescent="0.3">
      <c r="A256" s="27"/>
      <c r="B256" s="27"/>
      <c r="C256" s="27"/>
      <c r="D256" s="27"/>
      <c r="E256" s="27"/>
      <c r="F256" s="27"/>
      <c r="G256" s="27"/>
      <c r="H256" s="27"/>
      <c r="I256" s="27"/>
      <c r="J256" s="27"/>
      <c r="K256" s="27"/>
      <c r="L256" s="27"/>
      <c r="N256" s="27"/>
      <c r="O256" s="27"/>
      <c r="P256" s="27"/>
      <c r="Q256" s="117" t="s">
        <v>841</v>
      </c>
      <c r="R256" s="27"/>
      <c r="S256" s="27"/>
      <c r="T256" s="141" t="str">
        <f t="shared" si="48"/>
        <v xml:space="preserve"> </v>
      </c>
      <c r="U256" s="27"/>
      <c r="V256" s="27"/>
      <c r="W256" s="27"/>
      <c r="X256" s="27"/>
      <c r="Y256" s="27"/>
      <c r="AE256" s="27"/>
      <c r="BD256" s="97"/>
      <c r="BE256" s="108"/>
      <c r="BF256" s="108"/>
      <c r="BG256" s="97"/>
      <c r="BH256" s="97"/>
      <c r="BI256" s="97"/>
      <c r="BJ256" s="97"/>
      <c r="BK256" s="110"/>
      <c r="BL256" s="97"/>
      <c r="BM256" s="97"/>
      <c r="BN256" s="97"/>
      <c r="BO256" s="142"/>
      <c r="BP256" s="143">
        <f t="shared" si="37"/>
        <v>0</v>
      </c>
      <c r="BQ256" s="142"/>
      <c r="BR256" s="143">
        <f t="shared" si="38"/>
        <v>0</v>
      </c>
      <c r="BS256" s="132"/>
      <c r="BT256" s="146">
        <f t="shared" si="39"/>
        <v>0</v>
      </c>
      <c r="BU256" s="132"/>
      <c r="BV256" s="143">
        <f t="shared" si="40"/>
        <v>0</v>
      </c>
      <c r="BW256" s="132"/>
      <c r="BX256" s="146">
        <f t="shared" si="41"/>
        <v>0</v>
      </c>
      <c r="BY256" s="132"/>
      <c r="BZ256" s="146">
        <f t="shared" si="42"/>
        <v>0</v>
      </c>
      <c r="CA256" s="132"/>
      <c r="CB256" s="146">
        <f t="shared" si="43"/>
        <v>0</v>
      </c>
      <c r="CC256" s="132"/>
      <c r="CD256" s="143">
        <f t="shared" si="44"/>
        <v>0</v>
      </c>
      <c r="CE256" s="132"/>
      <c r="CF256" s="143">
        <f t="shared" si="45"/>
        <v>0</v>
      </c>
      <c r="CG256" s="132"/>
      <c r="CH256" s="143">
        <f t="shared" si="46"/>
        <v>0</v>
      </c>
      <c r="CI256" s="132">
        <f t="shared" si="47"/>
        <v>0</v>
      </c>
      <c r="CJ256" s="143">
        <f t="shared" si="47"/>
        <v>0</v>
      </c>
    </row>
    <row r="257" spans="1:88" x14ac:dyDescent="0.3">
      <c r="A257" s="27"/>
      <c r="B257" s="27"/>
      <c r="C257" s="27"/>
      <c r="D257" s="27"/>
      <c r="E257" s="27"/>
      <c r="F257" s="27"/>
      <c r="G257" s="27"/>
      <c r="H257" s="27"/>
      <c r="I257" s="27"/>
      <c r="J257" s="27"/>
      <c r="K257" s="27"/>
      <c r="L257" s="27"/>
      <c r="N257" s="27"/>
      <c r="O257" s="27"/>
      <c r="P257" s="27"/>
      <c r="Q257" s="117" t="s">
        <v>842</v>
      </c>
      <c r="R257" s="27"/>
      <c r="S257" s="27"/>
      <c r="T257" s="141" t="str">
        <f t="shared" si="48"/>
        <v xml:space="preserve"> </v>
      </c>
      <c r="U257" s="27"/>
      <c r="V257" s="27"/>
      <c r="W257" s="27"/>
      <c r="X257" s="27"/>
      <c r="Y257" s="27"/>
      <c r="AE257" s="27"/>
      <c r="BD257" s="97"/>
      <c r="BE257" s="108"/>
      <c r="BF257" s="108"/>
      <c r="BG257" s="97"/>
      <c r="BH257" s="97"/>
      <c r="BI257" s="97"/>
      <c r="BJ257" s="97"/>
      <c r="BK257" s="110"/>
      <c r="BL257" s="97"/>
      <c r="BM257" s="97"/>
      <c r="BN257" s="97"/>
      <c r="BO257" s="142"/>
      <c r="BP257" s="143">
        <f t="shared" si="37"/>
        <v>0</v>
      </c>
      <c r="BQ257" s="142"/>
      <c r="BR257" s="143">
        <f t="shared" si="38"/>
        <v>0</v>
      </c>
      <c r="BS257" s="132"/>
      <c r="BT257" s="146">
        <f t="shared" si="39"/>
        <v>0</v>
      </c>
      <c r="BU257" s="132"/>
      <c r="BV257" s="143">
        <f t="shared" si="40"/>
        <v>0</v>
      </c>
      <c r="BW257" s="132"/>
      <c r="BX257" s="146">
        <f t="shared" si="41"/>
        <v>0</v>
      </c>
      <c r="BY257" s="132"/>
      <c r="BZ257" s="146">
        <f t="shared" si="42"/>
        <v>0</v>
      </c>
      <c r="CA257" s="132"/>
      <c r="CB257" s="146">
        <f t="shared" si="43"/>
        <v>0</v>
      </c>
      <c r="CC257" s="132"/>
      <c r="CD257" s="143">
        <f t="shared" si="44"/>
        <v>0</v>
      </c>
      <c r="CE257" s="132"/>
      <c r="CF257" s="143">
        <f t="shared" si="45"/>
        <v>0</v>
      </c>
      <c r="CG257" s="132"/>
      <c r="CH257" s="143">
        <f t="shared" si="46"/>
        <v>0</v>
      </c>
      <c r="CI257" s="132">
        <f t="shared" si="47"/>
        <v>0</v>
      </c>
      <c r="CJ257" s="143">
        <f t="shared" si="47"/>
        <v>0</v>
      </c>
    </row>
    <row r="258" spans="1:88" x14ac:dyDescent="0.3">
      <c r="A258" s="27"/>
      <c r="B258" s="27"/>
      <c r="C258" s="27"/>
      <c r="D258" s="27"/>
      <c r="E258" s="27"/>
      <c r="F258" s="27"/>
      <c r="G258" s="27"/>
      <c r="H258" s="27"/>
      <c r="I258" s="27"/>
      <c r="J258" s="27"/>
      <c r="K258" s="27"/>
      <c r="L258" s="27"/>
      <c r="N258" s="27"/>
      <c r="O258" s="27"/>
      <c r="P258" s="27"/>
      <c r="Q258" s="117" t="s">
        <v>843</v>
      </c>
      <c r="R258" s="27"/>
      <c r="S258" s="27"/>
      <c r="T258" s="141" t="str">
        <f t="shared" si="48"/>
        <v xml:space="preserve"> </v>
      </c>
      <c r="U258" s="27"/>
      <c r="V258" s="27"/>
      <c r="W258" s="27"/>
      <c r="X258" s="27"/>
      <c r="Y258" s="27"/>
      <c r="AE258" s="27"/>
      <c r="BD258" s="97"/>
      <c r="BE258" s="108"/>
      <c r="BF258" s="108"/>
      <c r="BG258" s="97"/>
      <c r="BH258" s="97"/>
      <c r="BI258" s="97"/>
      <c r="BJ258" s="97"/>
      <c r="BK258" s="110"/>
      <c r="BL258" s="97"/>
      <c r="BM258" s="97"/>
      <c r="BN258" s="97"/>
      <c r="BO258" s="142"/>
      <c r="BP258" s="143">
        <f t="shared" si="37"/>
        <v>0</v>
      </c>
      <c r="BQ258" s="142"/>
      <c r="BR258" s="143">
        <f t="shared" si="38"/>
        <v>0</v>
      </c>
      <c r="BS258" s="132"/>
      <c r="BT258" s="146">
        <f t="shared" si="39"/>
        <v>0</v>
      </c>
      <c r="BU258" s="132"/>
      <c r="BV258" s="143">
        <f t="shared" si="40"/>
        <v>0</v>
      </c>
      <c r="BW258" s="132"/>
      <c r="BX258" s="146">
        <f t="shared" si="41"/>
        <v>0</v>
      </c>
      <c r="BY258" s="132"/>
      <c r="BZ258" s="146">
        <f t="shared" si="42"/>
        <v>0</v>
      </c>
      <c r="CA258" s="132"/>
      <c r="CB258" s="146">
        <f t="shared" si="43"/>
        <v>0</v>
      </c>
      <c r="CC258" s="155"/>
      <c r="CD258" s="143">
        <f t="shared" si="44"/>
        <v>0</v>
      </c>
      <c r="CE258" s="155"/>
      <c r="CF258" s="143">
        <f t="shared" si="45"/>
        <v>0</v>
      </c>
      <c r="CG258" s="132"/>
      <c r="CH258" s="143">
        <f t="shared" si="46"/>
        <v>0</v>
      </c>
      <c r="CI258" s="132">
        <f t="shared" si="47"/>
        <v>0</v>
      </c>
      <c r="CJ258" s="143">
        <f t="shared" si="47"/>
        <v>0</v>
      </c>
    </row>
    <row r="259" spans="1:88" x14ac:dyDescent="0.3">
      <c r="A259" s="27"/>
      <c r="B259" s="27"/>
      <c r="C259" s="27"/>
      <c r="D259" s="27"/>
      <c r="E259" s="27"/>
      <c r="F259" s="27"/>
      <c r="G259" s="27"/>
      <c r="H259" s="27"/>
      <c r="I259" s="27"/>
      <c r="J259" s="27"/>
      <c r="K259" s="27"/>
      <c r="L259" s="27"/>
      <c r="N259" s="27"/>
      <c r="O259" s="27"/>
      <c r="P259" s="27"/>
      <c r="Q259" s="117" t="s">
        <v>844</v>
      </c>
      <c r="R259" s="27"/>
      <c r="S259" s="27"/>
      <c r="T259" s="141" t="str">
        <f t="shared" si="48"/>
        <v xml:space="preserve"> </v>
      </c>
      <c r="U259" s="27"/>
      <c r="V259" s="27"/>
      <c r="W259" s="27"/>
      <c r="X259" s="27"/>
      <c r="Y259" s="27"/>
      <c r="AE259" s="27"/>
      <c r="BD259" s="97"/>
      <c r="BE259" s="108"/>
      <c r="BF259" s="108"/>
      <c r="BG259" s="97"/>
      <c r="BH259" s="97"/>
      <c r="BI259" s="97"/>
      <c r="BJ259" s="97"/>
      <c r="BK259" s="110"/>
      <c r="BL259" s="97"/>
      <c r="BM259" s="97"/>
      <c r="BN259" s="97"/>
      <c r="BO259" s="142"/>
      <c r="BP259" s="143">
        <f t="shared" si="37"/>
        <v>0</v>
      </c>
      <c r="BQ259" s="142"/>
      <c r="BR259" s="143">
        <f t="shared" si="38"/>
        <v>0</v>
      </c>
      <c r="BS259" s="132"/>
      <c r="BT259" s="146">
        <f t="shared" si="39"/>
        <v>0</v>
      </c>
      <c r="BU259" s="132"/>
      <c r="BV259" s="143">
        <f t="shared" si="40"/>
        <v>0</v>
      </c>
      <c r="BW259" s="132"/>
      <c r="BX259" s="146">
        <f t="shared" si="41"/>
        <v>0</v>
      </c>
      <c r="BY259" s="132"/>
      <c r="BZ259" s="146">
        <f t="shared" si="42"/>
        <v>0</v>
      </c>
      <c r="CA259" s="132"/>
      <c r="CB259" s="146">
        <f t="shared" si="43"/>
        <v>0</v>
      </c>
      <c r="CC259" s="132"/>
      <c r="CD259" s="143">
        <f t="shared" si="44"/>
        <v>0</v>
      </c>
      <c r="CE259" s="132"/>
      <c r="CF259" s="143">
        <f t="shared" si="45"/>
        <v>0</v>
      </c>
      <c r="CG259" s="132"/>
      <c r="CH259" s="143">
        <f t="shared" si="46"/>
        <v>0</v>
      </c>
      <c r="CI259" s="132">
        <f t="shared" si="47"/>
        <v>0</v>
      </c>
      <c r="CJ259" s="143">
        <f t="shared" si="47"/>
        <v>0</v>
      </c>
    </row>
    <row r="260" spans="1:88" x14ac:dyDescent="0.3">
      <c r="A260" s="27"/>
      <c r="B260" s="27"/>
      <c r="C260" s="27"/>
      <c r="D260" s="27"/>
      <c r="E260" s="27"/>
      <c r="F260" s="27"/>
      <c r="G260" s="27"/>
      <c r="H260" s="27"/>
      <c r="I260" s="27"/>
      <c r="J260" s="27"/>
      <c r="K260" s="27"/>
      <c r="L260" s="27"/>
      <c r="N260" s="27"/>
      <c r="O260" s="27"/>
      <c r="P260" s="27"/>
      <c r="Q260" s="117" t="s">
        <v>845</v>
      </c>
      <c r="R260" s="27"/>
      <c r="S260" s="27"/>
      <c r="T260" s="141" t="str">
        <f t="shared" si="48"/>
        <v xml:space="preserve"> </v>
      </c>
      <c r="U260" s="27"/>
      <c r="V260" s="27"/>
      <c r="W260" s="27"/>
      <c r="X260" s="27"/>
      <c r="Y260" s="27"/>
      <c r="AE260" s="27"/>
      <c r="BD260" s="97"/>
      <c r="BE260" s="108"/>
      <c r="BF260" s="108"/>
      <c r="BG260" s="97"/>
      <c r="BH260" s="97"/>
      <c r="BI260" s="97"/>
      <c r="BJ260" s="97"/>
      <c r="BK260" s="110"/>
      <c r="BL260" s="97"/>
      <c r="BM260" s="97"/>
      <c r="BN260" s="97"/>
      <c r="BO260" s="142"/>
      <c r="BP260" s="143">
        <f t="shared" si="37"/>
        <v>0</v>
      </c>
      <c r="BQ260" s="142"/>
      <c r="BR260" s="143">
        <f t="shared" si="38"/>
        <v>0</v>
      </c>
      <c r="BS260" s="132"/>
      <c r="BT260" s="146">
        <f t="shared" si="39"/>
        <v>0</v>
      </c>
      <c r="BU260" s="132"/>
      <c r="BV260" s="143">
        <f t="shared" si="40"/>
        <v>0</v>
      </c>
      <c r="BW260" s="132"/>
      <c r="BX260" s="146">
        <f t="shared" si="41"/>
        <v>0</v>
      </c>
      <c r="BY260" s="155"/>
      <c r="BZ260" s="146">
        <f t="shared" si="42"/>
        <v>0</v>
      </c>
      <c r="CA260" s="132"/>
      <c r="CB260" s="146">
        <f t="shared" si="43"/>
        <v>0</v>
      </c>
      <c r="CC260" s="132"/>
      <c r="CD260" s="143">
        <f t="shared" si="44"/>
        <v>0</v>
      </c>
      <c r="CE260" s="132"/>
      <c r="CF260" s="143">
        <f t="shared" si="45"/>
        <v>0</v>
      </c>
      <c r="CG260" s="132"/>
      <c r="CH260" s="143">
        <f t="shared" si="46"/>
        <v>0</v>
      </c>
      <c r="CI260" s="132">
        <f t="shared" si="47"/>
        <v>0</v>
      </c>
      <c r="CJ260" s="143">
        <f t="shared" si="47"/>
        <v>0</v>
      </c>
    </row>
    <row r="261" spans="1:88" x14ac:dyDescent="0.3">
      <c r="A261" s="27"/>
      <c r="B261" s="27"/>
      <c r="C261" s="27"/>
      <c r="D261" s="27"/>
      <c r="E261" s="27"/>
      <c r="F261" s="27"/>
      <c r="G261" s="27"/>
      <c r="H261" s="27"/>
      <c r="I261" s="27"/>
      <c r="J261" s="27"/>
      <c r="K261" s="27"/>
      <c r="L261" s="27"/>
      <c r="N261" s="27"/>
      <c r="O261" s="27"/>
      <c r="P261" s="27"/>
      <c r="Q261" s="117" t="s">
        <v>846</v>
      </c>
      <c r="R261" s="27"/>
      <c r="S261" s="27"/>
      <c r="T261" s="141" t="str">
        <f t="shared" si="48"/>
        <v xml:space="preserve"> </v>
      </c>
      <c r="U261" s="27"/>
      <c r="V261" s="27"/>
      <c r="W261" s="27"/>
      <c r="X261" s="27"/>
      <c r="Y261" s="27"/>
      <c r="AE261" s="27"/>
      <c r="BD261" s="97"/>
      <c r="BE261" s="108"/>
      <c r="BF261" s="108"/>
      <c r="BG261" s="97"/>
      <c r="BH261" s="97"/>
      <c r="BI261" s="97"/>
      <c r="BJ261" s="97"/>
      <c r="BK261" s="110"/>
      <c r="BL261" s="97"/>
      <c r="BM261" s="97"/>
      <c r="BN261" s="97"/>
      <c r="BO261" s="142"/>
      <c r="BP261" s="143">
        <f t="shared" si="37"/>
        <v>0</v>
      </c>
      <c r="BQ261" s="142"/>
      <c r="BR261" s="143">
        <f t="shared" si="38"/>
        <v>0</v>
      </c>
      <c r="BS261" s="132"/>
      <c r="BT261" s="146">
        <f t="shared" si="39"/>
        <v>0</v>
      </c>
      <c r="BU261" s="132"/>
      <c r="BV261" s="143">
        <f t="shared" si="40"/>
        <v>0</v>
      </c>
      <c r="BW261" s="132"/>
      <c r="BX261" s="146">
        <f t="shared" si="41"/>
        <v>0</v>
      </c>
      <c r="BY261" s="132"/>
      <c r="BZ261" s="146">
        <f t="shared" si="42"/>
        <v>0</v>
      </c>
      <c r="CA261" s="132"/>
      <c r="CB261" s="146">
        <f t="shared" si="43"/>
        <v>0</v>
      </c>
      <c r="CC261" s="132"/>
      <c r="CD261" s="143">
        <f t="shared" si="44"/>
        <v>0</v>
      </c>
      <c r="CE261" s="132"/>
      <c r="CF261" s="143">
        <f t="shared" si="45"/>
        <v>0</v>
      </c>
      <c r="CG261" s="132"/>
      <c r="CH261" s="143">
        <f t="shared" si="46"/>
        <v>0</v>
      </c>
      <c r="CI261" s="132">
        <f t="shared" si="47"/>
        <v>0</v>
      </c>
      <c r="CJ261" s="143">
        <f t="shared" si="47"/>
        <v>0</v>
      </c>
    </row>
    <row r="262" spans="1:88" x14ac:dyDescent="0.3">
      <c r="A262" s="27"/>
      <c r="B262" s="27"/>
      <c r="C262" s="27"/>
      <c r="D262" s="27"/>
      <c r="E262" s="27"/>
      <c r="F262" s="27"/>
      <c r="G262" s="27"/>
      <c r="H262" s="27"/>
      <c r="I262" s="27"/>
      <c r="J262" s="27"/>
      <c r="K262" s="27"/>
      <c r="L262" s="27"/>
      <c r="N262" s="27"/>
      <c r="O262" s="27"/>
      <c r="P262" s="27"/>
      <c r="Q262" s="117" t="s">
        <v>847</v>
      </c>
      <c r="R262" s="27"/>
      <c r="S262" s="27"/>
      <c r="T262" s="141" t="str">
        <f t="shared" si="48"/>
        <v xml:space="preserve"> </v>
      </c>
      <c r="U262" s="27"/>
      <c r="V262" s="27"/>
      <c r="W262" s="27"/>
      <c r="X262" s="27"/>
      <c r="Y262" s="27"/>
      <c r="AE262" s="27"/>
      <c r="BD262" s="97"/>
      <c r="BE262" s="108"/>
      <c r="BF262" s="108"/>
      <c r="BG262" s="97"/>
      <c r="BH262" s="97"/>
      <c r="BI262" s="97"/>
      <c r="BJ262" s="97"/>
      <c r="BK262" s="110"/>
      <c r="BL262" s="97"/>
      <c r="BM262" s="97"/>
      <c r="BN262" s="97"/>
      <c r="BO262" s="142"/>
      <c r="BP262" s="143">
        <f t="shared" si="37"/>
        <v>0</v>
      </c>
      <c r="BQ262" s="142"/>
      <c r="BR262" s="143">
        <f t="shared" si="38"/>
        <v>0</v>
      </c>
      <c r="BS262" s="132"/>
      <c r="BT262" s="146">
        <f t="shared" si="39"/>
        <v>0</v>
      </c>
      <c r="BU262" s="132"/>
      <c r="BV262" s="143">
        <f t="shared" si="40"/>
        <v>0</v>
      </c>
      <c r="BW262" s="132"/>
      <c r="BX262" s="146">
        <f t="shared" si="41"/>
        <v>0</v>
      </c>
      <c r="BY262" s="132"/>
      <c r="BZ262" s="146">
        <f t="shared" si="42"/>
        <v>0</v>
      </c>
      <c r="CA262" s="132"/>
      <c r="CB262" s="146">
        <f t="shared" si="43"/>
        <v>0</v>
      </c>
      <c r="CC262" s="132"/>
      <c r="CD262" s="143">
        <f t="shared" si="44"/>
        <v>0</v>
      </c>
      <c r="CE262" s="132"/>
      <c r="CF262" s="143">
        <f t="shared" si="45"/>
        <v>0</v>
      </c>
      <c r="CG262" s="132"/>
      <c r="CH262" s="143">
        <f t="shared" si="46"/>
        <v>0</v>
      </c>
      <c r="CI262" s="132">
        <f t="shared" si="47"/>
        <v>0</v>
      </c>
      <c r="CJ262" s="143">
        <f t="shared" si="47"/>
        <v>0</v>
      </c>
    </row>
    <row r="263" spans="1:88" x14ac:dyDescent="0.3">
      <c r="A263" s="27"/>
      <c r="B263" s="27"/>
      <c r="C263" s="27"/>
      <c r="D263" s="27"/>
      <c r="E263" s="27"/>
      <c r="F263" s="27"/>
      <c r="G263" s="27"/>
      <c r="H263" s="27"/>
      <c r="I263" s="27"/>
      <c r="J263" s="27"/>
      <c r="K263" s="27"/>
      <c r="L263" s="27"/>
      <c r="N263" s="27"/>
      <c r="O263" s="27"/>
      <c r="P263" s="27"/>
      <c r="Q263" s="117" t="s">
        <v>848</v>
      </c>
      <c r="R263" s="27"/>
      <c r="S263" s="27"/>
      <c r="T263" s="141" t="str">
        <f t="shared" si="48"/>
        <v xml:space="preserve"> </v>
      </c>
      <c r="U263" s="27"/>
      <c r="V263" s="27"/>
      <c r="W263" s="27"/>
      <c r="X263" s="27"/>
      <c r="Y263" s="27"/>
      <c r="AE263" s="27"/>
      <c r="BD263" s="97"/>
      <c r="BE263" s="108"/>
      <c r="BF263" s="108"/>
      <c r="BG263" s="97"/>
      <c r="BH263" s="97"/>
      <c r="BI263" s="97"/>
      <c r="BJ263" s="97"/>
      <c r="BK263" s="110"/>
      <c r="BL263" s="97"/>
      <c r="BM263" s="97"/>
      <c r="BN263" s="97"/>
      <c r="BO263" s="142"/>
      <c r="BP263" s="143">
        <f t="shared" si="37"/>
        <v>0</v>
      </c>
      <c r="BQ263" s="142"/>
      <c r="BR263" s="143">
        <f t="shared" si="38"/>
        <v>0</v>
      </c>
      <c r="BS263" s="132"/>
      <c r="BT263" s="146">
        <f t="shared" si="39"/>
        <v>0</v>
      </c>
      <c r="BU263" s="132"/>
      <c r="BV263" s="143">
        <f t="shared" si="40"/>
        <v>0</v>
      </c>
      <c r="BW263" s="132"/>
      <c r="BX263" s="146">
        <f t="shared" si="41"/>
        <v>0</v>
      </c>
      <c r="BY263" s="132"/>
      <c r="BZ263" s="146">
        <f t="shared" si="42"/>
        <v>0</v>
      </c>
      <c r="CA263" s="132"/>
      <c r="CB263" s="146">
        <f t="shared" si="43"/>
        <v>0</v>
      </c>
      <c r="CC263" s="132"/>
      <c r="CD263" s="143">
        <f t="shared" si="44"/>
        <v>0</v>
      </c>
      <c r="CE263" s="132"/>
      <c r="CF263" s="143">
        <f t="shared" si="45"/>
        <v>0</v>
      </c>
      <c r="CG263" s="132"/>
      <c r="CH263" s="143">
        <f t="shared" si="46"/>
        <v>0</v>
      </c>
      <c r="CI263" s="132">
        <f t="shared" si="47"/>
        <v>0</v>
      </c>
      <c r="CJ263" s="143">
        <f t="shared" si="47"/>
        <v>0</v>
      </c>
    </row>
    <row r="264" spans="1:88" x14ac:dyDescent="0.3">
      <c r="A264" s="27"/>
      <c r="B264" s="27"/>
      <c r="C264" s="27"/>
      <c r="D264" s="27"/>
      <c r="E264" s="27"/>
      <c r="F264" s="27"/>
      <c r="G264" s="27"/>
      <c r="H264" s="27"/>
      <c r="I264" s="27"/>
      <c r="J264" s="27"/>
      <c r="K264" s="27"/>
      <c r="L264" s="27"/>
      <c r="N264" s="27"/>
      <c r="O264" s="27"/>
      <c r="P264" s="27"/>
      <c r="Q264" s="117" t="s">
        <v>849</v>
      </c>
      <c r="R264" s="27"/>
      <c r="S264" s="27"/>
      <c r="T264" s="141" t="str">
        <f t="shared" si="48"/>
        <v xml:space="preserve"> </v>
      </c>
      <c r="U264" s="27"/>
      <c r="V264" s="27"/>
      <c r="W264" s="27"/>
      <c r="X264" s="27"/>
      <c r="Y264" s="27"/>
      <c r="AE264" s="27"/>
      <c r="BD264" s="97"/>
      <c r="BE264" s="108"/>
      <c r="BF264" s="108"/>
      <c r="BG264" s="97"/>
      <c r="BH264" s="97"/>
      <c r="BI264" s="97"/>
      <c r="BJ264" s="97"/>
      <c r="BK264" s="110"/>
      <c r="BL264" s="97"/>
      <c r="BM264" s="97"/>
      <c r="BN264" s="97"/>
      <c r="BO264" s="142"/>
      <c r="BP264" s="143">
        <f t="shared" si="37"/>
        <v>0</v>
      </c>
      <c r="BQ264" s="142"/>
      <c r="BR264" s="143">
        <f t="shared" si="38"/>
        <v>0</v>
      </c>
      <c r="BS264" s="132"/>
      <c r="BT264" s="146">
        <f t="shared" si="39"/>
        <v>0</v>
      </c>
      <c r="BU264" s="132"/>
      <c r="BV264" s="143">
        <f t="shared" si="40"/>
        <v>0</v>
      </c>
      <c r="BW264" s="132"/>
      <c r="BX264" s="146">
        <f t="shared" si="41"/>
        <v>0</v>
      </c>
      <c r="BY264" s="132"/>
      <c r="BZ264" s="146">
        <f t="shared" si="42"/>
        <v>0</v>
      </c>
      <c r="CA264" s="132"/>
      <c r="CB264" s="146">
        <f t="shared" si="43"/>
        <v>0</v>
      </c>
      <c r="CC264" s="132"/>
      <c r="CD264" s="143">
        <f t="shared" si="44"/>
        <v>0</v>
      </c>
      <c r="CE264" s="132"/>
      <c r="CF264" s="143">
        <f t="shared" si="45"/>
        <v>0</v>
      </c>
      <c r="CG264" s="132"/>
      <c r="CH264" s="143">
        <f t="shared" si="46"/>
        <v>0</v>
      </c>
      <c r="CI264" s="132">
        <f t="shared" si="47"/>
        <v>0</v>
      </c>
      <c r="CJ264" s="143">
        <f t="shared" si="47"/>
        <v>0</v>
      </c>
    </row>
    <row r="265" spans="1:88" x14ac:dyDescent="0.3">
      <c r="A265" s="27"/>
      <c r="B265" s="27"/>
      <c r="C265" s="27"/>
      <c r="D265" s="27"/>
      <c r="E265" s="27"/>
      <c r="F265" s="27"/>
      <c r="G265" s="27"/>
      <c r="H265" s="27"/>
      <c r="I265" s="27"/>
      <c r="J265" s="27"/>
      <c r="K265" s="27"/>
      <c r="L265" s="27"/>
      <c r="N265" s="27"/>
      <c r="O265" s="27"/>
      <c r="P265" s="27"/>
      <c r="Q265" s="117" t="s">
        <v>850</v>
      </c>
      <c r="R265" s="27"/>
      <c r="S265" s="27"/>
      <c r="T265" s="141" t="str">
        <f t="shared" si="48"/>
        <v xml:space="preserve"> </v>
      </c>
      <c r="U265" s="27"/>
      <c r="V265" s="27"/>
      <c r="W265" s="27"/>
      <c r="X265" s="27"/>
      <c r="Y265" s="27"/>
      <c r="AE265" s="27"/>
      <c r="BD265" s="97"/>
      <c r="BE265" s="108"/>
      <c r="BF265" s="108"/>
      <c r="BG265" s="97"/>
      <c r="BH265" s="97"/>
      <c r="BI265" s="97"/>
      <c r="BJ265" s="97"/>
      <c r="BK265" s="110"/>
      <c r="BL265" s="97"/>
      <c r="BM265" s="97"/>
      <c r="BN265" s="97"/>
      <c r="BO265" s="142"/>
      <c r="BP265" s="143">
        <f t="shared" si="37"/>
        <v>0</v>
      </c>
      <c r="BQ265" s="142"/>
      <c r="BR265" s="143">
        <f t="shared" si="38"/>
        <v>0</v>
      </c>
      <c r="BS265" s="132"/>
      <c r="BT265" s="146">
        <f t="shared" si="39"/>
        <v>0</v>
      </c>
      <c r="BU265" s="132"/>
      <c r="BV265" s="143">
        <f t="shared" si="40"/>
        <v>0</v>
      </c>
      <c r="BW265" s="132"/>
      <c r="BX265" s="146">
        <f t="shared" si="41"/>
        <v>0</v>
      </c>
      <c r="BY265" s="132"/>
      <c r="BZ265" s="146">
        <f t="shared" si="42"/>
        <v>0</v>
      </c>
      <c r="CA265" s="132"/>
      <c r="CB265" s="146">
        <f t="shared" si="43"/>
        <v>0</v>
      </c>
      <c r="CC265" s="132"/>
      <c r="CD265" s="143">
        <f t="shared" si="44"/>
        <v>0</v>
      </c>
      <c r="CE265" s="132"/>
      <c r="CF265" s="143">
        <f t="shared" si="45"/>
        <v>0</v>
      </c>
      <c r="CG265" s="132"/>
      <c r="CH265" s="143">
        <f t="shared" si="46"/>
        <v>0</v>
      </c>
      <c r="CI265" s="132">
        <f t="shared" si="47"/>
        <v>0</v>
      </c>
      <c r="CJ265" s="143">
        <f t="shared" si="47"/>
        <v>0</v>
      </c>
    </row>
    <row r="266" spans="1:88" x14ac:dyDescent="0.3">
      <c r="A266" s="27"/>
      <c r="B266" s="27"/>
      <c r="C266" s="27"/>
      <c r="D266" s="27"/>
      <c r="E266" s="27"/>
      <c r="F266" s="27"/>
      <c r="G266" s="27"/>
      <c r="H266" s="27"/>
      <c r="I266" s="27"/>
      <c r="J266" s="27"/>
      <c r="K266" s="27"/>
      <c r="L266" s="27"/>
      <c r="N266" s="27"/>
      <c r="O266" s="27"/>
      <c r="P266" s="27"/>
      <c r="Q266" s="117" t="s">
        <v>372</v>
      </c>
      <c r="R266" s="27"/>
      <c r="S266" s="27"/>
      <c r="T266" s="141" t="str">
        <f t="shared" si="48"/>
        <v xml:space="preserve"> </v>
      </c>
      <c r="U266" s="27"/>
      <c r="V266" s="27"/>
      <c r="W266" s="27"/>
      <c r="X266" s="27"/>
      <c r="Y266" s="27"/>
      <c r="AE266" s="27"/>
      <c r="BD266" s="97"/>
      <c r="BE266" s="108"/>
      <c r="BF266" s="108"/>
      <c r="BG266" s="97"/>
      <c r="BH266" s="97"/>
      <c r="BI266" s="97"/>
      <c r="BJ266" s="97"/>
      <c r="BK266" s="110"/>
      <c r="BL266" s="97"/>
      <c r="BM266" s="97"/>
      <c r="BN266" s="97"/>
      <c r="BO266" s="142"/>
      <c r="BP266" s="143">
        <f t="shared" ref="BP266:BP329" si="49">BO266*AX266</f>
        <v>0</v>
      </c>
      <c r="BQ266" s="142"/>
      <c r="BR266" s="143">
        <f t="shared" ref="BR266:BR329" si="50">BQ266*AX266</f>
        <v>0</v>
      </c>
      <c r="BS266" s="132"/>
      <c r="BT266" s="146">
        <f t="shared" ref="BT266:BT329" si="51">BS266*AX266</f>
        <v>0</v>
      </c>
      <c r="BU266" s="132"/>
      <c r="BV266" s="143">
        <f t="shared" ref="BV266:BV329" si="52">BU266*AX266</f>
        <v>0</v>
      </c>
      <c r="BW266" s="132"/>
      <c r="BX266" s="146">
        <f t="shared" ref="BX266:BX329" si="53">BW266*AX266</f>
        <v>0</v>
      </c>
      <c r="BY266" s="132"/>
      <c r="BZ266" s="146">
        <f t="shared" ref="BZ266:BZ329" si="54">BY266*AX266</f>
        <v>0</v>
      </c>
      <c r="CA266" s="132"/>
      <c r="CB266" s="146">
        <f t="shared" ref="CB266:CB329" si="55">CA266*AX266</f>
        <v>0</v>
      </c>
      <c r="CC266" s="132"/>
      <c r="CD266" s="143">
        <f t="shared" ref="CD266:CD329" si="56">CC266*AX266</f>
        <v>0</v>
      </c>
      <c r="CE266" s="132"/>
      <c r="CF266" s="143">
        <f t="shared" ref="CF266:CF329" si="57">CE266*AX266</f>
        <v>0</v>
      </c>
      <c r="CG266" s="132"/>
      <c r="CH266" s="143">
        <f t="shared" ref="CH266:CH329" si="58">CG266*AX266</f>
        <v>0</v>
      </c>
      <c r="CI266" s="132">
        <f t="shared" ref="CI266:CJ329" si="59">SUM(BO266,BQ266,BS266,BU266,BW266,BY266,CA266,CC266,CE266,CG266)</f>
        <v>0</v>
      </c>
      <c r="CJ266" s="143">
        <f t="shared" si="59"/>
        <v>0</v>
      </c>
    </row>
    <row r="267" spans="1:88" x14ac:dyDescent="0.3">
      <c r="A267" s="27"/>
      <c r="B267" s="27"/>
      <c r="C267" s="27"/>
      <c r="D267" s="27"/>
      <c r="E267" s="27"/>
      <c r="F267" s="27"/>
      <c r="G267" s="27"/>
      <c r="H267" s="27"/>
      <c r="I267" s="27"/>
      <c r="J267" s="27"/>
      <c r="K267" s="27"/>
      <c r="L267" s="27"/>
      <c r="N267" s="27"/>
      <c r="O267" s="27"/>
      <c r="P267" s="27"/>
      <c r="Q267" s="117" t="s">
        <v>851</v>
      </c>
      <c r="R267" s="27"/>
      <c r="S267" s="27"/>
      <c r="T267" s="141" t="str">
        <f t="shared" si="48"/>
        <v xml:space="preserve"> </v>
      </c>
      <c r="U267" s="27"/>
      <c r="V267" s="27"/>
      <c r="W267" s="27"/>
      <c r="X267" s="27"/>
      <c r="Y267" s="27"/>
      <c r="AE267" s="27"/>
      <c r="BD267" s="97"/>
      <c r="BE267" s="108"/>
      <c r="BF267" s="108"/>
      <c r="BG267" s="97"/>
      <c r="BH267" s="97"/>
      <c r="BI267" s="97"/>
      <c r="BJ267" s="97"/>
      <c r="BK267" s="110"/>
      <c r="BL267" s="97"/>
      <c r="BM267" s="97"/>
      <c r="BN267" s="97"/>
      <c r="BO267" s="142"/>
      <c r="BP267" s="143">
        <f t="shared" si="49"/>
        <v>0</v>
      </c>
      <c r="BQ267" s="142"/>
      <c r="BR267" s="143">
        <f t="shared" si="50"/>
        <v>0</v>
      </c>
      <c r="BS267" s="132"/>
      <c r="BT267" s="146">
        <f t="shared" si="51"/>
        <v>0</v>
      </c>
      <c r="BU267" s="132"/>
      <c r="BV267" s="143">
        <f t="shared" si="52"/>
        <v>0</v>
      </c>
      <c r="BW267" s="132"/>
      <c r="BX267" s="146">
        <f t="shared" si="53"/>
        <v>0</v>
      </c>
      <c r="BY267" s="132"/>
      <c r="BZ267" s="146">
        <f t="shared" si="54"/>
        <v>0</v>
      </c>
      <c r="CA267" s="132"/>
      <c r="CB267" s="146">
        <f t="shared" si="55"/>
        <v>0</v>
      </c>
      <c r="CC267" s="132"/>
      <c r="CD267" s="143">
        <f t="shared" si="56"/>
        <v>0</v>
      </c>
      <c r="CE267" s="132"/>
      <c r="CF267" s="143">
        <f t="shared" si="57"/>
        <v>0</v>
      </c>
      <c r="CG267" s="132"/>
      <c r="CH267" s="143">
        <f t="shared" si="58"/>
        <v>0</v>
      </c>
      <c r="CI267" s="132">
        <f t="shared" si="59"/>
        <v>0</v>
      </c>
      <c r="CJ267" s="143">
        <f t="shared" si="59"/>
        <v>0</v>
      </c>
    </row>
    <row r="268" spans="1:88" x14ac:dyDescent="0.3">
      <c r="A268" s="27"/>
      <c r="B268" s="27"/>
      <c r="C268" s="27"/>
      <c r="D268" s="27"/>
      <c r="E268" s="27"/>
      <c r="F268" s="27"/>
      <c r="G268" s="27"/>
      <c r="H268" s="27"/>
      <c r="I268" s="27"/>
      <c r="J268" s="27"/>
      <c r="K268" s="27"/>
      <c r="L268" s="27"/>
      <c r="N268" s="27"/>
      <c r="O268" s="27"/>
      <c r="P268" s="27"/>
      <c r="Q268" s="117" t="s">
        <v>852</v>
      </c>
      <c r="R268" s="27"/>
      <c r="S268" s="27"/>
      <c r="T268" s="141" t="str">
        <f t="shared" si="48"/>
        <v xml:space="preserve"> </v>
      </c>
      <c r="U268" s="27"/>
      <c r="V268" s="27"/>
      <c r="W268" s="27"/>
      <c r="X268" s="27"/>
      <c r="Y268" s="27"/>
      <c r="AE268" s="27"/>
      <c r="BD268" s="97"/>
      <c r="BE268" s="108"/>
      <c r="BF268" s="108"/>
      <c r="BG268" s="97"/>
      <c r="BH268" s="97"/>
      <c r="BI268" s="97"/>
      <c r="BJ268" s="97"/>
      <c r="BK268" s="110"/>
      <c r="BL268" s="97"/>
      <c r="BM268" s="97"/>
      <c r="BN268" s="97"/>
      <c r="BO268" s="142"/>
      <c r="BP268" s="143">
        <f t="shared" si="49"/>
        <v>0</v>
      </c>
      <c r="BQ268" s="142"/>
      <c r="BR268" s="143">
        <f t="shared" si="50"/>
        <v>0</v>
      </c>
      <c r="BS268" s="132"/>
      <c r="BT268" s="146">
        <f t="shared" si="51"/>
        <v>0</v>
      </c>
      <c r="BU268" s="132"/>
      <c r="BV268" s="143">
        <f t="shared" si="52"/>
        <v>0</v>
      </c>
      <c r="BW268" s="132"/>
      <c r="BX268" s="146">
        <f t="shared" si="53"/>
        <v>0</v>
      </c>
      <c r="BY268" s="132"/>
      <c r="BZ268" s="146">
        <f t="shared" si="54"/>
        <v>0</v>
      </c>
      <c r="CA268" s="132"/>
      <c r="CB268" s="146">
        <f t="shared" si="55"/>
        <v>0</v>
      </c>
      <c r="CC268" s="132"/>
      <c r="CD268" s="143">
        <f t="shared" si="56"/>
        <v>0</v>
      </c>
      <c r="CE268" s="132"/>
      <c r="CF268" s="143">
        <f t="shared" si="57"/>
        <v>0</v>
      </c>
      <c r="CG268" s="132"/>
      <c r="CH268" s="143">
        <f t="shared" si="58"/>
        <v>0</v>
      </c>
      <c r="CI268" s="132">
        <f t="shared" si="59"/>
        <v>0</v>
      </c>
      <c r="CJ268" s="143">
        <f t="shared" si="59"/>
        <v>0</v>
      </c>
    </row>
    <row r="269" spans="1:88" x14ac:dyDescent="0.3">
      <c r="A269" s="27"/>
      <c r="B269" s="27"/>
      <c r="C269" s="27"/>
      <c r="D269" s="27"/>
      <c r="E269" s="27"/>
      <c r="F269" s="27"/>
      <c r="G269" s="27"/>
      <c r="H269" s="27"/>
      <c r="I269" s="27"/>
      <c r="J269" s="27"/>
      <c r="K269" s="27"/>
      <c r="L269" s="27"/>
      <c r="N269" s="27"/>
      <c r="O269" s="27"/>
      <c r="P269" s="27"/>
      <c r="Q269" s="117" t="s">
        <v>853</v>
      </c>
      <c r="R269" s="27"/>
      <c r="S269" s="27"/>
      <c r="T269" s="141" t="str">
        <f t="shared" si="48"/>
        <v xml:space="preserve"> </v>
      </c>
      <c r="U269" s="27"/>
      <c r="V269" s="27"/>
      <c r="W269" s="27"/>
      <c r="X269" s="27"/>
      <c r="Y269" s="27"/>
      <c r="AE269" s="27"/>
      <c r="BD269" s="97"/>
      <c r="BE269" s="108"/>
      <c r="BF269" s="108"/>
      <c r="BG269" s="97"/>
      <c r="BH269" s="97"/>
      <c r="BI269" s="97"/>
      <c r="BJ269" s="97"/>
      <c r="BK269" s="110"/>
      <c r="BL269" s="97"/>
      <c r="BM269" s="97"/>
      <c r="BN269" s="97"/>
      <c r="BO269" s="142"/>
      <c r="BP269" s="143">
        <f t="shared" si="49"/>
        <v>0</v>
      </c>
      <c r="BQ269" s="142"/>
      <c r="BR269" s="143">
        <f t="shared" si="50"/>
        <v>0</v>
      </c>
      <c r="BS269" s="132"/>
      <c r="BT269" s="146">
        <f t="shared" si="51"/>
        <v>0</v>
      </c>
      <c r="BU269" s="132"/>
      <c r="BV269" s="143">
        <f t="shared" si="52"/>
        <v>0</v>
      </c>
      <c r="BW269" s="132"/>
      <c r="BX269" s="146">
        <f t="shared" si="53"/>
        <v>0</v>
      </c>
      <c r="BY269" s="132"/>
      <c r="BZ269" s="146">
        <f t="shared" si="54"/>
        <v>0</v>
      </c>
      <c r="CA269" s="132"/>
      <c r="CB269" s="146">
        <f t="shared" si="55"/>
        <v>0</v>
      </c>
      <c r="CC269" s="132"/>
      <c r="CD269" s="143">
        <f t="shared" si="56"/>
        <v>0</v>
      </c>
      <c r="CE269" s="132"/>
      <c r="CF269" s="143">
        <f t="shared" si="57"/>
        <v>0</v>
      </c>
      <c r="CG269" s="132"/>
      <c r="CH269" s="143">
        <f t="shared" si="58"/>
        <v>0</v>
      </c>
      <c r="CI269" s="132">
        <f t="shared" si="59"/>
        <v>0</v>
      </c>
      <c r="CJ269" s="143">
        <f t="shared" si="59"/>
        <v>0</v>
      </c>
    </row>
    <row r="270" spans="1:88" x14ac:dyDescent="0.3">
      <c r="A270" s="27"/>
      <c r="B270" s="27"/>
      <c r="C270" s="27"/>
      <c r="D270" s="27"/>
      <c r="E270" s="27"/>
      <c r="F270" s="27"/>
      <c r="G270" s="27"/>
      <c r="H270" s="27"/>
      <c r="I270" s="27"/>
      <c r="J270" s="27"/>
      <c r="K270" s="27"/>
      <c r="L270" s="27"/>
      <c r="N270" s="27"/>
      <c r="O270" s="27"/>
      <c r="P270" s="27"/>
      <c r="Q270" s="117" t="s">
        <v>854</v>
      </c>
      <c r="R270" s="27"/>
      <c r="S270" s="27"/>
      <c r="T270" s="141" t="str">
        <f t="shared" si="48"/>
        <v xml:space="preserve"> </v>
      </c>
      <c r="U270" s="27"/>
      <c r="V270" s="27"/>
      <c r="W270" s="27"/>
      <c r="X270" s="27"/>
      <c r="Y270" s="27"/>
      <c r="AE270" s="27"/>
      <c r="BD270" s="97"/>
      <c r="BE270" s="108"/>
      <c r="BF270" s="108"/>
      <c r="BG270" s="97"/>
      <c r="BH270" s="97"/>
      <c r="BI270" s="97"/>
      <c r="BJ270" s="97"/>
      <c r="BK270" s="110"/>
      <c r="BL270" s="97"/>
      <c r="BM270" s="97"/>
      <c r="BN270" s="97"/>
      <c r="BO270" s="142"/>
      <c r="BP270" s="143">
        <f t="shared" si="49"/>
        <v>0</v>
      </c>
      <c r="BQ270" s="142"/>
      <c r="BR270" s="143">
        <f t="shared" si="50"/>
        <v>0</v>
      </c>
      <c r="BS270" s="132"/>
      <c r="BT270" s="146">
        <f t="shared" si="51"/>
        <v>0</v>
      </c>
      <c r="BU270" s="132"/>
      <c r="BV270" s="143">
        <f t="shared" si="52"/>
        <v>0</v>
      </c>
      <c r="BW270" s="132"/>
      <c r="BX270" s="146">
        <f t="shared" si="53"/>
        <v>0</v>
      </c>
      <c r="BY270" s="132"/>
      <c r="BZ270" s="146">
        <f t="shared" si="54"/>
        <v>0</v>
      </c>
      <c r="CA270" s="132"/>
      <c r="CB270" s="146">
        <f t="shared" si="55"/>
        <v>0</v>
      </c>
      <c r="CC270" s="132"/>
      <c r="CD270" s="143">
        <f t="shared" si="56"/>
        <v>0</v>
      </c>
      <c r="CE270" s="132"/>
      <c r="CF270" s="143">
        <f t="shared" si="57"/>
        <v>0</v>
      </c>
      <c r="CG270" s="132"/>
      <c r="CH270" s="143">
        <f t="shared" si="58"/>
        <v>0</v>
      </c>
      <c r="CI270" s="132">
        <f t="shared" si="59"/>
        <v>0</v>
      </c>
      <c r="CJ270" s="143">
        <f t="shared" si="59"/>
        <v>0</v>
      </c>
    </row>
    <row r="271" spans="1:88" x14ac:dyDescent="0.3">
      <c r="A271" s="27"/>
      <c r="B271" s="27"/>
      <c r="C271" s="27"/>
      <c r="D271" s="27"/>
      <c r="E271" s="27"/>
      <c r="F271" s="27"/>
      <c r="G271" s="27"/>
      <c r="H271" s="27"/>
      <c r="I271" s="27"/>
      <c r="J271" s="27"/>
      <c r="K271" s="27"/>
      <c r="L271" s="27"/>
      <c r="N271" s="27"/>
      <c r="O271" s="27"/>
      <c r="P271" s="27"/>
      <c r="Q271" s="117" t="s">
        <v>855</v>
      </c>
      <c r="R271" s="27"/>
      <c r="S271" s="27"/>
      <c r="T271" s="141" t="str">
        <f t="shared" si="48"/>
        <v xml:space="preserve"> </v>
      </c>
      <c r="U271" s="27"/>
      <c r="V271" s="27"/>
      <c r="W271" s="27"/>
      <c r="X271" s="27"/>
      <c r="Y271" s="27"/>
      <c r="AE271" s="27"/>
      <c r="BD271" s="97"/>
      <c r="BE271" s="108"/>
      <c r="BF271" s="108"/>
      <c r="BG271" s="97"/>
      <c r="BH271" s="97"/>
      <c r="BI271" s="97"/>
      <c r="BJ271" s="97"/>
      <c r="BK271" s="110"/>
      <c r="BL271" s="97"/>
      <c r="BM271" s="97"/>
      <c r="BN271" s="97"/>
      <c r="BO271" s="142"/>
      <c r="BP271" s="143">
        <f t="shared" si="49"/>
        <v>0</v>
      </c>
      <c r="BQ271" s="142"/>
      <c r="BR271" s="143">
        <f t="shared" si="50"/>
        <v>0</v>
      </c>
      <c r="BS271" s="132"/>
      <c r="BT271" s="146">
        <f t="shared" si="51"/>
        <v>0</v>
      </c>
      <c r="BU271" s="132"/>
      <c r="BV271" s="143">
        <f t="shared" si="52"/>
        <v>0</v>
      </c>
      <c r="BW271" s="132"/>
      <c r="BX271" s="146">
        <f t="shared" si="53"/>
        <v>0</v>
      </c>
      <c r="BY271" s="132"/>
      <c r="BZ271" s="146">
        <f t="shared" si="54"/>
        <v>0</v>
      </c>
      <c r="CA271" s="132"/>
      <c r="CB271" s="146">
        <f t="shared" si="55"/>
        <v>0</v>
      </c>
      <c r="CC271" s="132"/>
      <c r="CD271" s="143">
        <f t="shared" si="56"/>
        <v>0</v>
      </c>
      <c r="CE271" s="132"/>
      <c r="CF271" s="143">
        <f t="shared" si="57"/>
        <v>0</v>
      </c>
      <c r="CG271" s="132"/>
      <c r="CH271" s="143">
        <f t="shared" si="58"/>
        <v>0</v>
      </c>
      <c r="CI271" s="132">
        <f t="shared" si="59"/>
        <v>0</v>
      </c>
      <c r="CJ271" s="143">
        <f t="shared" si="59"/>
        <v>0</v>
      </c>
    </row>
    <row r="272" spans="1:88" x14ac:dyDescent="0.3">
      <c r="A272" s="27"/>
      <c r="B272" s="27"/>
      <c r="C272" s="27"/>
      <c r="D272" s="27"/>
      <c r="E272" s="27"/>
      <c r="F272" s="27"/>
      <c r="G272" s="27"/>
      <c r="H272" s="27"/>
      <c r="I272" s="27"/>
      <c r="J272" s="27"/>
      <c r="K272" s="27"/>
      <c r="L272" s="27"/>
      <c r="N272" s="27"/>
      <c r="O272" s="27"/>
      <c r="P272" s="27"/>
      <c r="Q272" s="117" t="s">
        <v>856</v>
      </c>
      <c r="R272" s="27"/>
      <c r="S272" s="27"/>
      <c r="T272" s="141" t="str">
        <f t="shared" si="48"/>
        <v xml:space="preserve"> </v>
      </c>
      <c r="U272" s="27"/>
      <c r="V272" s="27"/>
      <c r="W272" s="27"/>
      <c r="X272" s="27"/>
      <c r="Y272" s="27"/>
      <c r="AE272" s="27"/>
      <c r="BD272" s="97"/>
      <c r="BE272" s="108"/>
      <c r="BF272" s="108"/>
      <c r="BG272" s="97"/>
      <c r="BH272" s="97"/>
      <c r="BI272" s="97"/>
      <c r="BJ272" s="97"/>
      <c r="BK272" s="110"/>
      <c r="BL272" s="97"/>
      <c r="BM272" s="97"/>
      <c r="BN272" s="97"/>
      <c r="BO272" s="142"/>
      <c r="BP272" s="143">
        <f t="shared" si="49"/>
        <v>0</v>
      </c>
      <c r="BQ272" s="142"/>
      <c r="BR272" s="143">
        <f t="shared" si="50"/>
        <v>0</v>
      </c>
      <c r="BS272" s="132"/>
      <c r="BT272" s="146">
        <f t="shared" si="51"/>
        <v>0</v>
      </c>
      <c r="BU272" s="132"/>
      <c r="BV272" s="143">
        <f t="shared" si="52"/>
        <v>0</v>
      </c>
      <c r="BW272" s="132"/>
      <c r="BX272" s="146">
        <f t="shared" si="53"/>
        <v>0</v>
      </c>
      <c r="BY272" s="132"/>
      <c r="BZ272" s="146">
        <f t="shared" si="54"/>
        <v>0</v>
      </c>
      <c r="CA272" s="132"/>
      <c r="CB272" s="146">
        <f t="shared" si="55"/>
        <v>0</v>
      </c>
      <c r="CC272" s="132"/>
      <c r="CD272" s="143">
        <f t="shared" si="56"/>
        <v>0</v>
      </c>
      <c r="CE272" s="132"/>
      <c r="CF272" s="143">
        <f t="shared" si="57"/>
        <v>0</v>
      </c>
      <c r="CG272" s="132"/>
      <c r="CH272" s="143">
        <f t="shared" si="58"/>
        <v>0</v>
      </c>
      <c r="CI272" s="132">
        <f t="shared" si="59"/>
        <v>0</v>
      </c>
      <c r="CJ272" s="143">
        <f t="shared" si="59"/>
        <v>0</v>
      </c>
    </row>
    <row r="273" spans="1:88" x14ac:dyDescent="0.3">
      <c r="A273" s="27"/>
      <c r="B273" s="27"/>
      <c r="C273" s="27"/>
      <c r="D273" s="27"/>
      <c r="E273" s="27"/>
      <c r="F273" s="27"/>
      <c r="G273" s="27"/>
      <c r="H273" s="27"/>
      <c r="I273" s="27"/>
      <c r="J273" s="27"/>
      <c r="K273" s="27"/>
      <c r="L273" s="27"/>
      <c r="N273" s="27"/>
      <c r="O273" s="27"/>
      <c r="P273" s="27"/>
      <c r="Q273" s="117" t="s">
        <v>857</v>
      </c>
      <c r="R273" s="27"/>
      <c r="S273" s="27"/>
      <c r="T273" s="141" t="str">
        <f t="shared" si="48"/>
        <v xml:space="preserve"> </v>
      </c>
      <c r="U273" s="27"/>
      <c r="V273" s="27"/>
      <c r="W273" s="27"/>
      <c r="X273" s="27"/>
      <c r="Y273" s="27"/>
      <c r="AE273" s="27"/>
      <c r="BD273" s="97"/>
      <c r="BE273" s="108"/>
      <c r="BF273" s="108"/>
      <c r="BG273" s="97"/>
      <c r="BH273" s="97"/>
      <c r="BI273" s="97"/>
      <c r="BJ273" s="97"/>
      <c r="BK273" s="110"/>
      <c r="BL273" s="97"/>
      <c r="BM273" s="97"/>
      <c r="BN273" s="97"/>
      <c r="BO273" s="142"/>
      <c r="BP273" s="143">
        <f t="shared" si="49"/>
        <v>0</v>
      </c>
      <c r="BQ273" s="142"/>
      <c r="BR273" s="143">
        <f t="shared" si="50"/>
        <v>0</v>
      </c>
      <c r="BS273" s="132"/>
      <c r="BT273" s="146">
        <f t="shared" si="51"/>
        <v>0</v>
      </c>
      <c r="BU273" s="132"/>
      <c r="BV273" s="143">
        <f t="shared" si="52"/>
        <v>0</v>
      </c>
      <c r="BW273" s="132"/>
      <c r="BX273" s="146">
        <f t="shared" si="53"/>
        <v>0</v>
      </c>
      <c r="BY273" s="132"/>
      <c r="BZ273" s="146">
        <f t="shared" si="54"/>
        <v>0</v>
      </c>
      <c r="CA273" s="132"/>
      <c r="CB273" s="146">
        <f t="shared" si="55"/>
        <v>0</v>
      </c>
      <c r="CC273" s="132"/>
      <c r="CD273" s="143">
        <f t="shared" si="56"/>
        <v>0</v>
      </c>
      <c r="CE273" s="132"/>
      <c r="CF273" s="143">
        <f t="shared" si="57"/>
        <v>0</v>
      </c>
      <c r="CG273" s="132"/>
      <c r="CH273" s="143">
        <f t="shared" si="58"/>
        <v>0</v>
      </c>
      <c r="CI273" s="132">
        <f t="shared" si="59"/>
        <v>0</v>
      </c>
      <c r="CJ273" s="143">
        <f t="shared" si="59"/>
        <v>0</v>
      </c>
    </row>
    <row r="274" spans="1:88" x14ac:dyDescent="0.3">
      <c r="A274" s="27"/>
      <c r="B274" s="27"/>
      <c r="C274" s="27"/>
      <c r="D274" s="27"/>
      <c r="E274" s="27"/>
      <c r="F274" s="27"/>
      <c r="G274" s="27"/>
      <c r="H274" s="27"/>
      <c r="I274" s="27"/>
      <c r="J274" s="27"/>
      <c r="K274" s="27"/>
      <c r="L274" s="27"/>
      <c r="N274" s="27"/>
      <c r="O274" s="27"/>
      <c r="P274" s="27"/>
      <c r="Q274" s="117" t="s">
        <v>858</v>
      </c>
      <c r="R274" s="27"/>
      <c r="S274" s="27"/>
      <c r="T274" s="141" t="str">
        <f t="shared" si="48"/>
        <v xml:space="preserve"> </v>
      </c>
      <c r="U274" s="27"/>
      <c r="V274" s="27"/>
      <c r="W274" s="27"/>
      <c r="X274" s="27"/>
      <c r="Y274" s="27"/>
      <c r="AE274" s="27"/>
      <c r="BD274" s="97"/>
      <c r="BE274" s="108"/>
      <c r="BF274" s="108"/>
      <c r="BG274" s="97"/>
      <c r="BH274" s="97"/>
      <c r="BI274" s="97"/>
      <c r="BJ274" s="97"/>
      <c r="BK274" s="110"/>
      <c r="BL274" s="97"/>
      <c r="BM274" s="97"/>
      <c r="BN274" s="97"/>
      <c r="BO274" s="142"/>
      <c r="BP274" s="143">
        <f t="shared" si="49"/>
        <v>0</v>
      </c>
      <c r="BQ274" s="142"/>
      <c r="BR274" s="143">
        <f t="shared" si="50"/>
        <v>0</v>
      </c>
      <c r="BS274" s="132"/>
      <c r="BT274" s="146">
        <f t="shared" si="51"/>
        <v>0</v>
      </c>
      <c r="BU274" s="132"/>
      <c r="BV274" s="143">
        <f t="shared" si="52"/>
        <v>0</v>
      </c>
      <c r="BW274" s="132"/>
      <c r="BX274" s="146">
        <f t="shared" si="53"/>
        <v>0</v>
      </c>
      <c r="BY274" s="132"/>
      <c r="BZ274" s="146">
        <f t="shared" si="54"/>
        <v>0</v>
      </c>
      <c r="CA274" s="132"/>
      <c r="CB274" s="146">
        <f t="shared" si="55"/>
        <v>0</v>
      </c>
      <c r="CC274" s="132"/>
      <c r="CD274" s="143">
        <f t="shared" si="56"/>
        <v>0</v>
      </c>
      <c r="CE274" s="132"/>
      <c r="CF274" s="143">
        <f t="shared" si="57"/>
        <v>0</v>
      </c>
      <c r="CG274" s="132"/>
      <c r="CH274" s="143">
        <f t="shared" si="58"/>
        <v>0</v>
      </c>
      <c r="CI274" s="132">
        <f t="shared" si="59"/>
        <v>0</v>
      </c>
      <c r="CJ274" s="143">
        <f t="shared" si="59"/>
        <v>0</v>
      </c>
    </row>
    <row r="275" spans="1:88" x14ac:dyDescent="0.3">
      <c r="A275" s="27"/>
      <c r="B275" s="27"/>
      <c r="C275" s="27"/>
      <c r="D275" s="27"/>
      <c r="E275" s="27"/>
      <c r="F275" s="27"/>
      <c r="G275" s="27"/>
      <c r="H275" s="27"/>
      <c r="I275" s="27"/>
      <c r="J275" s="27"/>
      <c r="K275" s="27"/>
      <c r="L275" s="27"/>
      <c r="N275" s="27"/>
      <c r="O275" s="27"/>
      <c r="P275" s="27"/>
      <c r="Q275" s="117" t="s">
        <v>859</v>
      </c>
      <c r="R275" s="27"/>
      <c r="S275" s="27"/>
      <c r="T275" s="141" t="str">
        <f t="shared" si="48"/>
        <v xml:space="preserve"> </v>
      </c>
      <c r="U275" s="27"/>
      <c r="V275" s="27"/>
      <c r="W275" s="27"/>
      <c r="X275" s="27"/>
      <c r="Y275" s="27"/>
      <c r="AE275" s="27"/>
      <c r="BD275" s="97"/>
      <c r="BE275" s="108"/>
      <c r="BF275" s="108"/>
      <c r="BG275" s="97"/>
      <c r="BH275" s="97"/>
      <c r="BI275" s="97"/>
      <c r="BJ275" s="97"/>
      <c r="BK275" s="110"/>
      <c r="BL275" s="97"/>
      <c r="BM275" s="97"/>
      <c r="BN275" s="97"/>
      <c r="BO275" s="142"/>
      <c r="BP275" s="143">
        <f t="shared" si="49"/>
        <v>0</v>
      </c>
      <c r="BQ275" s="142"/>
      <c r="BR275" s="143">
        <f t="shared" si="50"/>
        <v>0</v>
      </c>
      <c r="BS275" s="132"/>
      <c r="BT275" s="146">
        <f t="shared" si="51"/>
        <v>0</v>
      </c>
      <c r="BU275" s="132"/>
      <c r="BV275" s="143">
        <f t="shared" si="52"/>
        <v>0</v>
      </c>
      <c r="BW275" s="132"/>
      <c r="BX275" s="146">
        <f t="shared" si="53"/>
        <v>0</v>
      </c>
      <c r="BY275" s="132"/>
      <c r="BZ275" s="146">
        <f t="shared" si="54"/>
        <v>0</v>
      </c>
      <c r="CA275" s="132"/>
      <c r="CB275" s="146">
        <f t="shared" si="55"/>
        <v>0</v>
      </c>
      <c r="CC275" s="132"/>
      <c r="CD275" s="143">
        <f t="shared" si="56"/>
        <v>0</v>
      </c>
      <c r="CE275" s="132"/>
      <c r="CF275" s="143">
        <f t="shared" si="57"/>
        <v>0</v>
      </c>
      <c r="CG275" s="132"/>
      <c r="CH275" s="143">
        <f t="shared" si="58"/>
        <v>0</v>
      </c>
      <c r="CI275" s="132">
        <f t="shared" si="59"/>
        <v>0</v>
      </c>
      <c r="CJ275" s="143">
        <f t="shared" si="59"/>
        <v>0</v>
      </c>
    </row>
    <row r="276" spans="1:88" x14ac:dyDescent="0.3">
      <c r="A276" s="27"/>
      <c r="B276" s="27"/>
      <c r="C276" s="27"/>
      <c r="D276" s="27"/>
      <c r="E276" s="27"/>
      <c r="F276" s="27"/>
      <c r="G276" s="27"/>
      <c r="H276" s="27"/>
      <c r="I276" s="27"/>
      <c r="J276" s="27"/>
      <c r="K276" s="27"/>
      <c r="L276" s="27"/>
      <c r="N276" s="27"/>
      <c r="O276" s="27"/>
      <c r="P276" s="27"/>
      <c r="Q276" s="117" t="s">
        <v>860</v>
      </c>
      <c r="R276" s="27"/>
      <c r="S276" s="27"/>
      <c r="T276" s="141" t="str">
        <f t="shared" si="48"/>
        <v xml:space="preserve"> </v>
      </c>
      <c r="U276" s="27"/>
      <c r="V276" s="27"/>
      <c r="W276" s="27"/>
      <c r="X276" s="27"/>
      <c r="Y276" s="27"/>
      <c r="AE276" s="27"/>
      <c r="BD276" s="97"/>
      <c r="BE276" s="108"/>
      <c r="BF276" s="108"/>
      <c r="BG276" s="97"/>
      <c r="BH276" s="97"/>
      <c r="BI276" s="97"/>
      <c r="BJ276" s="97"/>
      <c r="BK276" s="110"/>
      <c r="BL276" s="97"/>
      <c r="BM276" s="97"/>
      <c r="BN276" s="97"/>
      <c r="BO276" s="142"/>
      <c r="BP276" s="143">
        <f t="shared" si="49"/>
        <v>0</v>
      </c>
      <c r="BQ276" s="142"/>
      <c r="BR276" s="143">
        <f t="shared" si="50"/>
        <v>0</v>
      </c>
      <c r="BS276" s="132"/>
      <c r="BT276" s="146">
        <f t="shared" si="51"/>
        <v>0</v>
      </c>
      <c r="BU276" s="132"/>
      <c r="BV276" s="143">
        <f t="shared" si="52"/>
        <v>0</v>
      </c>
      <c r="BW276" s="132"/>
      <c r="BX276" s="146">
        <f t="shared" si="53"/>
        <v>0</v>
      </c>
      <c r="BY276" s="132"/>
      <c r="BZ276" s="146">
        <f t="shared" si="54"/>
        <v>0</v>
      </c>
      <c r="CA276" s="132"/>
      <c r="CB276" s="146">
        <f t="shared" si="55"/>
        <v>0</v>
      </c>
      <c r="CC276" s="132"/>
      <c r="CD276" s="143">
        <f t="shared" si="56"/>
        <v>0</v>
      </c>
      <c r="CE276" s="132"/>
      <c r="CF276" s="143">
        <f t="shared" si="57"/>
        <v>0</v>
      </c>
      <c r="CG276" s="132"/>
      <c r="CH276" s="143">
        <f t="shared" si="58"/>
        <v>0</v>
      </c>
      <c r="CI276" s="132">
        <f t="shared" si="59"/>
        <v>0</v>
      </c>
      <c r="CJ276" s="143">
        <f t="shared" si="59"/>
        <v>0</v>
      </c>
    </row>
    <row r="277" spans="1:88" x14ac:dyDescent="0.3">
      <c r="A277" s="27"/>
      <c r="B277" s="27"/>
      <c r="C277" s="27"/>
      <c r="D277" s="27"/>
      <c r="E277" s="27"/>
      <c r="F277" s="27"/>
      <c r="G277" s="27"/>
      <c r="H277" s="27"/>
      <c r="I277" s="27"/>
      <c r="J277" s="27"/>
      <c r="K277" s="27"/>
      <c r="L277" s="27"/>
      <c r="N277" s="27"/>
      <c r="O277" s="27"/>
      <c r="P277" s="27"/>
      <c r="Q277" s="117" t="s">
        <v>861</v>
      </c>
      <c r="R277" s="27"/>
      <c r="S277" s="27"/>
      <c r="T277" s="141" t="str">
        <f t="shared" si="48"/>
        <v xml:space="preserve"> </v>
      </c>
      <c r="U277" s="27"/>
      <c r="V277" s="27"/>
      <c r="W277" s="27"/>
      <c r="X277" s="27"/>
      <c r="Y277" s="27"/>
      <c r="AE277" s="27"/>
      <c r="BD277" s="97"/>
      <c r="BE277" s="108"/>
      <c r="BF277" s="108"/>
      <c r="BG277" s="97"/>
      <c r="BH277" s="97"/>
      <c r="BI277" s="97"/>
      <c r="BJ277" s="97"/>
      <c r="BK277" s="110"/>
      <c r="BL277" s="97"/>
      <c r="BM277" s="97"/>
      <c r="BN277" s="97"/>
      <c r="BO277" s="142"/>
      <c r="BP277" s="143">
        <f t="shared" si="49"/>
        <v>0</v>
      </c>
      <c r="BQ277" s="142"/>
      <c r="BR277" s="143">
        <f t="shared" si="50"/>
        <v>0</v>
      </c>
      <c r="BS277" s="132"/>
      <c r="BT277" s="146">
        <f t="shared" si="51"/>
        <v>0</v>
      </c>
      <c r="BU277" s="132"/>
      <c r="BV277" s="143">
        <f t="shared" si="52"/>
        <v>0</v>
      </c>
      <c r="BW277" s="132"/>
      <c r="BX277" s="146">
        <f t="shared" si="53"/>
        <v>0</v>
      </c>
      <c r="BY277" s="132"/>
      <c r="BZ277" s="146">
        <f t="shared" si="54"/>
        <v>0</v>
      </c>
      <c r="CA277" s="132"/>
      <c r="CB277" s="146">
        <f t="shared" si="55"/>
        <v>0</v>
      </c>
      <c r="CC277" s="132"/>
      <c r="CD277" s="143">
        <f t="shared" si="56"/>
        <v>0</v>
      </c>
      <c r="CE277" s="132"/>
      <c r="CF277" s="143">
        <f t="shared" si="57"/>
        <v>0</v>
      </c>
      <c r="CG277" s="132"/>
      <c r="CH277" s="143">
        <f t="shared" si="58"/>
        <v>0</v>
      </c>
      <c r="CI277" s="132">
        <f t="shared" si="59"/>
        <v>0</v>
      </c>
      <c r="CJ277" s="143">
        <f t="shared" si="59"/>
        <v>0</v>
      </c>
    </row>
    <row r="278" spans="1:88" x14ac:dyDescent="0.3">
      <c r="A278" s="27"/>
      <c r="B278" s="27"/>
      <c r="C278" s="27"/>
      <c r="D278" s="27"/>
      <c r="E278" s="27"/>
      <c r="F278" s="27"/>
      <c r="G278" s="27"/>
      <c r="H278" s="27"/>
      <c r="I278" s="27"/>
      <c r="J278" s="27"/>
      <c r="K278" s="27"/>
      <c r="L278" s="27"/>
      <c r="N278" s="27"/>
      <c r="O278" s="27"/>
      <c r="P278" s="27"/>
      <c r="Q278" s="117" t="s">
        <v>862</v>
      </c>
      <c r="R278" s="27"/>
      <c r="S278" s="27"/>
      <c r="T278" s="141" t="str">
        <f t="shared" si="48"/>
        <v xml:space="preserve"> </v>
      </c>
      <c r="U278" s="27"/>
      <c r="V278" s="27"/>
      <c r="W278" s="27"/>
      <c r="X278" s="27"/>
      <c r="Y278" s="27"/>
      <c r="AE278" s="27"/>
      <c r="BD278" s="97"/>
      <c r="BE278" s="108"/>
      <c r="BF278" s="108"/>
      <c r="BG278" s="97"/>
      <c r="BH278" s="97"/>
      <c r="BI278" s="97"/>
      <c r="BJ278" s="97"/>
      <c r="BK278" s="110"/>
      <c r="BL278" s="97"/>
      <c r="BM278" s="97"/>
      <c r="BN278" s="97"/>
      <c r="BO278" s="142"/>
      <c r="BP278" s="143">
        <f t="shared" si="49"/>
        <v>0</v>
      </c>
      <c r="BQ278" s="142"/>
      <c r="BR278" s="143">
        <f t="shared" si="50"/>
        <v>0</v>
      </c>
      <c r="BS278" s="132"/>
      <c r="BT278" s="146">
        <f t="shared" si="51"/>
        <v>0</v>
      </c>
      <c r="BU278" s="132"/>
      <c r="BV278" s="143">
        <f t="shared" si="52"/>
        <v>0</v>
      </c>
      <c r="BW278" s="132"/>
      <c r="BX278" s="146">
        <f t="shared" si="53"/>
        <v>0</v>
      </c>
      <c r="BY278" s="132"/>
      <c r="BZ278" s="146">
        <f t="shared" si="54"/>
        <v>0</v>
      </c>
      <c r="CA278" s="132"/>
      <c r="CB278" s="146">
        <f t="shared" si="55"/>
        <v>0</v>
      </c>
      <c r="CC278" s="132"/>
      <c r="CD278" s="143">
        <f t="shared" si="56"/>
        <v>0</v>
      </c>
      <c r="CE278" s="132"/>
      <c r="CF278" s="143">
        <f t="shared" si="57"/>
        <v>0</v>
      </c>
      <c r="CG278" s="132"/>
      <c r="CH278" s="143">
        <f t="shared" si="58"/>
        <v>0</v>
      </c>
      <c r="CI278" s="132">
        <f t="shared" si="59"/>
        <v>0</v>
      </c>
      <c r="CJ278" s="143">
        <f t="shared" si="59"/>
        <v>0</v>
      </c>
    </row>
    <row r="279" spans="1:88" x14ac:dyDescent="0.3">
      <c r="A279" s="27"/>
      <c r="B279" s="27"/>
      <c r="C279" s="27"/>
      <c r="D279" s="27"/>
      <c r="E279" s="27"/>
      <c r="F279" s="27"/>
      <c r="G279" s="27"/>
      <c r="H279" s="27"/>
      <c r="I279" s="27"/>
      <c r="J279" s="27"/>
      <c r="K279" s="27"/>
      <c r="L279" s="27"/>
      <c r="N279" s="27"/>
      <c r="O279" s="27"/>
      <c r="P279" s="27"/>
      <c r="Q279" s="117" t="s">
        <v>863</v>
      </c>
      <c r="R279" s="27"/>
      <c r="S279" s="27"/>
      <c r="T279" s="141" t="str">
        <f t="shared" si="48"/>
        <v xml:space="preserve"> </v>
      </c>
      <c r="U279" s="27"/>
      <c r="V279" s="27"/>
      <c r="W279" s="27"/>
      <c r="X279" s="27"/>
      <c r="Y279" s="27"/>
      <c r="AE279" s="27"/>
      <c r="BD279" s="97"/>
      <c r="BE279" s="108"/>
      <c r="BF279" s="108"/>
      <c r="BG279" s="97"/>
      <c r="BH279" s="97"/>
      <c r="BI279" s="97"/>
      <c r="BJ279" s="97"/>
      <c r="BK279" s="110"/>
      <c r="BL279" s="97"/>
      <c r="BM279" s="97"/>
      <c r="BN279" s="97"/>
      <c r="BO279" s="142"/>
      <c r="BP279" s="143">
        <f t="shared" si="49"/>
        <v>0</v>
      </c>
      <c r="BQ279" s="142"/>
      <c r="BR279" s="143">
        <f t="shared" si="50"/>
        <v>0</v>
      </c>
      <c r="BS279" s="132"/>
      <c r="BT279" s="146">
        <f t="shared" si="51"/>
        <v>0</v>
      </c>
      <c r="BU279" s="132"/>
      <c r="BV279" s="143">
        <f t="shared" si="52"/>
        <v>0</v>
      </c>
      <c r="BW279" s="132"/>
      <c r="BX279" s="146">
        <f t="shared" si="53"/>
        <v>0</v>
      </c>
      <c r="BY279" s="132"/>
      <c r="BZ279" s="146">
        <f t="shared" si="54"/>
        <v>0</v>
      </c>
      <c r="CA279" s="132"/>
      <c r="CB279" s="146">
        <f t="shared" si="55"/>
        <v>0</v>
      </c>
      <c r="CC279" s="132"/>
      <c r="CD279" s="143">
        <f t="shared" si="56"/>
        <v>0</v>
      </c>
      <c r="CE279" s="132"/>
      <c r="CF279" s="143">
        <f t="shared" si="57"/>
        <v>0</v>
      </c>
      <c r="CG279" s="132"/>
      <c r="CH279" s="143">
        <f t="shared" si="58"/>
        <v>0</v>
      </c>
      <c r="CI279" s="132">
        <f t="shared" si="59"/>
        <v>0</v>
      </c>
      <c r="CJ279" s="143">
        <f t="shared" si="59"/>
        <v>0</v>
      </c>
    </row>
    <row r="280" spans="1:88" x14ac:dyDescent="0.3">
      <c r="A280" s="27"/>
      <c r="B280" s="27"/>
      <c r="C280" s="27"/>
      <c r="D280" s="27"/>
      <c r="E280" s="27"/>
      <c r="F280" s="27"/>
      <c r="G280" s="27"/>
      <c r="H280" s="27"/>
      <c r="I280" s="27"/>
      <c r="J280" s="27"/>
      <c r="K280" s="27"/>
      <c r="L280" s="27"/>
      <c r="N280" s="27"/>
      <c r="O280" s="27"/>
      <c r="P280" s="27"/>
      <c r="Q280" s="117" t="s">
        <v>864</v>
      </c>
      <c r="R280" s="27"/>
      <c r="S280" s="27"/>
      <c r="T280" s="141" t="str">
        <f t="shared" si="48"/>
        <v xml:space="preserve"> </v>
      </c>
      <c r="U280" s="27"/>
      <c r="V280" s="27"/>
      <c r="W280" s="27"/>
      <c r="X280" s="27"/>
      <c r="Y280" s="27"/>
      <c r="AE280" s="27"/>
      <c r="BD280" s="97"/>
      <c r="BE280" s="108"/>
      <c r="BF280" s="108"/>
      <c r="BG280" s="97"/>
      <c r="BH280" s="97"/>
      <c r="BI280" s="97"/>
      <c r="BJ280" s="97"/>
      <c r="BK280" s="110"/>
      <c r="BL280" s="97"/>
      <c r="BM280" s="97"/>
      <c r="BN280" s="97"/>
      <c r="BO280" s="142"/>
      <c r="BP280" s="143">
        <f t="shared" si="49"/>
        <v>0</v>
      </c>
      <c r="BQ280" s="142"/>
      <c r="BR280" s="143">
        <f t="shared" si="50"/>
        <v>0</v>
      </c>
      <c r="BS280" s="132"/>
      <c r="BT280" s="146">
        <f t="shared" si="51"/>
        <v>0</v>
      </c>
      <c r="BU280" s="132"/>
      <c r="BV280" s="143">
        <f t="shared" si="52"/>
        <v>0</v>
      </c>
      <c r="BW280" s="132"/>
      <c r="BX280" s="146">
        <f t="shared" si="53"/>
        <v>0</v>
      </c>
      <c r="BY280" s="132"/>
      <c r="BZ280" s="146">
        <f t="shared" si="54"/>
        <v>0</v>
      </c>
      <c r="CA280" s="132"/>
      <c r="CB280" s="146">
        <f t="shared" si="55"/>
        <v>0</v>
      </c>
      <c r="CC280" s="132"/>
      <c r="CD280" s="143">
        <f t="shared" si="56"/>
        <v>0</v>
      </c>
      <c r="CE280" s="132"/>
      <c r="CF280" s="143">
        <f t="shared" si="57"/>
        <v>0</v>
      </c>
      <c r="CG280" s="132"/>
      <c r="CH280" s="143">
        <f t="shared" si="58"/>
        <v>0</v>
      </c>
      <c r="CI280" s="132">
        <f t="shared" si="59"/>
        <v>0</v>
      </c>
      <c r="CJ280" s="143">
        <f t="shared" si="59"/>
        <v>0</v>
      </c>
    </row>
    <row r="281" spans="1:88" x14ac:dyDescent="0.3">
      <c r="A281" s="27"/>
      <c r="B281" s="27"/>
      <c r="C281" s="27"/>
      <c r="D281" s="27"/>
      <c r="E281" s="27"/>
      <c r="F281" s="27"/>
      <c r="G281" s="27"/>
      <c r="H281" s="27"/>
      <c r="I281" s="27"/>
      <c r="J281" s="27"/>
      <c r="K281" s="27"/>
      <c r="L281" s="27"/>
      <c r="N281" s="27"/>
      <c r="O281" s="27"/>
      <c r="P281" s="27"/>
      <c r="Q281" s="117" t="s">
        <v>865</v>
      </c>
      <c r="R281" s="27"/>
      <c r="S281" s="27"/>
      <c r="T281" s="141" t="str">
        <f t="shared" si="48"/>
        <v xml:space="preserve"> </v>
      </c>
      <c r="U281" s="27"/>
      <c r="V281" s="27"/>
      <c r="W281" s="27"/>
      <c r="X281" s="27"/>
      <c r="Y281" s="27"/>
      <c r="AE281" s="27"/>
      <c r="BD281" s="97"/>
      <c r="BE281" s="108"/>
      <c r="BF281" s="108"/>
      <c r="BG281" s="97"/>
      <c r="BH281" s="97"/>
      <c r="BI281" s="97"/>
      <c r="BJ281" s="97"/>
      <c r="BK281" s="110"/>
      <c r="BL281" s="97"/>
      <c r="BM281" s="97"/>
      <c r="BN281" s="97"/>
      <c r="BO281" s="142"/>
      <c r="BP281" s="143">
        <f t="shared" si="49"/>
        <v>0</v>
      </c>
      <c r="BQ281" s="142"/>
      <c r="BR281" s="143">
        <f t="shared" si="50"/>
        <v>0</v>
      </c>
      <c r="BS281" s="132"/>
      <c r="BT281" s="146">
        <f t="shared" si="51"/>
        <v>0</v>
      </c>
      <c r="BU281" s="132"/>
      <c r="BV281" s="143">
        <f t="shared" si="52"/>
        <v>0</v>
      </c>
      <c r="BW281" s="132"/>
      <c r="BX281" s="146">
        <f t="shared" si="53"/>
        <v>0</v>
      </c>
      <c r="BY281" s="132"/>
      <c r="BZ281" s="146">
        <f t="shared" si="54"/>
        <v>0</v>
      </c>
      <c r="CA281" s="132"/>
      <c r="CB281" s="146">
        <f t="shared" si="55"/>
        <v>0</v>
      </c>
      <c r="CC281" s="132"/>
      <c r="CD281" s="143">
        <f t="shared" si="56"/>
        <v>0</v>
      </c>
      <c r="CE281" s="132"/>
      <c r="CF281" s="143">
        <f t="shared" si="57"/>
        <v>0</v>
      </c>
      <c r="CG281" s="132"/>
      <c r="CH281" s="143">
        <f t="shared" si="58"/>
        <v>0</v>
      </c>
      <c r="CI281" s="132">
        <f t="shared" si="59"/>
        <v>0</v>
      </c>
      <c r="CJ281" s="143">
        <f t="shared" si="59"/>
        <v>0</v>
      </c>
    </row>
    <row r="282" spans="1:88" x14ac:dyDescent="0.3">
      <c r="A282" s="27"/>
      <c r="B282" s="27"/>
      <c r="C282" s="27"/>
      <c r="D282" s="27"/>
      <c r="E282" s="27"/>
      <c r="F282" s="27"/>
      <c r="G282" s="27"/>
      <c r="H282" s="27"/>
      <c r="I282" s="27"/>
      <c r="J282" s="27"/>
      <c r="K282" s="27"/>
      <c r="L282" s="27"/>
      <c r="N282" s="27"/>
      <c r="O282" s="27"/>
      <c r="P282" s="27"/>
      <c r="Q282" s="117" t="s">
        <v>866</v>
      </c>
      <c r="R282" s="27"/>
      <c r="S282" s="27"/>
      <c r="T282" s="141" t="str">
        <f t="shared" si="48"/>
        <v xml:space="preserve"> </v>
      </c>
      <c r="U282" s="27"/>
      <c r="V282" s="27"/>
      <c r="W282" s="27"/>
      <c r="X282" s="27"/>
      <c r="Y282" s="27"/>
      <c r="AE282" s="27"/>
      <c r="BD282" s="97"/>
      <c r="BE282" s="108"/>
      <c r="BF282" s="108"/>
      <c r="BG282" s="97"/>
      <c r="BH282" s="97"/>
      <c r="BI282" s="97"/>
      <c r="BJ282" s="97"/>
      <c r="BK282" s="110"/>
      <c r="BL282" s="97"/>
      <c r="BM282" s="97"/>
      <c r="BN282" s="97"/>
      <c r="BO282" s="142"/>
      <c r="BP282" s="143">
        <f t="shared" si="49"/>
        <v>0</v>
      </c>
      <c r="BQ282" s="142"/>
      <c r="BR282" s="143">
        <f t="shared" si="50"/>
        <v>0</v>
      </c>
      <c r="BS282" s="132"/>
      <c r="BT282" s="146">
        <f t="shared" si="51"/>
        <v>0</v>
      </c>
      <c r="BU282" s="132"/>
      <c r="BV282" s="143">
        <f t="shared" si="52"/>
        <v>0</v>
      </c>
      <c r="BW282" s="132"/>
      <c r="BX282" s="146">
        <f t="shared" si="53"/>
        <v>0</v>
      </c>
      <c r="BY282" s="132"/>
      <c r="BZ282" s="146">
        <f t="shared" si="54"/>
        <v>0</v>
      </c>
      <c r="CA282" s="132"/>
      <c r="CB282" s="146">
        <f t="shared" si="55"/>
        <v>0</v>
      </c>
      <c r="CC282" s="132"/>
      <c r="CD282" s="143">
        <f t="shared" si="56"/>
        <v>0</v>
      </c>
      <c r="CE282" s="132"/>
      <c r="CF282" s="143">
        <f t="shared" si="57"/>
        <v>0</v>
      </c>
      <c r="CG282" s="132"/>
      <c r="CH282" s="143">
        <f t="shared" si="58"/>
        <v>0</v>
      </c>
      <c r="CI282" s="132">
        <f t="shared" si="59"/>
        <v>0</v>
      </c>
      <c r="CJ282" s="143">
        <f t="shared" si="59"/>
        <v>0</v>
      </c>
    </row>
    <row r="283" spans="1:88" x14ac:dyDescent="0.3">
      <c r="A283" s="27"/>
      <c r="B283" s="27"/>
      <c r="C283" s="27"/>
      <c r="D283" s="27"/>
      <c r="E283" s="27"/>
      <c r="F283" s="27"/>
      <c r="G283" s="27"/>
      <c r="H283" s="27"/>
      <c r="I283" s="27"/>
      <c r="J283" s="27"/>
      <c r="K283" s="27"/>
      <c r="L283" s="27"/>
      <c r="N283" s="27"/>
      <c r="O283" s="27"/>
      <c r="P283" s="27"/>
      <c r="Q283" s="117" t="s">
        <v>867</v>
      </c>
      <c r="R283" s="27"/>
      <c r="S283" s="27"/>
      <c r="T283" s="141" t="str">
        <f t="shared" si="48"/>
        <v xml:space="preserve"> </v>
      </c>
      <c r="U283" s="27"/>
      <c r="V283" s="27"/>
      <c r="W283" s="27"/>
      <c r="X283" s="27"/>
      <c r="Y283" s="27"/>
      <c r="AE283" s="27"/>
      <c r="BD283" s="97"/>
      <c r="BE283" s="108"/>
      <c r="BF283" s="108"/>
      <c r="BG283" s="97"/>
      <c r="BH283" s="97"/>
      <c r="BI283" s="97"/>
      <c r="BJ283" s="97"/>
      <c r="BK283" s="110"/>
      <c r="BL283" s="97"/>
      <c r="BM283" s="97"/>
      <c r="BN283" s="97"/>
      <c r="BO283" s="142"/>
      <c r="BP283" s="143">
        <f t="shared" si="49"/>
        <v>0</v>
      </c>
      <c r="BQ283" s="142"/>
      <c r="BR283" s="143">
        <f t="shared" si="50"/>
        <v>0</v>
      </c>
      <c r="BS283" s="132"/>
      <c r="BT283" s="146">
        <f t="shared" si="51"/>
        <v>0</v>
      </c>
      <c r="BU283" s="132"/>
      <c r="BV283" s="143">
        <f t="shared" si="52"/>
        <v>0</v>
      </c>
      <c r="BW283" s="132"/>
      <c r="BX283" s="146">
        <f t="shared" si="53"/>
        <v>0</v>
      </c>
      <c r="BY283" s="132"/>
      <c r="BZ283" s="146">
        <f t="shared" si="54"/>
        <v>0</v>
      </c>
      <c r="CA283" s="132"/>
      <c r="CB283" s="146">
        <f t="shared" si="55"/>
        <v>0</v>
      </c>
      <c r="CC283" s="132"/>
      <c r="CD283" s="143">
        <f t="shared" si="56"/>
        <v>0</v>
      </c>
      <c r="CE283" s="132"/>
      <c r="CF283" s="143">
        <f t="shared" si="57"/>
        <v>0</v>
      </c>
      <c r="CG283" s="132"/>
      <c r="CH283" s="143">
        <f t="shared" si="58"/>
        <v>0</v>
      </c>
      <c r="CI283" s="132">
        <f t="shared" si="59"/>
        <v>0</v>
      </c>
      <c r="CJ283" s="143">
        <f t="shared" si="59"/>
        <v>0</v>
      </c>
    </row>
    <row r="284" spans="1:88" x14ac:dyDescent="0.3">
      <c r="A284" s="27"/>
      <c r="B284" s="27"/>
      <c r="C284" s="27"/>
      <c r="D284" s="27"/>
      <c r="E284" s="27"/>
      <c r="F284" s="27"/>
      <c r="G284" s="27"/>
      <c r="H284" s="27"/>
      <c r="I284" s="27"/>
      <c r="J284" s="27"/>
      <c r="K284" s="27"/>
      <c r="L284" s="27"/>
      <c r="N284" s="27"/>
      <c r="O284" s="27"/>
      <c r="P284" s="27"/>
      <c r="Q284" s="117" t="s">
        <v>868</v>
      </c>
      <c r="R284" s="27"/>
      <c r="S284" s="27"/>
      <c r="T284" s="141" t="str">
        <f t="shared" si="48"/>
        <v xml:space="preserve"> </v>
      </c>
      <c r="U284" s="27"/>
      <c r="V284" s="27"/>
      <c r="W284" s="27"/>
      <c r="X284" s="27"/>
      <c r="Y284" s="27"/>
      <c r="AE284" s="27"/>
      <c r="BD284" s="97"/>
      <c r="BE284" s="108"/>
      <c r="BF284" s="108"/>
      <c r="BG284" s="97"/>
      <c r="BH284" s="97"/>
      <c r="BI284" s="97"/>
      <c r="BJ284" s="97"/>
      <c r="BK284" s="110"/>
      <c r="BL284" s="97"/>
      <c r="BM284" s="97"/>
      <c r="BN284" s="97"/>
      <c r="BO284" s="142"/>
      <c r="BP284" s="143">
        <f t="shared" si="49"/>
        <v>0</v>
      </c>
      <c r="BQ284" s="142"/>
      <c r="BR284" s="143">
        <f t="shared" si="50"/>
        <v>0</v>
      </c>
      <c r="BS284" s="132"/>
      <c r="BT284" s="146">
        <f t="shared" si="51"/>
        <v>0</v>
      </c>
      <c r="BU284" s="132"/>
      <c r="BV284" s="143">
        <f t="shared" si="52"/>
        <v>0</v>
      </c>
      <c r="BW284" s="132"/>
      <c r="BX284" s="146">
        <f t="shared" si="53"/>
        <v>0</v>
      </c>
      <c r="BY284" s="132"/>
      <c r="BZ284" s="146">
        <f t="shared" si="54"/>
        <v>0</v>
      </c>
      <c r="CA284" s="132"/>
      <c r="CB284" s="146">
        <f t="shared" si="55"/>
        <v>0</v>
      </c>
      <c r="CC284" s="132"/>
      <c r="CD284" s="143">
        <f t="shared" si="56"/>
        <v>0</v>
      </c>
      <c r="CE284" s="132"/>
      <c r="CF284" s="143">
        <f t="shared" si="57"/>
        <v>0</v>
      </c>
      <c r="CG284" s="132"/>
      <c r="CH284" s="143">
        <f t="shared" si="58"/>
        <v>0</v>
      </c>
      <c r="CI284" s="132">
        <f t="shared" si="59"/>
        <v>0</v>
      </c>
      <c r="CJ284" s="143">
        <f t="shared" si="59"/>
        <v>0</v>
      </c>
    </row>
    <row r="285" spans="1:88" x14ac:dyDescent="0.3">
      <c r="A285" s="27"/>
      <c r="B285" s="27"/>
      <c r="C285" s="27"/>
      <c r="D285" s="27"/>
      <c r="E285" s="27"/>
      <c r="F285" s="27"/>
      <c r="G285" s="27"/>
      <c r="H285" s="27"/>
      <c r="I285" s="27"/>
      <c r="J285" s="27"/>
      <c r="K285" s="27"/>
      <c r="L285" s="27"/>
      <c r="N285" s="27"/>
      <c r="O285" s="27"/>
      <c r="P285" s="27"/>
      <c r="Q285" s="117" t="s">
        <v>869</v>
      </c>
      <c r="R285" s="27"/>
      <c r="S285" s="27"/>
      <c r="T285" s="141" t="str">
        <f t="shared" si="48"/>
        <v xml:space="preserve"> </v>
      </c>
      <c r="U285" s="27"/>
      <c r="V285" s="27"/>
      <c r="W285" s="27"/>
      <c r="X285" s="27"/>
      <c r="Y285" s="27"/>
      <c r="AE285" s="27"/>
      <c r="BD285" s="97"/>
      <c r="BE285" s="108"/>
      <c r="BF285" s="108"/>
      <c r="BG285" s="97"/>
      <c r="BH285" s="97"/>
      <c r="BI285" s="97"/>
      <c r="BJ285" s="97"/>
      <c r="BK285" s="110"/>
      <c r="BL285" s="97"/>
      <c r="BM285" s="97"/>
      <c r="BN285" s="97"/>
      <c r="BO285" s="142"/>
      <c r="BP285" s="143">
        <f t="shared" si="49"/>
        <v>0</v>
      </c>
      <c r="BQ285" s="142"/>
      <c r="BR285" s="143">
        <f t="shared" si="50"/>
        <v>0</v>
      </c>
      <c r="BS285" s="132"/>
      <c r="BT285" s="146">
        <f t="shared" si="51"/>
        <v>0</v>
      </c>
      <c r="BU285" s="132"/>
      <c r="BV285" s="143">
        <f t="shared" si="52"/>
        <v>0</v>
      </c>
      <c r="BW285" s="132"/>
      <c r="BX285" s="146">
        <f t="shared" si="53"/>
        <v>0</v>
      </c>
      <c r="BY285" s="132"/>
      <c r="BZ285" s="146">
        <f t="shared" si="54"/>
        <v>0</v>
      </c>
      <c r="CA285" s="132"/>
      <c r="CB285" s="146">
        <f t="shared" si="55"/>
        <v>0</v>
      </c>
      <c r="CC285" s="132"/>
      <c r="CD285" s="143">
        <f t="shared" si="56"/>
        <v>0</v>
      </c>
      <c r="CE285" s="132"/>
      <c r="CF285" s="143">
        <f t="shared" si="57"/>
        <v>0</v>
      </c>
      <c r="CG285" s="132"/>
      <c r="CH285" s="143">
        <f t="shared" si="58"/>
        <v>0</v>
      </c>
      <c r="CI285" s="132">
        <f t="shared" si="59"/>
        <v>0</v>
      </c>
      <c r="CJ285" s="143">
        <f t="shared" si="59"/>
        <v>0</v>
      </c>
    </row>
    <row r="286" spans="1:88" x14ac:dyDescent="0.3">
      <c r="A286" s="27"/>
      <c r="B286" s="27"/>
      <c r="C286" s="27"/>
      <c r="D286" s="27"/>
      <c r="E286" s="27"/>
      <c r="F286" s="27"/>
      <c r="G286" s="27"/>
      <c r="H286" s="27"/>
      <c r="I286" s="27"/>
      <c r="J286" s="27"/>
      <c r="K286" s="27"/>
      <c r="L286" s="27"/>
      <c r="N286" s="27"/>
      <c r="O286" s="27"/>
      <c r="P286" s="27"/>
      <c r="Q286" s="117" t="s">
        <v>870</v>
      </c>
      <c r="R286" s="27"/>
      <c r="S286" s="27"/>
      <c r="T286" s="141" t="str">
        <f t="shared" si="48"/>
        <v xml:space="preserve"> </v>
      </c>
      <c r="U286" s="27"/>
      <c r="V286" s="27"/>
      <c r="W286" s="27"/>
      <c r="X286" s="27"/>
      <c r="Y286" s="27"/>
      <c r="AE286" s="27"/>
      <c r="BD286" s="97"/>
      <c r="BE286" s="108"/>
      <c r="BF286" s="108"/>
      <c r="BG286" s="97"/>
      <c r="BH286" s="97"/>
      <c r="BI286" s="97"/>
      <c r="BJ286" s="97"/>
      <c r="BK286" s="110"/>
      <c r="BL286" s="97"/>
      <c r="BM286" s="97"/>
      <c r="BN286" s="97"/>
      <c r="BO286" s="142"/>
      <c r="BP286" s="143">
        <f t="shared" si="49"/>
        <v>0</v>
      </c>
      <c r="BQ286" s="142"/>
      <c r="BR286" s="143">
        <f t="shared" si="50"/>
        <v>0</v>
      </c>
      <c r="BS286" s="132"/>
      <c r="BT286" s="146">
        <f t="shared" si="51"/>
        <v>0</v>
      </c>
      <c r="BU286" s="132"/>
      <c r="BV286" s="143">
        <f t="shared" si="52"/>
        <v>0</v>
      </c>
      <c r="BW286" s="132"/>
      <c r="BX286" s="146">
        <f t="shared" si="53"/>
        <v>0</v>
      </c>
      <c r="BY286" s="132"/>
      <c r="BZ286" s="146">
        <f t="shared" si="54"/>
        <v>0</v>
      </c>
      <c r="CA286" s="132"/>
      <c r="CB286" s="146">
        <f t="shared" si="55"/>
        <v>0</v>
      </c>
      <c r="CC286" s="132"/>
      <c r="CD286" s="143">
        <f t="shared" si="56"/>
        <v>0</v>
      </c>
      <c r="CE286" s="132"/>
      <c r="CF286" s="143">
        <f t="shared" si="57"/>
        <v>0</v>
      </c>
      <c r="CG286" s="132"/>
      <c r="CH286" s="143">
        <f t="shared" si="58"/>
        <v>0</v>
      </c>
      <c r="CI286" s="132">
        <f t="shared" si="59"/>
        <v>0</v>
      </c>
      <c r="CJ286" s="143">
        <f t="shared" si="59"/>
        <v>0</v>
      </c>
    </row>
    <row r="287" spans="1:88" x14ac:dyDescent="0.3">
      <c r="A287" s="27"/>
      <c r="B287" s="27"/>
      <c r="C287" s="27"/>
      <c r="D287" s="27"/>
      <c r="E287" s="27"/>
      <c r="F287" s="27"/>
      <c r="G287" s="27"/>
      <c r="H287" s="27"/>
      <c r="I287" s="27"/>
      <c r="J287" s="27"/>
      <c r="K287" s="27"/>
      <c r="L287" s="27"/>
      <c r="N287" s="27"/>
      <c r="O287" s="27"/>
      <c r="P287" s="27"/>
      <c r="Q287" s="117" t="s">
        <v>871</v>
      </c>
      <c r="R287" s="27"/>
      <c r="S287" s="27"/>
      <c r="T287" s="141" t="str">
        <f t="shared" si="48"/>
        <v xml:space="preserve"> </v>
      </c>
      <c r="U287" s="27"/>
      <c r="V287" s="27"/>
      <c r="W287" s="27"/>
      <c r="X287" s="27"/>
      <c r="Y287" s="27"/>
      <c r="AE287" s="27"/>
      <c r="BD287" s="97"/>
      <c r="BE287" s="108"/>
      <c r="BF287" s="108"/>
      <c r="BG287" s="97"/>
      <c r="BH287" s="97"/>
      <c r="BI287" s="97"/>
      <c r="BJ287" s="97"/>
      <c r="BK287" s="110"/>
      <c r="BL287" s="97"/>
      <c r="BM287" s="97"/>
      <c r="BN287" s="97"/>
      <c r="BO287" s="142"/>
      <c r="BP287" s="143">
        <f t="shared" si="49"/>
        <v>0</v>
      </c>
      <c r="BQ287" s="142"/>
      <c r="BR287" s="143">
        <f t="shared" si="50"/>
        <v>0</v>
      </c>
      <c r="BS287" s="132"/>
      <c r="BT287" s="146">
        <f t="shared" si="51"/>
        <v>0</v>
      </c>
      <c r="BU287" s="132"/>
      <c r="BV287" s="143">
        <f t="shared" si="52"/>
        <v>0</v>
      </c>
      <c r="BW287" s="132"/>
      <c r="BX287" s="146">
        <f t="shared" si="53"/>
        <v>0</v>
      </c>
      <c r="BY287" s="132"/>
      <c r="BZ287" s="146">
        <f t="shared" si="54"/>
        <v>0</v>
      </c>
      <c r="CA287" s="132"/>
      <c r="CB287" s="146">
        <f t="shared" si="55"/>
        <v>0</v>
      </c>
      <c r="CC287" s="132"/>
      <c r="CD287" s="143">
        <f t="shared" si="56"/>
        <v>0</v>
      </c>
      <c r="CE287" s="132"/>
      <c r="CF287" s="143">
        <f t="shared" si="57"/>
        <v>0</v>
      </c>
      <c r="CG287" s="132"/>
      <c r="CH287" s="143">
        <f t="shared" si="58"/>
        <v>0</v>
      </c>
      <c r="CI287" s="132">
        <f t="shared" si="59"/>
        <v>0</v>
      </c>
      <c r="CJ287" s="143">
        <f t="shared" si="59"/>
        <v>0</v>
      </c>
    </row>
    <row r="288" spans="1:88" x14ac:dyDescent="0.3">
      <c r="A288" s="27"/>
      <c r="B288" s="27"/>
      <c r="C288" s="27"/>
      <c r="D288" s="27"/>
      <c r="E288" s="27"/>
      <c r="F288" s="27"/>
      <c r="G288" s="27"/>
      <c r="H288" s="27"/>
      <c r="I288" s="27"/>
      <c r="J288" s="27"/>
      <c r="K288" s="27"/>
      <c r="L288" s="27"/>
      <c r="N288" s="27"/>
      <c r="O288" s="27"/>
      <c r="P288" s="27"/>
      <c r="Q288" s="117" t="s">
        <v>872</v>
      </c>
      <c r="R288" s="27"/>
      <c r="S288" s="27"/>
      <c r="T288" s="141" t="str">
        <f t="shared" si="48"/>
        <v xml:space="preserve"> </v>
      </c>
      <c r="U288" s="27"/>
      <c r="V288" s="27"/>
      <c r="W288" s="27"/>
      <c r="X288" s="27"/>
      <c r="Y288" s="27"/>
      <c r="AE288" s="27"/>
      <c r="BD288" s="97"/>
      <c r="BE288" s="108"/>
      <c r="BF288" s="108"/>
      <c r="BG288" s="97"/>
      <c r="BH288" s="97"/>
      <c r="BI288" s="97"/>
      <c r="BJ288" s="97"/>
      <c r="BK288" s="110"/>
      <c r="BL288" s="97"/>
      <c r="BM288" s="97"/>
      <c r="BN288" s="97"/>
      <c r="BO288" s="142"/>
      <c r="BP288" s="143">
        <f t="shared" si="49"/>
        <v>0</v>
      </c>
      <c r="BQ288" s="142"/>
      <c r="BR288" s="143">
        <f t="shared" si="50"/>
        <v>0</v>
      </c>
      <c r="BS288" s="132"/>
      <c r="BT288" s="146">
        <f t="shared" si="51"/>
        <v>0</v>
      </c>
      <c r="BU288" s="132"/>
      <c r="BV288" s="143">
        <f t="shared" si="52"/>
        <v>0</v>
      </c>
      <c r="BW288" s="132"/>
      <c r="BX288" s="146">
        <f t="shared" si="53"/>
        <v>0</v>
      </c>
      <c r="BY288" s="132"/>
      <c r="BZ288" s="146">
        <f t="shared" si="54"/>
        <v>0</v>
      </c>
      <c r="CA288" s="132"/>
      <c r="CB288" s="146">
        <f t="shared" si="55"/>
        <v>0</v>
      </c>
      <c r="CC288" s="132"/>
      <c r="CD288" s="143">
        <f t="shared" si="56"/>
        <v>0</v>
      </c>
      <c r="CE288" s="132"/>
      <c r="CF288" s="143">
        <f t="shared" si="57"/>
        <v>0</v>
      </c>
      <c r="CG288" s="132"/>
      <c r="CH288" s="143">
        <f t="shared" si="58"/>
        <v>0</v>
      </c>
      <c r="CI288" s="132">
        <f t="shared" si="59"/>
        <v>0</v>
      </c>
      <c r="CJ288" s="143">
        <f t="shared" si="59"/>
        <v>0</v>
      </c>
    </row>
    <row r="289" spans="1:88" x14ac:dyDescent="0.3">
      <c r="A289" s="27"/>
      <c r="B289" s="27"/>
      <c r="C289" s="27"/>
      <c r="D289" s="27"/>
      <c r="E289" s="27"/>
      <c r="F289" s="27"/>
      <c r="G289" s="27"/>
      <c r="H289" s="27"/>
      <c r="I289" s="27"/>
      <c r="J289" s="27"/>
      <c r="K289" s="27"/>
      <c r="L289" s="27"/>
      <c r="N289" s="27"/>
      <c r="O289" s="27"/>
      <c r="P289" s="27"/>
      <c r="Q289" s="117" t="s">
        <v>383</v>
      </c>
      <c r="R289" s="27"/>
      <c r="S289" s="27"/>
      <c r="T289" s="141" t="str">
        <f t="shared" si="48"/>
        <v xml:space="preserve"> </v>
      </c>
      <c r="U289" s="27"/>
      <c r="V289" s="27"/>
      <c r="W289" s="27"/>
      <c r="X289" s="27"/>
      <c r="Y289" s="27"/>
      <c r="AE289" s="27"/>
      <c r="BD289" s="97"/>
      <c r="BE289" s="108"/>
      <c r="BF289" s="108"/>
      <c r="BG289" s="97"/>
      <c r="BH289" s="97"/>
      <c r="BI289" s="97"/>
      <c r="BJ289" s="97"/>
      <c r="BK289" s="110"/>
      <c r="BL289" s="97"/>
      <c r="BM289" s="97"/>
      <c r="BN289" s="97"/>
      <c r="BO289" s="142"/>
      <c r="BP289" s="143">
        <f t="shared" si="49"/>
        <v>0</v>
      </c>
      <c r="BQ289" s="142"/>
      <c r="BR289" s="143">
        <f t="shared" si="50"/>
        <v>0</v>
      </c>
      <c r="BS289" s="132"/>
      <c r="BT289" s="146">
        <f t="shared" si="51"/>
        <v>0</v>
      </c>
      <c r="BU289" s="132"/>
      <c r="BV289" s="143">
        <f t="shared" si="52"/>
        <v>0</v>
      </c>
      <c r="BW289" s="132"/>
      <c r="BX289" s="146">
        <f t="shared" si="53"/>
        <v>0</v>
      </c>
      <c r="BY289" s="132"/>
      <c r="BZ289" s="146">
        <f t="shared" si="54"/>
        <v>0</v>
      </c>
      <c r="CA289" s="132"/>
      <c r="CB289" s="146">
        <f t="shared" si="55"/>
        <v>0</v>
      </c>
      <c r="CC289" s="132"/>
      <c r="CD289" s="143">
        <f t="shared" si="56"/>
        <v>0</v>
      </c>
      <c r="CE289" s="132"/>
      <c r="CF289" s="143">
        <f t="shared" si="57"/>
        <v>0</v>
      </c>
      <c r="CG289" s="132"/>
      <c r="CH289" s="143">
        <f t="shared" si="58"/>
        <v>0</v>
      </c>
      <c r="CI289" s="132">
        <f t="shared" si="59"/>
        <v>0</v>
      </c>
      <c r="CJ289" s="143">
        <f t="shared" si="59"/>
        <v>0</v>
      </c>
    </row>
    <row r="290" spans="1:88" x14ac:dyDescent="0.3">
      <c r="A290" s="27"/>
      <c r="B290" s="27"/>
      <c r="C290" s="27"/>
      <c r="D290" s="27"/>
      <c r="E290" s="27"/>
      <c r="F290" s="27"/>
      <c r="G290" s="27"/>
      <c r="H290" s="27"/>
      <c r="I290" s="27"/>
      <c r="J290" s="27"/>
      <c r="K290" s="27"/>
      <c r="L290" s="27"/>
      <c r="N290" s="27"/>
      <c r="O290" s="27"/>
      <c r="P290" s="27"/>
      <c r="Q290" s="117" t="s">
        <v>873</v>
      </c>
      <c r="R290" s="27"/>
      <c r="S290" s="27"/>
      <c r="T290" s="141" t="str">
        <f t="shared" si="48"/>
        <v xml:space="preserve"> </v>
      </c>
      <c r="U290" s="27"/>
      <c r="V290" s="27"/>
      <c r="W290" s="27"/>
      <c r="X290" s="27"/>
      <c r="Y290" s="27"/>
      <c r="AE290" s="27"/>
      <c r="BD290" s="97"/>
      <c r="BE290" s="108"/>
      <c r="BF290" s="108"/>
      <c r="BG290" s="97"/>
      <c r="BH290" s="97"/>
      <c r="BI290" s="97"/>
      <c r="BJ290" s="97"/>
      <c r="BK290" s="110"/>
      <c r="BL290" s="97"/>
      <c r="BM290" s="97"/>
      <c r="BN290" s="97"/>
      <c r="BO290" s="142"/>
      <c r="BP290" s="143">
        <f t="shared" si="49"/>
        <v>0</v>
      </c>
      <c r="BQ290" s="142"/>
      <c r="BR290" s="143">
        <f t="shared" si="50"/>
        <v>0</v>
      </c>
      <c r="BS290" s="132"/>
      <c r="BT290" s="146">
        <f t="shared" si="51"/>
        <v>0</v>
      </c>
      <c r="BU290" s="132"/>
      <c r="BV290" s="143">
        <f t="shared" si="52"/>
        <v>0</v>
      </c>
      <c r="BW290" s="132"/>
      <c r="BX290" s="146">
        <f t="shared" si="53"/>
        <v>0</v>
      </c>
      <c r="BY290" s="132"/>
      <c r="BZ290" s="146">
        <f t="shared" si="54"/>
        <v>0</v>
      </c>
      <c r="CA290" s="132"/>
      <c r="CB290" s="146">
        <f t="shared" si="55"/>
        <v>0</v>
      </c>
      <c r="CC290" s="132"/>
      <c r="CD290" s="143">
        <f t="shared" si="56"/>
        <v>0</v>
      </c>
      <c r="CE290" s="132"/>
      <c r="CF290" s="143">
        <f t="shared" si="57"/>
        <v>0</v>
      </c>
      <c r="CG290" s="132"/>
      <c r="CH290" s="143">
        <f t="shared" si="58"/>
        <v>0</v>
      </c>
      <c r="CI290" s="132">
        <f t="shared" si="59"/>
        <v>0</v>
      </c>
      <c r="CJ290" s="143">
        <f t="shared" si="59"/>
        <v>0</v>
      </c>
    </row>
    <row r="291" spans="1:88" x14ac:dyDescent="0.3">
      <c r="A291" s="27"/>
      <c r="B291" s="27"/>
      <c r="C291" s="27"/>
      <c r="D291" s="27"/>
      <c r="E291" s="27"/>
      <c r="F291" s="27"/>
      <c r="G291" s="27"/>
      <c r="H291" s="27"/>
      <c r="I291" s="27"/>
      <c r="J291" s="27"/>
      <c r="K291" s="27"/>
      <c r="L291" s="27"/>
      <c r="N291" s="27"/>
      <c r="O291" s="27"/>
      <c r="P291" s="27"/>
      <c r="Q291" s="117" t="s">
        <v>874</v>
      </c>
      <c r="R291" s="27"/>
      <c r="S291" s="27"/>
      <c r="T291" s="141" t="str">
        <f t="shared" ref="T291:T354" si="60">TRIM(U291)&amp;" "&amp;TRIM(V291)</f>
        <v xml:space="preserve"> </v>
      </c>
      <c r="U291" s="27"/>
      <c r="V291" s="27"/>
      <c r="W291" s="27"/>
      <c r="X291" s="27"/>
      <c r="Y291" s="27"/>
      <c r="AE291" s="27"/>
      <c r="BD291" s="97"/>
      <c r="BE291" s="108"/>
      <c r="BF291" s="108"/>
      <c r="BG291" s="97"/>
      <c r="BH291" s="97"/>
      <c r="BI291" s="97"/>
      <c r="BJ291" s="97"/>
      <c r="BK291" s="110"/>
      <c r="BL291" s="97"/>
      <c r="BM291" s="97"/>
      <c r="BN291" s="97"/>
      <c r="BO291" s="142"/>
      <c r="BP291" s="143">
        <f t="shared" si="49"/>
        <v>0</v>
      </c>
      <c r="BQ291" s="142"/>
      <c r="BR291" s="143">
        <f t="shared" si="50"/>
        <v>0</v>
      </c>
      <c r="BS291" s="132"/>
      <c r="BT291" s="146">
        <f t="shared" si="51"/>
        <v>0</v>
      </c>
      <c r="BU291" s="132"/>
      <c r="BV291" s="143">
        <f t="shared" si="52"/>
        <v>0</v>
      </c>
      <c r="BW291" s="132"/>
      <c r="BX291" s="146">
        <f t="shared" si="53"/>
        <v>0</v>
      </c>
      <c r="BY291" s="132"/>
      <c r="BZ291" s="146">
        <f t="shared" si="54"/>
        <v>0</v>
      </c>
      <c r="CA291" s="132"/>
      <c r="CB291" s="146">
        <f t="shared" si="55"/>
        <v>0</v>
      </c>
      <c r="CC291" s="132"/>
      <c r="CD291" s="143">
        <f t="shared" si="56"/>
        <v>0</v>
      </c>
      <c r="CE291" s="132"/>
      <c r="CF291" s="143">
        <f t="shared" si="57"/>
        <v>0</v>
      </c>
      <c r="CG291" s="132"/>
      <c r="CH291" s="143">
        <f t="shared" si="58"/>
        <v>0</v>
      </c>
      <c r="CI291" s="132">
        <f t="shared" si="59"/>
        <v>0</v>
      </c>
      <c r="CJ291" s="143">
        <f t="shared" si="59"/>
        <v>0</v>
      </c>
    </row>
    <row r="292" spans="1:88" x14ac:dyDescent="0.3">
      <c r="A292" s="27"/>
      <c r="B292" s="27"/>
      <c r="C292" s="27"/>
      <c r="D292" s="27"/>
      <c r="E292" s="27"/>
      <c r="F292" s="27"/>
      <c r="G292" s="27"/>
      <c r="H292" s="27"/>
      <c r="I292" s="27"/>
      <c r="J292" s="27"/>
      <c r="K292" s="27"/>
      <c r="L292" s="27"/>
      <c r="N292" s="27"/>
      <c r="O292" s="27"/>
      <c r="P292" s="27"/>
      <c r="Q292" s="117" t="s">
        <v>875</v>
      </c>
      <c r="R292" s="27"/>
      <c r="S292" s="27"/>
      <c r="T292" s="141" t="str">
        <f t="shared" si="60"/>
        <v xml:space="preserve"> </v>
      </c>
      <c r="U292" s="27"/>
      <c r="V292" s="27"/>
      <c r="W292" s="27"/>
      <c r="X292" s="27"/>
      <c r="Y292" s="27"/>
      <c r="AE292" s="27"/>
      <c r="BD292" s="97"/>
      <c r="BE292" s="108"/>
      <c r="BF292" s="108"/>
      <c r="BG292" s="97"/>
      <c r="BH292" s="97"/>
      <c r="BI292" s="97"/>
      <c r="BJ292" s="97"/>
      <c r="BK292" s="110"/>
      <c r="BL292" s="97"/>
      <c r="BM292" s="97"/>
      <c r="BN292" s="97"/>
      <c r="BO292" s="142"/>
      <c r="BP292" s="143">
        <f t="shared" si="49"/>
        <v>0</v>
      </c>
      <c r="BQ292" s="142"/>
      <c r="BR292" s="143">
        <f t="shared" si="50"/>
        <v>0</v>
      </c>
      <c r="BS292" s="132"/>
      <c r="BT292" s="146">
        <f t="shared" si="51"/>
        <v>0</v>
      </c>
      <c r="BU292" s="132"/>
      <c r="BV292" s="143">
        <f t="shared" si="52"/>
        <v>0</v>
      </c>
      <c r="BW292" s="132"/>
      <c r="BX292" s="146">
        <f t="shared" si="53"/>
        <v>0</v>
      </c>
      <c r="BY292" s="132"/>
      <c r="BZ292" s="146">
        <f t="shared" si="54"/>
        <v>0</v>
      </c>
      <c r="CA292" s="132"/>
      <c r="CB292" s="146">
        <f t="shared" si="55"/>
        <v>0</v>
      </c>
      <c r="CC292" s="132"/>
      <c r="CD292" s="143">
        <f t="shared" si="56"/>
        <v>0</v>
      </c>
      <c r="CE292" s="132"/>
      <c r="CF292" s="143">
        <f t="shared" si="57"/>
        <v>0</v>
      </c>
      <c r="CG292" s="132"/>
      <c r="CH292" s="143">
        <f t="shared" si="58"/>
        <v>0</v>
      </c>
      <c r="CI292" s="132">
        <f t="shared" si="59"/>
        <v>0</v>
      </c>
      <c r="CJ292" s="143">
        <f t="shared" si="59"/>
        <v>0</v>
      </c>
    </row>
    <row r="293" spans="1:88" x14ac:dyDescent="0.3">
      <c r="A293" s="27"/>
      <c r="B293" s="27"/>
      <c r="C293" s="27"/>
      <c r="D293" s="27"/>
      <c r="E293" s="27"/>
      <c r="F293" s="27"/>
      <c r="G293" s="27"/>
      <c r="H293" s="27"/>
      <c r="I293" s="27"/>
      <c r="J293" s="27"/>
      <c r="K293" s="27"/>
      <c r="L293" s="27"/>
      <c r="N293" s="27"/>
      <c r="O293" s="27"/>
      <c r="P293" s="27"/>
      <c r="Q293" s="117" t="s">
        <v>876</v>
      </c>
      <c r="R293" s="27"/>
      <c r="S293" s="27"/>
      <c r="T293" s="141" t="str">
        <f t="shared" si="60"/>
        <v xml:space="preserve"> </v>
      </c>
      <c r="U293" s="27"/>
      <c r="V293" s="27"/>
      <c r="W293" s="27"/>
      <c r="X293" s="27"/>
      <c r="Y293" s="27"/>
      <c r="AE293" s="27"/>
      <c r="BD293" s="97"/>
      <c r="BE293" s="108"/>
      <c r="BF293" s="108"/>
      <c r="BG293" s="97"/>
      <c r="BH293" s="97"/>
      <c r="BI293" s="97"/>
      <c r="BJ293" s="97"/>
      <c r="BK293" s="110"/>
      <c r="BL293" s="97"/>
      <c r="BM293" s="97"/>
      <c r="BN293" s="97"/>
      <c r="BO293" s="142"/>
      <c r="BP293" s="143">
        <f t="shared" si="49"/>
        <v>0</v>
      </c>
      <c r="BQ293" s="142"/>
      <c r="BR293" s="143">
        <f t="shared" si="50"/>
        <v>0</v>
      </c>
      <c r="BS293" s="132"/>
      <c r="BT293" s="146">
        <f t="shared" si="51"/>
        <v>0</v>
      </c>
      <c r="BU293" s="132"/>
      <c r="BV293" s="143">
        <f t="shared" si="52"/>
        <v>0</v>
      </c>
      <c r="BW293" s="132"/>
      <c r="BX293" s="146">
        <f t="shared" si="53"/>
        <v>0</v>
      </c>
      <c r="BY293" s="132"/>
      <c r="BZ293" s="146">
        <f t="shared" si="54"/>
        <v>0</v>
      </c>
      <c r="CA293" s="132"/>
      <c r="CB293" s="146">
        <f t="shared" si="55"/>
        <v>0</v>
      </c>
      <c r="CC293" s="132"/>
      <c r="CD293" s="143">
        <f t="shared" si="56"/>
        <v>0</v>
      </c>
      <c r="CE293" s="132"/>
      <c r="CF293" s="143">
        <f t="shared" si="57"/>
        <v>0</v>
      </c>
      <c r="CG293" s="132"/>
      <c r="CH293" s="143">
        <f t="shared" si="58"/>
        <v>0</v>
      </c>
      <c r="CI293" s="132">
        <f t="shared" si="59"/>
        <v>0</v>
      </c>
      <c r="CJ293" s="143">
        <f t="shared" si="59"/>
        <v>0</v>
      </c>
    </row>
    <row r="294" spans="1:88" x14ac:dyDescent="0.3">
      <c r="A294" s="27"/>
      <c r="B294" s="27"/>
      <c r="C294" s="27"/>
      <c r="D294" s="27"/>
      <c r="E294" s="27"/>
      <c r="F294" s="27"/>
      <c r="G294" s="27"/>
      <c r="H294" s="27"/>
      <c r="I294" s="27"/>
      <c r="J294" s="27"/>
      <c r="K294" s="27"/>
      <c r="L294" s="27"/>
      <c r="N294" s="27"/>
      <c r="O294" s="27"/>
      <c r="P294" s="27"/>
      <c r="Q294" s="117" t="s">
        <v>877</v>
      </c>
      <c r="R294" s="27"/>
      <c r="S294" s="27"/>
      <c r="T294" s="141" t="str">
        <f t="shared" si="60"/>
        <v xml:space="preserve"> </v>
      </c>
      <c r="U294" s="27"/>
      <c r="V294" s="27"/>
      <c r="W294" s="27"/>
      <c r="X294" s="27"/>
      <c r="Y294" s="27"/>
      <c r="AE294" s="27"/>
      <c r="BD294" s="97"/>
      <c r="BE294" s="108"/>
      <c r="BF294" s="108"/>
      <c r="BG294" s="97"/>
      <c r="BH294" s="97"/>
      <c r="BI294" s="97"/>
      <c r="BJ294" s="97"/>
      <c r="BK294" s="110"/>
      <c r="BL294" s="97"/>
      <c r="BM294" s="97"/>
      <c r="BN294" s="97"/>
      <c r="BO294" s="142"/>
      <c r="BP294" s="143">
        <f t="shared" si="49"/>
        <v>0</v>
      </c>
      <c r="BQ294" s="142"/>
      <c r="BR294" s="143">
        <f t="shared" si="50"/>
        <v>0</v>
      </c>
      <c r="BS294" s="132"/>
      <c r="BT294" s="146">
        <f t="shared" si="51"/>
        <v>0</v>
      </c>
      <c r="BU294" s="132"/>
      <c r="BV294" s="143">
        <f t="shared" si="52"/>
        <v>0</v>
      </c>
      <c r="BW294" s="132"/>
      <c r="BX294" s="146">
        <f t="shared" si="53"/>
        <v>0</v>
      </c>
      <c r="BY294" s="132"/>
      <c r="BZ294" s="146">
        <f t="shared" si="54"/>
        <v>0</v>
      </c>
      <c r="CA294" s="132"/>
      <c r="CB294" s="146">
        <f t="shared" si="55"/>
        <v>0</v>
      </c>
      <c r="CC294" s="132"/>
      <c r="CD294" s="143">
        <f t="shared" si="56"/>
        <v>0</v>
      </c>
      <c r="CE294" s="132"/>
      <c r="CF294" s="143">
        <f t="shared" si="57"/>
        <v>0</v>
      </c>
      <c r="CG294" s="132"/>
      <c r="CH294" s="143">
        <f t="shared" si="58"/>
        <v>0</v>
      </c>
      <c r="CI294" s="132">
        <f t="shared" si="59"/>
        <v>0</v>
      </c>
      <c r="CJ294" s="143">
        <f t="shared" si="59"/>
        <v>0</v>
      </c>
    </row>
    <row r="295" spans="1:88" x14ac:dyDescent="0.3">
      <c r="A295" s="27"/>
      <c r="B295" s="27"/>
      <c r="C295" s="27"/>
      <c r="D295" s="27"/>
      <c r="E295" s="27"/>
      <c r="F295" s="27"/>
      <c r="G295" s="27"/>
      <c r="H295" s="27"/>
      <c r="I295" s="27"/>
      <c r="J295" s="27"/>
      <c r="K295" s="27"/>
      <c r="L295" s="27"/>
      <c r="N295" s="27"/>
      <c r="O295" s="27"/>
      <c r="P295" s="27"/>
      <c r="Q295" s="117" t="s">
        <v>878</v>
      </c>
      <c r="R295" s="27"/>
      <c r="S295" s="27"/>
      <c r="T295" s="141" t="str">
        <f t="shared" si="60"/>
        <v xml:space="preserve"> </v>
      </c>
      <c r="U295" s="27"/>
      <c r="V295" s="27"/>
      <c r="W295" s="27"/>
      <c r="X295" s="27"/>
      <c r="Y295" s="27"/>
      <c r="AE295" s="27"/>
      <c r="BD295" s="97"/>
      <c r="BE295" s="108"/>
      <c r="BF295" s="108"/>
      <c r="BG295" s="97"/>
      <c r="BH295" s="97"/>
      <c r="BI295" s="97"/>
      <c r="BJ295" s="97"/>
      <c r="BK295" s="110"/>
      <c r="BL295" s="97"/>
      <c r="BM295" s="97"/>
      <c r="BN295" s="97"/>
      <c r="BO295" s="142"/>
      <c r="BP295" s="143">
        <f t="shared" si="49"/>
        <v>0</v>
      </c>
      <c r="BQ295" s="142"/>
      <c r="BR295" s="143">
        <f t="shared" si="50"/>
        <v>0</v>
      </c>
      <c r="BS295" s="132"/>
      <c r="BT295" s="146">
        <f t="shared" si="51"/>
        <v>0</v>
      </c>
      <c r="BU295" s="132"/>
      <c r="BV295" s="143">
        <f t="shared" si="52"/>
        <v>0</v>
      </c>
      <c r="BW295" s="132"/>
      <c r="BX295" s="146">
        <f t="shared" si="53"/>
        <v>0</v>
      </c>
      <c r="BY295" s="132"/>
      <c r="BZ295" s="146">
        <f t="shared" si="54"/>
        <v>0</v>
      </c>
      <c r="CA295" s="132"/>
      <c r="CB295" s="146">
        <f t="shared" si="55"/>
        <v>0</v>
      </c>
      <c r="CC295" s="132"/>
      <c r="CD295" s="143">
        <f t="shared" si="56"/>
        <v>0</v>
      </c>
      <c r="CE295" s="132"/>
      <c r="CF295" s="143">
        <f t="shared" si="57"/>
        <v>0</v>
      </c>
      <c r="CG295" s="132"/>
      <c r="CH295" s="143">
        <f t="shared" si="58"/>
        <v>0</v>
      </c>
      <c r="CI295" s="132">
        <f t="shared" si="59"/>
        <v>0</v>
      </c>
      <c r="CJ295" s="143">
        <f t="shared" si="59"/>
        <v>0</v>
      </c>
    </row>
    <row r="296" spans="1:88" x14ac:dyDescent="0.3">
      <c r="A296" s="27"/>
      <c r="B296" s="27"/>
      <c r="C296" s="27"/>
      <c r="D296" s="27"/>
      <c r="E296" s="27"/>
      <c r="F296" s="27"/>
      <c r="G296" s="27"/>
      <c r="H296" s="27"/>
      <c r="I296" s="27"/>
      <c r="J296" s="27"/>
      <c r="K296" s="27"/>
      <c r="L296" s="27"/>
      <c r="N296" s="27"/>
      <c r="O296" s="27"/>
      <c r="P296" s="27"/>
      <c r="Q296" s="117" t="s">
        <v>879</v>
      </c>
      <c r="R296" s="27"/>
      <c r="S296" s="27"/>
      <c r="T296" s="141" t="str">
        <f t="shared" si="60"/>
        <v xml:space="preserve"> </v>
      </c>
      <c r="U296" s="27"/>
      <c r="V296" s="27"/>
      <c r="W296" s="27"/>
      <c r="X296" s="27"/>
      <c r="Y296" s="27"/>
      <c r="AE296" s="27"/>
      <c r="BD296" s="97"/>
      <c r="BE296" s="108"/>
      <c r="BF296" s="108"/>
      <c r="BG296" s="97"/>
      <c r="BH296" s="97"/>
      <c r="BI296" s="97"/>
      <c r="BJ296" s="97"/>
      <c r="BK296" s="110"/>
      <c r="BL296" s="97"/>
      <c r="BM296" s="97"/>
      <c r="BN296" s="97"/>
      <c r="BO296" s="142"/>
      <c r="BP296" s="143">
        <f t="shared" si="49"/>
        <v>0</v>
      </c>
      <c r="BQ296" s="142"/>
      <c r="BR296" s="143">
        <f t="shared" si="50"/>
        <v>0</v>
      </c>
      <c r="BS296" s="132"/>
      <c r="BT296" s="146">
        <f t="shared" si="51"/>
        <v>0</v>
      </c>
      <c r="BU296" s="132"/>
      <c r="BV296" s="143">
        <f t="shared" si="52"/>
        <v>0</v>
      </c>
      <c r="BW296" s="132"/>
      <c r="BX296" s="146">
        <f t="shared" si="53"/>
        <v>0</v>
      </c>
      <c r="BY296" s="132"/>
      <c r="BZ296" s="146">
        <f t="shared" si="54"/>
        <v>0</v>
      </c>
      <c r="CA296" s="132"/>
      <c r="CB296" s="146">
        <f t="shared" si="55"/>
        <v>0</v>
      </c>
      <c r="CC296" s="132"/>
      <c r="CD296" s="143">
        <f t="shared" si="56"/>
        <v>0</v>
      </c>
      <c r="CE296" s="132"/>
      <c r="CF296" s="143">
        <f t="shared" si="57"/>
        <v>0</v>
      </c>
      <c r="CG296" s="132"/>
      <c r="CH296" s="143">
        <f t="shared" si="58"/>
        <v>0</v>
      </c>
      <c r="CI296" s="132">
        <f t="shared" si="59"/>
        <v>0</v>
      </c>
      <c r="CJ296" s="143">
        <f t="shared" si="59"/>
        <v>0</v>
      </c>
    </row>
    <row r="297" spans="1:88" x14ac:dyDescent="0.3">
      <c r="A297" s="27"/>
      <c r="B297" s="27"/>
      <c r="C297" s="27"/>
      <c r="D297" s="27"/>
      <c r="E297" s="27"/>
      <c r="F297" s="27"/>
      <c r="G297" s="27"/>
      <c r="H297" s="27"/>
      <c r="I297" s="27"/>
      <c r="J297" s="27"/>
      <c r="K297" s="27"/>
      <c r="L297" s="27"/>
      <c r="N297" s="27"/>
      <c r="O297" s="27"/>
      <c r="P297" s="27"/>
      <c r="Q297" s="117" t="s">
        <v>880</v>
      </c>
      <c r="R297" s="27"/>
      <c r="S297" s="27"/>
      <c r="T297" s="141" t="str">
        <f t="shared" si="60"/>
        <v xml:space="preserve"> </v>
      </c>
      <c r="U297" s="27"/>
      <c r="V297" s="27"/>
      <c r="W297" s="27"/>
      <c r="X297" s="27"/>
      <c r="Y297" s="27"/>
      <c r="AE297" s="27"/>
      <c r="BD297" s="97"/>
      <c r="BE297" s="108"/>
      <c r="BF297" s="108"/>
      <c r="BG297" s="97"/>
      <c r="BH297" s="97"/>
      <c r="BI297" s="97"/>
      <c r="BJ297" s="97"/>
      <c r="BK297" s="110"/>
      <c r="BL297" s="97"/>
      <c r="BM297" s="97"/>
      <c r="BN297" s="97"/>
      <c r="BO297" s="142"/>
      <c r="BP297" s="143">
        <f t="shared" si="49"/>
        <v>0</v>
      </c>
      <c r="BQ297" s="142"/>
      <c r="BR297" s="143">
        <f t="shared" si="50"/>
        <v>0</v>
      </c>
      <c r="BS297" s="132"/>
      <c r="BT297" s="146">
        <f t="shared" si="51"/>
        <v>0</v>
      </c>
      <c r="BU297" s="132"/>
      <c r="BV297" s="143">
        <f t="shared" si="52"/>
        <v>0</v>
      </c>
      <c r="BW297" s="132"/>
      <c r="BX297" s="146">
        <f t="shared" si="53"/>
        <v>0</v>
      </c>
      <c r="BY297" s="132"/>
      <c r="BZ297" s="146">
        <f t="shared" si="54"/>
        <v>0</v>
      </c>
      <c r="CA297" s="132"/>
      <c r="CB297" s="146">
        <f t="shared" si="55"/>
        <v>0</v>
      </c>
      <c r="CC297" s="132"/>
      <c r="CD297" s="143">
        <f t="shared" si="56"/>
        <v>0</v>
      </c>
      <c r="CE297" s="132"/>
      <c r="CF297" s="143">
        <f t="shared" si="57"/>
        <v>0</v>
      </c>
      <c r="CG297" s="132"/>
      <c r="CH297" s="143">
        <f t="shared" si="58"/>
        <v>0</v>
      </c>
      <c r="CI297" s="132">
        <f t="shared" si="59"/>
        <v>0</v>
      </c>
      <c r="CJ297" s="143">
        <f t="shared" si="59"/>
        <v>0</v>
      </c>
    </row>
    <row r="298" spans="1:88" x14ac:dyDescent="0.3">
      <c r="A298" s="27"/>
      <c r="B298" s="27"/>
      <c r="C298" s="27"/>
      <c r="D298" s="27"/>
      <c r="E298" s="27"/>
      <c r="F298" s="27"/>
      <c r="G298" s="27"/>
      <c r="H298" s="27"/>
      <c r="I298" s="27"/>
      <c r="J298" s="27"/>
      <c r="K298" s="27"/>
      <c r="L298" s="27"/>
      <c r="N298" s="27"/>
      <c r="O298" s="27"/>
      <c r="P298" s="27"/>
      <c r="Q298" s="117" t="s">
        <v>881</v>
      </c>
      <c r="R298" s="27"/>
      <c r="S298" s="27"/>
      <c r="T298" s="141" t="str">
        <f t="shared" si="60"/>
        <v xml:space="preserve"> </v>
      </c>
      <c r="U298" s="27"/>
      <c r="V298" s="27"/>
      <c r="W298" s="27"/>
      <c r="X298" s="27"/>
      <c r="Y298" s="27"/>
      <c r="AE298" s="27"/>
      <c r="BD298" s="97"/>
      <c r="BE298" s="108"/>
      <c r="BF298" s="108"/>
      <c r="BG298" s="97"/>
      <c r="BH298" s="97"/>
      <c r="BI298" s="97"/>
      <c r="BJ298" s="97"/>
      <c r="BK298" s="110"/>
      <c r="BL298" s="97"/>
      <c r="BM298" s="97"/>
      <c r="BN298" s="97"/>
      <c r="BO298" s="144"/>
      <c r="BP298" s="143">
        <f t="shared" si="49"/>
        <v>0</v>
      </c>
      <c r="BQ298" s="144"/>
      <c r="BR298" s="143">
        <f t="shared" si="50"/>
        <v>0</v>
      </c>
      <c r="BS298" s="132"/>
      <c r="BT298" s="146">
        <f t="shared" si="51"/>
        <v>0</v>
      </c>
      <c r="BU298" s="145"/>
      <c r="BV298" s="143">
        <f t="shared" si="52"/>
        <v>0</v>
      </c>
      <c r="BW298" s="145"/>
      <c r="BX298" s="146">
        <f t="shared" si="53"/>
        <v>0</v>
      </c>
      <c r="BY298" s="145"/>
      <c r="BZ298" s="146">
        <f t="shared" si="54"/>
        <v>0</v>
      </c>
      <c r="CA298" s="145"/>
      <c r="CB298" s="146">
        <f t="shared" si="55"/>
        <v>0</v>
      </c>
      <c r="CC298" s="145"/>
      <c r="CD298" s="143">
        <f t="shared" si="56"/>
        <v>0</v>
      </c>
      <c r="CE298" s="145"/>
      <c r="CF298" s="143">
        <f t="shared" si="57"/>
        <v>0</v>
      </c>
      <c r="CG298" s="132"/>
      <c r="CH298" s="143">
        <f t="shared" si="58"/>
        <v>0</v>
      </c>
      <c r="CI298" s="132">
        <f t="shared" si="59"/>
        <v>0</v>
      </c>
      <c r="CJ298" s="143">
        <f t="shared" si="59"/>
        <v>0</v>
      </c>
    </row>
    <row r="299" spans="1:88" x14ac:dyDescent="0.3">
      <c r="A299" s="27"/>
      <c r="B299" s="27"/>
      <c r="C299" s="27"/>
      <c r="D299" s="27"/>
      <c r="E299" s="27"/>
      <c r="F299" s="27"/>
      <c r="G299" s="27"/>
      <c r="H299" s="27"/>
      <c r="I299" s="27"/>
      <c r="J299" s="27"/>
      <c r="K299" s="27"/>
      <c r="L299" s="27"/>
      <c r="N299" s="27"/>
      <c r="O299" s="27"/>
      <c r="P299" s="27"/>
      <c r="Q299" s="117" t="s">
        <v>882</v>
      </c>
      <c r="R299" s="27"/>
      <c r="S299" s="27"/>
      <c r="T299" s="141" t="str">
        <f t="shared" si="60"/>
        <v xml:space="preserve"> </v>
      </c>
      <c r="U299" s="27"/>
      <c r="V299" s="27"/>
      <c r="W299" s="27"/>
      <c r="X299" s="27"/>
      <c r="Y299" s="27"/>
      <c r="AE299" s="27"/>
      <c r="BD299" s="97"/>
      <c r="BE299" s="108"/>
      <c r="BF299" s="108"/>
      <c r="BG299" s="97"/>
      <c r="BH299" s="97"/>
      <c r="BI299" s="97"/>
      <c r="BJ299" s="97"/>
      <c r="BK299" s="110"/>
      <c r="BL299" s="97"/>
      <c r="BM299" s="97"/>
      <c r="BN299" s="97"/>
      <c r="BO299" s="144"/>
      <c r="BP299" s="143">
        <f t="shared" si="49"/>
        <v>0</v>
      </c>
      <c r="BQ299" s="144"/>
      <c r="BR299" s="143">
        <f t="shared" si="50"/>
        <v>0</v>
      </c>
      <c r="BS299" s="132"/>
      <c r="BT299" s="146">
        <f t="shared" si="51"/>
        <v>0</v>
      </c>
      <c r="BU299" s="145"/>
      <c r="BV299" s="143">
        <f t="shared" si="52"/>
        <v>0</v>
      </c>
      <c r="BW299" s="145"/>
      <c r="BX299" s="146">
        <f t="shared" si="53"/>
        <v>0</v>
      </c>
      <c r="BY299" s="145"/>
      <c r="BZ299" s="146">
        <f t="shared" si="54"/>
        <v>0</v>
      </c>
      <c r="CA299" s="145"/>
      <c r="CB299" s="146">
        <f t="shared" si="55"/>
        <v>0</v>
      </c>
      <c r="CC299" s="145"/>
      <c r="CD299" s="143">
        <f t="shared" si="56"/>
        <v>0</v>
      </c>
      <c r="CE299" s="145"/>
      <c r="CF299" s="143">
        <f t="shared" si="57"/>
        <v>0</v>
      </c>
      <c r="CG299" s="132"/>
      <c r="CH299" s="143">
        <f t="shared" si="58"/>
        <v>0</v>
      </c>
      <c r="CI299" s="132">
        <f t="shared" si="59"/>
        <v>0</v>
      </c>
      <c r="CJ299" s="143">
        <f t="shared" si="59"/>
        <v>0</v>
      </c>
    </row>
    <row r="300" spans="1:88" x14ac:dyDescent="0.3">
      <c r="A300" s="27"/>
      <c r="B300" s="27"/>
      <c r="C300" s="27"/>
      <c r="D300" s="27"/>
      <c r="E300" s="27"/>
      <c r="F300" s="27"/>
      <c r="G300" s="27"/>
      <c r="H300" s="27"/>
      <c r="I300" s="27"/>
      <c r="J300" s="27"/>
      <c r="K300" s="27"/>
      <c r="L300" s="27"/>
      <c r="N300" s="27"/>
      <c r="O300" s="27"/>
      <c r="P300" s="27"/>
      <c r="Q300" s="117" t="s">
        <v>883</v>
      </c>
      <c r="R300" s="27"/>
      <c r="S300" s="27"/>
      <c r="T300" s="141" t="str">
        <f t="shared" si="60"/>
        <v xml:space="preserve"> </v>
      </c>
      <c r="U300" s="27"/>
      <c r="V300" s="27"/>
      <c r="W300" s="27"/>
      <c r="X300" s="27"/>
      <c r="Y300" s="27"/>
      <c r="AE300" s="27"/>
      <c r="BD300" s="97"/>
      <c r="BE300" s="108"/>
      <c r="BF300" s="108"/>
      <c r="BG300" s="97"/>
      <c r="BH300" s="97"/>
      <c r="BI300" s="97"/>
      <c r="BJ300" s="97"/>
      <c r="BK300" s="110"/>
      <c r="BL300" s="97"/>
      <c r="BM300" s="97"/>
      <c r="BN300" s="97"/>
      <c r="BO300" s="144"/>
      <c r="BP300" s="143">
        <f t="shared" si="49"/>
        <v>0</v>
      </c>
      <c r="BQ300" s="144"/>
      <c r="BR300" s="143">
        <f t="shared" si="50"/>
        <v>0</v>
      </c>
      <c r="BS300" s="132"/>
      <c r="BT300" s="146">
        <f t="shared" si="51"/>
        <v>0</v>
      </c>
      <c r="BU300" s="145"/>
      <c r="BV300" s="143">
        <f t="shared" si="52"/>
        <v>0</v>
      </c>
      <c r="BW300" s="145"/>
      <c r="BX300" s="146">
        <f t="shared" si="53"/>
        <v>0</v>
      </c>
      <c r="BY300" s="145"/>
      <c r="BZ300" s="146">
        <f t="shared" si="54"/>
        <v>0</v>
      </c>
      <c r="CA300" s="145"/>
      <c r="CB300" s="146">
        <f t="shared" si="55"/>
        <v>0</v>
      </c>
      <c r="CC300" s="145"/>
      <c r="CD300" s="143">
        <f t="shared" si="56"/>
        <v>0</v>
      </c>
      <c r="CE300" s="145"/>
      <c r="CF300" s="143">
        <f t="shared" si="57"/>
        <v>0</v>
      </c>
      <c r="CG300" s="132"/>
      <c r="CH300" s="143">
        <f t="shared" si="58"/>
        <v>0</v>
      </c>
      <c r="CI300" s="132">
        <f t="shared" si="59"/>
        <v>0</v>
      </c>
      <c r="CJ300" s="143">
        <f t="shared" si="59"/>
        <v>0</v>
      </c>
    </row>
    <row r="301" spans="1:88" x14ac:dyDescent="0.3">
      <c r="A301" s="27"/>
      <c r="B301" s="27"/>
      <c r="C301" s="27"/>
      <c r="D301" s="27"/>
      <c r="E301" s="27"/>
      <c r="F301" s="27"/>
      <c r="G301" s="27"/>
      <c r="H301" s="27"/>
      <c r="I301" s="27"/>
      <c r="J301" s="27"/>
      <c r="K301" s="27"/>
      <c r="L301" s="27"/>
      <c r="N301" s="27"/>
      <c r="O301" s="27"/>
      <c r="P301" s="27"/>
      <c r="Q301" s="117" t="s">
        <v>884</v>
      </c>
      <c r="R301" s="27"/>
      <c r="S301" s="27"/>
      <c r="T301" s="141" t="str">
        <f t="shared" si="60"/>
        <v xml:space="preserve"> </v>
      </c>
      <c r="U301" s="27"/>
      <c r="V301" s="27"/>
      <c r="W301" s="27"/>
      <c r="X301" s="27"/>
      <c r="Y301" s="27"/>
      <c r="AE301" s="27"/>
      <c r="BD301" s="97"/>
      <c r="BE301" s="108"/>
      <c r="BF301" s="108"/>
      <c r="BG301" s="97"/>
      <c r="BH301" s="97"/>
      <c r="BI301" s="97"/>
      <c r="BJ301" s="97"/>
      <c r="BK301" s="110"/>
      <c r="BL301" s="97"/>
      <c r="BM301" s="97"/>
      <c r="BN301" s="97"/>
      <c r="BO301" s="142"/>
      <c r="BP301" s="143">
        <f t="shared" si="49"/>
        <v>0</v>
      </c>
      <c r="BQ301" s="142"/>
      <c r="BR301" s="143">
        <f t="shared" si="50"/>
        <v>0</v>
      </c>
      <c r="BS301" s="132"/>
      <c r="BT301" s="146">
        <f t="shared" si="51"/>
        <v>0</v>
      </c>
      <c r="BU301" s="132"/>
      <c r="BV301" s="143">
        <f t="shared" si="52"/>
        <v>0</v>
      </c>
      <c r="BW301" s="132"/>
      <c r="BX301" s="146">
        <f t="shared" si="53"/>
        <v>0</v>
      </c>
      <c r="BY301" s="132"/>
      <c r="BZ301" s="146">
        <f t="shared" si="54"/>
        <v>0</v>
      </c>
      <c r="CA301" s="132"/>
      <c r="CB301" s="146">
        <f t="shared" si="55"/>
        <v>0</v>
      </c>
      <c r="CC301" s="132"/>
      <c r="CD301" s="143">
        <f t="shared" si="56"/>
        <v>0</v>
      </c>
      <c r="CE301" s="132"/>
      <c r="CF301" s="143">
        <f t="shared" si="57"/>
        <v>0</v>
      </c>
      <c r="CG301" s="132"/>
      <c r="CH301" s="143">
        <f t="shared" si="58"/>
        <v>0</v>
      </c>
      <c r="CI301" s="132">
        <f t="shared" si="59"/>
        <v>0</v>
      </c>
      <c r="CJ301" s="143">
        <f t="shared" si="59"/>
        <v>0</v>
      </c>
    </row>
    <row r="302" spans="1:88" x14ac:dyDescent="0.3">
      <c r="A302" s="27"/>
      <c r="B302" s="27"/>
      <c r="C302" s="27"/>
      <c r="D302" s="27"/>
      <c r="E302" s="27"/>
      <c r="F302" s="27"/>
      <c r="G302" s="27"/>
      <c r="H302" s="27"/>
      <c r="I302" s="27"/>
      <c r="J302" s="27"/>
      <c r="K302" s="27"/>
      <c r="L302" s="27"/>
      <c r="N302" s="27"/>
      <c r="O302" s="27"/>
      <c r="P302" s="27"/>
      <c r="Q302" s="117" t="s">
        <v>885</v>
      </c>
      <c r="R302" s="27"/>
      <c r="S302" s="27"/>
      <c r="T302" s="141" t="str">
        <f t="shared" si="60"/>
        <v xml:space="preserve"> </v>
      </c>
      <c r="U302" s="27"/>
      <c r="V302" s="27"/>
      <c r="W302" s="27"/>
      <c r="X302" s="27"/>
      <c r="Y302" s="27"/>
      <c r="AE302" s="27"/>
      <c r="BD302" s="97"/>
      <c r="BE302" s="108"/>
      <c r="BF302" s="108"/>
      <c r="BG302" s="97"/>
      <c r="BH302" s="97"/>
      <c r="BI302" s="97"/>
      <c r="BJ302" s="97"/>
      <c r="BK302" s="110"/>
      <c r="BL302" s="97"/>
      <c r="BM302" s="97"/>
      <c r="BN302" s="97"/>
      <c r="BO302" s="142"/>
      <c r="BP302" s="143">
        <f t="shared" si="49"/>
        <v>0</v>
      </c>
      <c r="BQ302" s="142"/>
      <c r="BR302" s="143">
        <f t="shared" si="50"/>
        <v>0</v>
      </c>
      <c r="BS302" s="132"/>
      <c r="BT302" s="146">
        <f t="shared" si="51"/>
        <v>0</v>
      </c>
      <c r="BU302" s="132"/>
      <c r="BV302" s="143">
        <f t="shared" si="52"/>
        <v>0</v>
      </c>
      <c r="BW302" s="132"/>
      <c r="BX302" s="146">
        <f t="shared" si="53"/>
        <v>0</v>
      </c>
      <c r="BY302" s="132"/>
      <c r="BZ302" s="146">
        <f t="shared" si="54"/>
        <v>0</v>
      </c>
      <c r="CA302" s="132"/>
      <c r="CB302" s="146">
        <f t="shared" si="55"/>
        <v>0</v>
      </c>
      <c r="CC302" s="132"/>
      <c r="CD302" s="143">
        <f t="shared" si="56"/>
        <v>0</v>
      </c>
      <c r="CE302" s="132"/>
      <c r="CF302" s="143">
        <f t="shared" si="57"/>
        <v>0</v>
      </c>
      <c r="CG302" s="132"/>
      <c r="CH302" s="143">
        <f t="shared" si="58"/>
        <v>0</v>
      </c>
      <c r="CI302" s="132">
        <f t="shared" si="59"/>
        <v>0</v>
      </c>
      <c r="CJ302" s="143">
        <f t="shared" si="59"/>
        <v>0</v>
      </c>
    </row>
    <row r="303" spans="1:88" x14ac:dyDescent="0.3">
      <c r="A303" s="27"/>
      <c r="B303" s="27"/>
      <c r="C303" s="27"/>
      <c r="D303" s="27"/>
      <c r="E303" s="27"/>
      <c r="F303" s="27"/>
      <c r="G303" s="27"/>
      <c r="H303" s="27"/>
      <c r="I303" s="27"/>
      <c r="J303" s="27"/>
      <c r="K303" s="27"/>
      <c r="L303" s="27"/>
      <c r="N303" s="27"/>
      <c r="O303" s="27"/>
      <c r="P303" s="27"/>
      <c r="Q303" s="117" t="s">
        <v>886</v>
      </c>
      <c r="R303" s="27"/>
      <c r="S303" s="27"/>
      <c r="T303" s="141" t="str">
        <f t="shared" si="60"/>
        <v xml:space="preserve"> </v>
      </c>
      <c r="U303" s="27"/>
      <c r="V303" s="27"/>
      <c r="W303" s="27"/>
      <c r="X303" s="27"/>
      <c r="Y303" s="27"/>
      <c r="AE303" s="27"/>
      <c r="BD303" s="97"/>
      <c r="BE303" s="108"/>
      <c r="BF303" s="108"/>
      <c r="BG303" s="97"/>
      <c r="BH303" s="97"/>
      <c r="BI303" s="97"/>
      <c r="BJ303" s="97"/>
      <c r="BK303" s="110"/>
      <c r="BL303" s="97"/>
      <c r="BM303" s="97"/>
      <c r="BN303" s="97"/>
      <c r="BO303" s="142"/>
      <c r="BP303" s="143">
        <f t="shared" si="49"/>
        <v>0</v>
      </c>
      <c r="BQ303" s="142"/>
      <c r="BR303" s="143">
        <f t="shared" si="50"/>
        <v>0</v>
      </c>
      <c r="BS303" s="132"/>
      <c r="BT303" s="146">
        <f t="shared" si="51"/>
        <v>0</v>
      </c>
      <c r="BU303" s="132"/>
      <c r="BV303" s="143">
        <f t="shared" si="52"/>
        <v>0</v>
      </c>
      <c r="BW303" s="132"/>
      <c r="BX303" s="146">
        <f t="shared" si="53"/>
        <v>0</v>
      </c>
      <c r="BY303" s="132"/>
      <c r="BZ303" s="146">
        <f t="shared" si="54"/>
        <v>0</v>
      </c>
      <c r="CA303" s="132"/>
      <c r="CB303" s="146">
        <f t="shared" si="55"/>
        <v>0</v>
      </c>
      <c r="CC303" s="132"/>
      <c r="CD303" s="143">
        <f t="shared" si="56"/>
        <v>0</v>
      </c>
      <c r="CE303" s="132"/>
      <c r="CF303" s="143">
        <f t="shared" si="57"/>
        <v>0</v>
      </c>
      <c r="CG303" s="132"/>
      <c r="CH303" s="143">
        <f t="shared" si="58"/>
        <v>0</v>
      </c>
      <c r="CI303" s="132">
        <f t="shared" si="59"/>
        <v>0</v>
      </c>
      <c r="CJ303" s="143">
        <f t="shared" si="59"/>
        <v>0</v>
      </c>
    </row>
    <row r="304" spans="1:88" x14ac:dyDescent="0.3">
      <c r="A304" s="27"/>
      <c r="B304" s="27"/>
      <c r="C304" s="27"/>
      <c r="D304" s="27"/>
      <c r="E304" s="27"/>
      <c r="F304" s="27"/>
      <c r="G304" s="27"/>
      <c r="H304" s="27"/>
      <c r="I304" s="27"/>
      <c r="J304" s="27"/>
      <c r="K304" s="27"/>
      <c r="L304" s="27"/>
      <c r="N304" s="27"/>
      <c r="O304" s="27"/>
      <c r="P304" s="27"/>
      <c r="Q304" s="117" t="s">
        <v>887</v>
      </c>
      <c r="R304" s="27"/>
      <c r="S304" s="27"/>
      <c r="T304" s="141" t="str">
        <f t="shared" si="60"/>
        <v xml:space="preserve"> </v>
      </c>
      <c r="U304" s="27"/>
      <c r="V304" s="27"/>
      <c r="W304" s="27"/>
      <c r="X304" s="27"/>
      <c r="Y304" s="27"/>
      <c r="AE304" s="27"/>
      <c r="BD304" s="97"/>
      <c r="BE304" s="108"/>
      <c r="BF304" s="108"/>
      <c r="BG304" s="97"/>
      <c r="BH304" s="97"/>
      <c r="BI304" s="97"/>
      <c r="BJ304" s="97"/>
      <c r="BK304" s="110"/>
      <c r="BL304" s="97"/>
      <c r="BM304" s="97"/>
      <c r="BN304" s="97"/>
      <c r="BO304" s="142"/>
      <c r="BP304" s="143">
        <f t="shared" si="49"/>
        <v>0</v>
      </c>
      <c r="BQ304" s="142"/>
      <c r="BR304" s="143">
        <f t="shared" si="50"/>
        <v>0</v>
      </c>
      <c r="BS304" s="132"/>
      <c r="BT304" s="146">
        <f t="shared" si="51"/>
        <v>0</v>
      </c>
      <c r="BU304" s="132"/>
      <c r="BV304" s="143">
        <f t="shared" si="52"/>
        <v>0</v>
      </c>
      <c r="BW304" s="132"/>
      <c r="BX304" s="146">
        <f t="shared" si="53"/>
        <v>0</v>
      </c>
      <c r="BY304" s="132"/>
      <c r="BZ304" s="146">
        <f t="shared" si="54"/>
        <v>0</v>
      </c>
      <c r="CA304" s="132"/>
      <c r="CB304" s="146">
        <f t="shared" si="55"/>
        <v>0</v>
      </c>
      <c r="CC304" s="132"/>
      <c r="CD304" s="143">
        <f t="shared" si="56"/>
        <v>0</v>
      </c>
      <c r="CE304" s="132"/>
      <c r="CF304" s="143">
        <f t="shared" si="57"/>
        <v>0</v>
      </c>
      <c r="CG304" s="132"/>
      <c r="CH304" s="143">
        <f t="shared" si="58"/>
        <v>0</v>
      </c>
      <c r="CI304" s="132">
        <f t="shared" si="59"/>
        <v>0</v>
      </c>
      <c r="CJ304" s="143">
        <f t="shared" si="59"/>
        <v>0</v>
      </c>
    </row>
    <row r="305" spans="1:88" x14ac:dyDescent="0.3">
      <c r="A305" s="27"/>
      <c r="B305" s="27"/>
      <c r="C305" s="27"/>
      <c r="D305" s="27"/>
      <c r="E305" s="27"/>
      <c r="F305" s="27"/>
      <c r="G305" s="27"/>
      <c r="H305" s="27"/>
      <c r="I305" s="27"/>
      <c r="J305" s="27"/>
      <c r="K305" s="27"/>
      <c r="L305" s="27"/>
      <c r="N305" s="27"/>
      <c r="O305" s="27"/>
      <c r="P305" s="27"/>
      <c r="Q305" s="117" t="s">
        <v>888</v>
      </c>
      <c r="R305" s="27"/>
      <c r="S305" s="27"/>
      <c r="T305" s="141" t="str">
        <f t="shared" si="60"/>
        <v xml:space="preserve"> </v>
      </c>
      <c r="U305" s="27"/>
      <c r="V305" s="27"/>
      <c r="W305" s="27"/>
      <c r="X305" s="27"/>
      <c r="Y305" s="27"/>
      <c r="AE305" s="27"/>
      <c r="BD305" s="97"/>
      <c r="BE305" s="108"/>
      <c r="BF305" s="108"/>
      <c r="BG305" s="97"/>
      <c r="BH305" s="97"/>
      <c r="BI305" s="97"/>
      <c r="BJ305" s="97"/>
      <c r="BK305" s="110"/>
      <c r="BL305" s="97"/>
      <c r="BM305" s="97"/>
      <c r="BN305" s="97"/>
      <c r="BO305" s="142"/>
      <c r="BP305" s="143">
        <f t="shared" si="49"/>
        <v>0</v>
      </c>
      <c r="BQ305" s="142"/>
      <c r="BR305" s="143">
        <f t="shared" si="50"/>
        <v>0</v>
      </c>
      <c r="BS305" s="132"/>
      <c r="BT305" s="146">
        <f t="shared" si="51"/>
        <v>0</v>
      </c>
      <c r="BU305" s="132"/>
      <c r="BV305" s="143">
        <f t="shared" si="52"/>
        <v>0</v>
      </c>
      <c r="BW305" s="132"/>
      <c r="BX305" s="146">
        <f t="shared" si="53"/>
        <v>0</v>
      </c>
      <c r="BY305" s="132"/>
      <c r="BZ305" s="146">
        <f t="shared" si="54"/>
        <v>0</v>
      </c>
      <c r="CA305" s="132"/>
      <c r="CB305" s="146">
        <f t="shared" si="55"/>
        <v>0</v>
      </c>
      <c r="CC305" s="132"/>
      <c r="CD305" s="143">
        <f t="shared" si="56"/>
        <v>0</v>
      </c>
      <c r="CE305" s="132"/>
      <c r="CF305" s="143">
        <f t="shared" si="57"/>
        <v>0</v>
      </c>
      <c r="CG305" s="132"/>
      <c r="CH305" s="143">
        <f t="shared" si="58"/>
        <v>0</v>
      </c>
      <c r="CI305" s="132">
        <f t="shared" si="59"/>
        <v>0</v>
      </c>
      <c r="CJ305" s="143">
        <f t="shared" si="59"/>
        <v>0</v>
      </c>
    </row>
    <row r="306" spans="1:88" x14ac:dyDescent="0.3">
      <c r="A306" s="27"/>
      <c r="B306" s="27"/>
      <c r="C306" s="27"/>
      <c r="D306" s="27"/>
      <c r="E306" s="27"/>
      <c r="F306" s="27"/>
      <c r="G306" s="27"/>
      <c r="H306" s="27"/>
      <c r="I306" s="27"/>
      <c r="J306" s="27"/>
      <c r="K306" s="27"/>
      <c r="L306" s="27"/>
      <c r="N306" s="27"/>
      <c r="O306" s="27"/>
      <c r="P306" s="27"/>
      <c r="Q306" s="117" t="s">
        <v>889</v>
      </c>
      <c r="R306" s="27"/>
      <c r="S306" s="27"/>
      <c r="T306" s="141" t="str">
        <f t="shared" si="60"/>
        <v xml:space="preserve"> </v>
      </c>
      <c r="U306" s="27"/>
      <c r="V306" s="27"/>
      <c r="W306" s="27"/>
      <c r="X306" s="27"/>
      <c r="Y306" s="27"/>
      <c r="AE306" s="27"/>
      <c r="BD306" s="97"/>
      <c r="BE306" s="108"/>
      <c r="BF306" s="108"/>
      <c r="BG306" s="97"/>
      <c r="BH306" s="97"/>
      <c r="BI306" s="97"/>
      <c r="BJ306" s="97"/>
      <c r="BK306" s="110"/>
      <c r="BL306" s="97"/>
      <c r="BM306" s="97"/>
      <c r="BN306" s="97"/>
      <c r="BO306" s="142"/>
      <c r="BP306" s="143">
        <f t="shared" si="49"/>
        <v>0</v>
      </c>
      <c r="BQ306" s="142"/>
      <c r="BR306" s="143">
        <f t="shared" si="50"/>
        <v>0</v>
      </c>
      <c r="BS306" s="132"/>
      <c r="BT306" s="146">
        <f t="shared" si="51"/>
        <v>0</v>
      </c>
      <c r="BU306" s="132"/>
      <c r="BV306" s="143">
        <f t="shared" si="52"/>
        <v>0</v>
      </c>
      <c r="BW306" s="132"/>
      <c r="BX306" s="146">
        <f t="shared" si="53"/>
        <v>0</v>
      </c>
      <c r="BY306" s="132"/>
      <c r="BZ306" s="146">
        <f t="shared" si="54"/>
        <v>0</v>
      </c>
      <c r="CA306" s="132"/>
      <c r="CB306" s="146">
        <f t="shared" si="55"/>
        <v>0</v>
      </c>
      <c r="CC306" s="132"/>
      <c r="CD306" s="143">
        <f t="shared" si="56"/>
        <v>0</v>
      </c>
      <c r="CE306" s="132"/>
      <c r="CF306" s="143">
        <f t="shared" si="57"/>
        <v>0</v>
      </c>
      <c r="CG306" s="132"/>
      <c r="CH306" s="143">
        <f t="shared" si="58"/>
        <v>0</v>
      </c>
      <c r="CI306" s="132">
        <f t="shared" si="59"/>
        <v>0</v>
      </c>
      <c r="CJ306" s="143">
        <f t="shared" si="59"/>
        <v>0</v>
      </c>
    </row>
    <row r="307" spans="1:88" x14ac:dyDescent="0.3">
      <c r="A307" s="27"/>
      <c r="B307" s="27"/>
      <c r="C307" s="27"/>
      <c r="D307" s="27"/>
      <c r="E307" s="27"/>
      <c r="F307" s="27"/>
      <c r="G307" s="27"/>
      <c r="H307" s="27"/>
      <c r="I307" s="27"/>
      <c r="J307" s="27"/>
      <c r="K307" s="27"/>
      <c r="L307" s="27"/>
      <c r="N307" s="27"/>
      <c r="O307" s="27"/>
      <c r="P307" s="27"/>
      <c r="Q307" s="117" t="s">
        <v>890</v>
      </c>
      <c r="R307" s="27"/>
      <c r="S307" s="27"/>
      <c r="T307" s="141" t="str">
        <f t="shared" si="60"/>
        <v xml:space="preserve"> </v>
      </c>
      <c r="U307" s="27"/>
      <c r="V307" s="27"/>
      <c r="W307" s="27"/>
      <c r="X307" s="27"/>
      <c r="Y307" s="27"/>
      <c r="AE307" s="27"/>
      <c r="BD307" s="97"/>
      <c r="BE307" s="108"/>
      <c r="BF307" s="108"/>
      <c r="BG307" s="97"/>
      <c r="BH307" s="97"/>
      <c r="BI307" s="97"/>
      <c r="BJ307" s="97"/>
      <c r="BK307" s="110"/>
      <c r="BL307" s="97"/>
      <c r="BM307" s="97"/>
      <c r="BN307" s="97"/>
      <c r="BO307" s="142"/>
      <c r="BP307" s="143">
        <f t="shared" si="49"/>
        <v>0</v>
      </c>
      <c r="BQ307" s="142"/>
      <c r="BR307" s="143">
        <f t="shared" si="50"/>
        <v>0</v>
      </c>
      <c r="BS307" s="132"/>
      <c r="BT307" s="146">
        <f t="shared" si="51"/>
        <v>0</v>
      </c>
      <c r="BU307" s="132"/>
      <c r="BV307" s="143">
        <f t="shared" si="52"/>
        <v>0</v>
      </c>
      <c r="BW307" s="132"/>
      <c r="BX307" s="146">
        <f t="shared" si="53"/>
        <v>0</v>
      </c>
      <c r="BY307" s="132"/>
      <c r="BZ307" s="146">
        <f t="shared" si="54"/>
        <v>0</v>
      </c>
      <c r="CA307" s="132"/>
      <c r="CB307" s="146">
        <f t="shared" si="55"/>
        <v>0</v>
      </c>
      <c r="CC307" s="132"/>
      <c r="CD307" s="143">
        <f t="shared" si="56"/>
        <v>0</v>
      </c>
      <c r="CE307" s="132"/>
      <c r="CF307" s="143">
        <f t="shared" si="57"/>
        <v>0</v>
      </c>
      <c r="CG307" s="132"/>
      <c r="CH307" s="143">
        <f t="shared" si="58"/>
        <v>0</v>
      </c>
      <c r="CI307" s="132">
        <f t="shared" si="59"/>
        <v>0</v>
      </c>
      <c r="CJ307" s="143">
        <f t="shared" si="59"/>
        <v>0</v>
      </c>
    </row>
    <row r="308" spans="1:88" x14ac:dyDescent="0.3">
      <c r="A308" s="27"/>
      <c r="B308" s="27"/>
      <c r="C308" s="27"/>
      <c r="D308" s="27"/>
      <c r="E308" s="27"/>
      <c r="F308" s="27"/>
      <c r="G308" s="27"/>
      <c r="H308" s="27"/>
      <c r="I308" s="27"/>
      <c r="J308" s="27"/>
      <c r="K308" s="27"/>
      <c r="L308" s="27"/>
      <c r="N308" s="27"/>
      <c r="O308" s="27"/>
      <c r="P308" s="27"/>
      <c r="Q308" s="117" t="s">
        <v>891</v>
      </c>
      <c r="R308" s="27"/>
      <c r="S308" s="27"/>
      <c r="T308" s="141" t="str">
        <f t="shared" si="60"/>
        <v xml:space="preserve"> </v>
      </c>
      <c r="U308" s="27"/>
      <c r="V308" s="27"/>
      <c r="W308" s="27"/>
      <c r="X308" s="27"/>
      <c r="Y308" s="27"/>
      <c r="AE308" s="27"/>
      <c r="BD308" s="97"/>
      <c r="BE308" s="108"/>
      <c r="BF308" s="108"/>
      <c r="BG308" s="97"/>
      <c r="BH308" s="97"/>
      <c r="BI308" s="97"/>
      <c r="BJ308" s="97"/>
      <c r="BK308" s="110"/>
      <c r="BL308" s="97"/>
      <c r="BM308" s="97"/>
      <c r="BN308" s="97"/>
      <c r="BO308" s="142"/>
      <c r="BP308" s="143">
        <f t="shared" si="49"/>
        <v>0</v>
      </c>
      <c r="BQ308" s="142"/>
      <c r="BR308" s="143">
        <f t="shared" si="50"/>
        <v>0</v>
      </c>
      <c r="BS308" s="132"/>
      <c r="BT308" s="146">
        <f t="shared" si="51"/>
        <v>0</v>
      </c>
      <c r="BU308" s="132"/>
      <c r="BV308" s="143">
        <f t="shared" si="52"/>
        <v>0</v>
      </c>
      <c r="BW308" s="132"/>
      <c r="BX308" s="146">
        <f t="shared" si="53"/>
        <v>0</v>
      </c>
      <c r="BY308" s="132"/>
      <c r="BZ308" s="146">
        <f t="shared" si="54"/>
        <v>0</v>
      </c>
      <c r="CA308" s="132"/>
      <c r="CB308" s="146">
        <f t="shared" si="55"/>
        <v>0</v>
      </c>
      <c r="CC308" s="132"/>
      <c r="CD308" s="143">
        <f t="shared" si="56"/>
        <v>0</v>
      </c>
      <c r="CE308" s="132"/>
      <c r="CF308" s="143">
        <f t="shared" si="57"/>
        <v>0</v>
      </c>
      <c r="CG308" s="132"/>
      <c r="CH308" s="143">
        <f t="shared" si="58"/>
        <v>0</v>
      </c>
      <c r="CI308" s="132">
        <f t="shared" si="59"/>
        <v>0</v>
      </c>
      <c r="CJ308" s="143">
        <f t="shared" si="59"/>
        <v>0</v>
      </c>
    </row>
    <row r="309" spans="1:88" x14ac:dyDescent="0.3">
      <c r="A309" s="27"/>
      <c r="B309" s="27"/>
      <c r="C309" s="27"/>
      <c r="D309" s="27"/>
      <c r="E309" s="27"/>
      <c r="F309" s="27"/>
      <c r="G309" s="27"/>
      <c r="H309" s="27"/>
      <c r="I309" s="27"/>
      <c r="J309" s="27"/>
      <c r="K309" s="27"/>
      <c r="L309" s="27"/>
      <c r="N309" s="27"/>
      <c r="O309" s="27"/>
      <c r="P309" s="27"/>
      <c r="Q309" s="117" t="s">
        <v>892</v>
      </c>
      <c r="R309" s="27"/>
      <c r="S309" s="27"/>
      <c r="T309" s="141" t="str">
        <f t="shared" si="60"/>
        <v xml:space="preserve"> </v>
      </c>
      <c r="U309" s="27"/>
      <c r="V309" s="27"/>
      <c r="W309" s="27"/>
      <c r="X309" s="27"/>
      <c r="Y309" s="27"/>
      <c r="AE309" s="27"/>
      <c r="BD309" s="97"/>
      <c r="BE309" s="108"/>
      <c r="BF309" s="108"/>
      <c r="BG309" s="97"/>
      <c r="BH309" s="97"/>
      <c r="BI309" s="97"/>
      <c r="BJ309" s="97"/>
      <c r="BK309" s="110"/>
      <c r="BL309" s="97"/>
      <c r="BM309" s="97"/>
      <c r="BN309" s="97"/>
      <c r="BO309" s="142"/>
      <c r="BP309" s="143">
        <f t="shared" si="49"/>
        <v>0</v>
      </c>
      <c r="BQ309" s="142"/>
      <c r="BR309" s="143">
        <f t="shared" si="50"/>
        <v>0</v>
      </c>
      <c r="BS309" s="132"/>
      <c r="BT309" s="146">
        <f t="shared" si="51"/>
        <v>0</v>
      </c>
      <c r="BU309" s="132"/>
      <c r="BV309" s="143">
        <f t="shared" si="52"/>
        <v>0</v>
      </c>
      <c r="BW309" s="132"/>
      <c r="BX309" s="146">
        <f t="shared" si="53"/>
        <v>0</v>
      </c>
      <c r="BY309" s="132"/>
      <c r="BZ309" s="146">
        <f t="shared" si="54"/>
        <v>0</v>
      </c>
      <c r="CA309" s="132"/>
      <c r="CB309" s="146">
        <f t="shared" si="55"/>
        <v>0</v>
      </c>
      <c r="CC309" s="132"/>
      <c r="CD309" s="143">
        <f t="shared" si="56"/>
        <v>0</v>
      </c>
      <c r="CE309" s="132"/>
      <c r="CF309" s="143">
        <f t="shared" si="57"/>
        <v>0</v>
      </c>
      <c r="CG309" s="132"/>
      <c r="CH309" s="143">
        <f t="shared" si="58"/>
        <v>0</v>
      </c>
      <c r="CI309" s="132">
        <f t="shared" si="59"/>
        <v>0</v>
      </c>
      <c r="CJ309" s="143">
        <f t="shared" si="59"/>
        <v>0</v>
      </c>
    </row>
    <row r="310" spans="1:88" x14ac:dyDescent="0.3">
      <c r="A310" s="27"/>
      <c r="B310" s="27"/>
      <c r="C310" s="27"/>
      <c r="D310" s="27"/>
      <c r="E310" s="27"/>
      <c r="F310" s="27"/>
      <c r="G310" s="27"/>
      <c r="H310" s="27"/>
      <c r="I310" s="27"/>
      <c r="J310" s="27"/>
      <c r="K310" s="27"/>
      <c r="L310" s="27"/>
      <c r="N310" s="27"/>
      <c r="O310" s="27"/>
      <c r="P310" s="27"/>
      <c r="Q310" s="117" t="s">
        <v>893</v>
      </c>
      <c r="R310" s="27"/>
      <c r="S310" s="27"/>
      <c r="T310" s="141" t="str">
        <f t="shared" si="60"/>
        <v xml:space="preserve"> </v>
      </c>
      <c r="U310" s="27"/>
      <c r="V310" s="27"/>
      <c r="W310" s="27"/>
      <c r="X310" s="27"/>
      <c r="Y310" s="27"/>
      <c r="AE310" s="27"/>
      <c r="BD310" s="97"/>
      <c r="BE310" s="108"/>
      <c r="BF310" s="108"/>
      <c r="BG310" s="97"/>
      <c r="BH310" s="97"/>
      <c r="BI310" s="97"/>
      <c r="BJ310" s="97"/>
      <c r="BK310" s="110"/>
      <c r="BL310" s="97"/>
      <c r="BM310" s="97"/>
      <c r="BN310" s="97"/>
      <c r="BO310" s="142"/>
      <c r="BP310" s="143">
        <f t="shared" si="49"/>
        <v>0</v>
      </c>
      <c r="BQ310" s="142"/>
      <c r="BR310" s="143">
        <f t="shared" si="50"/>
        <v>0</v>
      </c>
      <c r="BS310" s="132"/>
      <c r="BT310" s="146">
        <f t="shared" si="51"/>
        <v>0</v>
      </c>
      <c r="BU310" s="132"/>
      <c r="BV310" s="143">
        <f t="shared" si="52"/>
        <v>0</v>
      </c>
      <c r="BW310" s="132"/>
      <c r="BX310" s="146">
        <f t="shared" si="53"/>
        <v>0</v>
      </c>
      <c r="BY310" s="132"/>
      <c r="BZ310" s="146">
        <f t="shared" si="54"/>
        <v>0</v>
      </c>
      <c r="CA310" s="132"/>
      <c r="CB310" s="146">
        <f t="shared" si="55"/>
        <v>0</v>
      </c>
      <c r="CC310" s="132"/>
      <c r="CD310" s="143">
        <f t="shared" si="56"/>
        <v>0</v>
      </c>
      <c r="CE310" s="132"/>
      <c r="CF310" s="143">
        <f t="shared" si="57"/>
        <v>0</v>
      </c>
      <c r="CG310" s="132"/>
      <c r="CH310" s="143">
        <f t="shared" si="58"/>
        <v>0</v>
      </c>
      <c r="CI310" s="132">
        <f t="shared" si="59"/>
        <v>0</v>
      </c>
      <c r="CJ310" s="143">
        <f t="shared" si="59"/>
        <v>0</v>
      </c>
    </row>
    <row r="311" spans="1:88" x14ac:dyDescent="0.3">
      <c r="A311" s="27"/>
      <c r="B311" s="27"/>
      <c r="C311" s="27"/>
      <c r="D311" s="27"/>
      <c r="E311" s="27"/>
      <c r="F311" s="27"/>
      <c r="G311" s="27"/>
      <c r="H311" s="27"/>
      <c r="I311" s="27"/>
      <c r="J311" s="27"/>
      <c r="K311" s="27"/>
      <c r="L311" s="27"/>
      <c r="N311" s="27"/>
      <c r="O311" s="27"/>
      <c r="P311" s="27"/>
      <c r="Q311" s="117" t="s">
        <v>894</v>
      </c>
      <c r="R311" s="27"/>
      <c r="S311" s="27"/>
      <c r="T311" s="141" t="str">
        <f t="shared" si="60"/>
        <v xml:space="preserve"> </v>
      </c>
      <c r="U311" s="27"/>
      <c r="V311" s="27"/>
      <c r="W311" s="27"/>
      <c r="X311" s="27"/>
      <c r="Y311" s="27"/>
      <c r="AE311" s="27"/>
      <c r="BD311" s="97"/>
      <c r="BE311" s="108"/>
      <c r="BF311" s="108"/>
      <c r="BG311" s="97"/>
      <c r="BH311" s="97"/>
      <c r="BI311" s="97"/>
      <c r="BJ311" s="97"/>
      <c r="BK311" s="110"/>
      <c r="BL311" s="97"/>
      <c r="BM311" s="97"/>
      <c r="BN311" s="97"/>
      <c r="BO311" s="142"/>
      <c r="BP311" s="143">
        <f t="shared" si="49"/>
        <v>0</v>
      </c>
      <c r="BQ311" s="142"/>
      <c r="BR311" s="143">
        <f t="shared" si="50"/>
        <v>0</v>
      </c>
      <c r="BS311" s="132"/>
      <c r="BT311" s="146">
        <f t="shared" si="51"/>
        <v>0</v>
      </c>
      <c r="BU311" s="132"/>
      <c r="BV311" s="143">
        <f t="shared" si="52"/>
        <v>0</v>
      </c>
      <c r="BW311" s="132"/>
      <c r="BX311" s="146">
        <f t="shared" si="53"/>
        <v>0</v>
      </c>
      <c r="BY311" s="132"/>
      <c r="BZ311" s="146">
        <f t="shared" si="54"/>
        <v>0</v>
      </c>
      <c r="CA311" s="132"/>
      <c r="CB311" s="146">
        <f t="shared" si="55"/>
        <v>0</v>
      </c>
      <c r="CC311" s="132"/>
      <c r="CD311" s="143">
        <f t="shared" si="56"/>
        <v>0</v>
      </c>
      <c r="CE311" s="132"/>
      <c r="CF311" s="143">
        <f t="shared" si="57"/>
        <v>0</v>
      </c>
      <c r="CG311" s="132"/>
      <c r="CH311" s="143">
        <f t="shared" si="58"/>
        <v>0</v>
      </c>
      <c r="CI311" s="132">
        <f t="shared" si="59"/>
        <v>0</v>
      </c>
      <c r="CJ311" s="143">
        <f t="shared" si="59"/>
        <v>0</v>
      </c>
    </row>
    <row r="312" spans="1:88" x14ac:dyDescent="0.3">
      <c r="A312" s="27"/>
      <c r="B312" s="27"/>
      <c r="C312" s="27"/>
      <c r="D312" s="27"/>
      <c r="E312" s="27"/>
      <c r="F312" s="27"/>
      <c r="G312" s="27"/>
      <c r="H312" s="27"/>
      <c r="I312" s="27"/>
      <c r="J312" s="27"/>
      <c r="K312" s="27"/>
      <c r="L312" s="27"/>
      <c r="N312" s="27"/>
      <c r="O312" s="27"/>
      <c r="P312" s="27"/>
      <c r="Q312" s="117" t="s">
        <v>895</v>
      </c>
      <c r="R312" s="27"/>
      <c r="S312" s="27"/>
      <c r="T312" s="141" t="str">
        <f t="shared" si="60"/>
        <v xml:space="preserve"> </v>
      </c>
      <c r="U312" s="27"/>
      <c r="V312" s="27"/>
      <c r="W312" s="27"/>
      <c r="X312" s="27"/>
      <c r="Y312" s="27"/>
      <c r="AE312" s="27"/>
      <c r="BD312" s="97"/>
      <c r="BE312" s="108"/>
      <c r="BF312" s="108"/>
      <c r="BG312" s="97"/>
      <c r="BH312" s="97"/>
      <c r="BI312" s="97"/>
      <c r="BJ312" s="97"/>
      <c r="BK312" s="110"/>
      <c r="BL312" s="97"/>
      <c r="BM312" s="97"/>
      <c r="BN312" s="97"/>
      <c r="BO312" s="142"/>
      <c r="BP312" s="143">
        <f t="shared" si="49"/>
        <v>0</v>
      </c>
      <c r="BQ312" s="142"/>
      <c r="BR312" s="143">
        <f t="shared" si="50"/>
        <v>0</v>
      </c>
      <c r="BS312" s="132"/>
      <c r="BT312" s="146">
        <f t="shared" si="51"/>
        <v>0</v>
      </c>
      <c r="BU312" s="132"/>
      <c r="BV312" s="143">
        <f t="shared" si="52"/>
        <v>0</v>
      </c>
      <c r="BW312" s="132"/>
      <c r="BX312" s="146">
        <f t="shared" si="53"/>
        <v>0</v>
      </c>
      <c r="BY312" s="132"/>
      <c r="BZ312" s="146">
        <f t="shared" si="54"/>
        <v>0</v>
      </c>
      <c r="CA312" s="132"/>
      <c r="CB312" s="146">
        <f t="shared" si="55"/>
        <v>0</v>
      </c>
      <c r="CC312" s="132"/>
      <c r="CD312" s="143">
        <f t="shared" si="56"/>
        <v>0</v>
      </c>
      <c r="CE312" s="132"/>
      <c r="CF312" s="143">
        <f t="shared" si="57"/>
        <v>0</v>
      </c>
      <c r="CG312" s="132"/>
      <c r="CH312" s="143">
        <f t="shared" si="58"/>
        <v>0</v>
      </c>
      <c r="CI312" s="132">
        <f t="shared" si="59"/>
        <v>0</v>
      </c>
      <c r="CJ312" s="143">
        <f t="shared" si="59"/>
        <v>0</v>
      </c>
    </row>
    <row r="313" spans="1:88" x14ac:dyDescent="0.3">
      <c r="A313" s="27"/>
      <c r="B313" s="27"/>
      <c r="C313" s="27"/>
      <c r="D313" s="27"/>
      <c r="E313" s="27"/>
      <c r="F313" s="27"/>
      <c r="G313" s="27"/>
      <c r="H313" s="27"/>
      <c r="I313" s="27"/>
      <c r="J313" s="27"/>
      <c r="K313" s="27"/>
      <c r="L313" s="27"/>
      <c r="N313" s="27"/>
      <c r="O313" s="27"/>
      <c r="P313" s="27"/>
      <c r="Q313" s="117" t="s">
        <v>896</v>
      </c>
      <c r="R313" s="27"/>
      <c r="S313" s="27"/>
      <c r="T313" s="141" t="str">
        <f t="shared" si="60"/>
        <v xml:space="preserve"> </v>
      </c>
      <c r="U313" s="27"/>
      <c r="V313" s="27"/>
      <c r="W313" s="27"/>
      <c r="X313" s="27"/>
      <c r="Y313" s="27"/>
      <c r="AE313" s="27"/>
      <c r="BD313" s="97"/>
      <c r="BE313" s="108"/>
      <c r="BF313" s="108"/>
      <c r="BG313" s="97"/>
      <c r="BH313" s="97"/>
      <c r="BI313" s="97"/>
      <c r="BJ313" s="97"/>
      <c r="BK313" s="110"/>
      <c r="BL313" s="97"/>
      <c r="BM313" s="97"/>
      <c r="BN313" s="97"/>
      <c r="BO313" s="142"/>
      <c r="BP313" s="143">
        <f t="shared" si="49"/>
        <v>0</v>
      </c>
      <c r="BQ313" s="142"/>
      <c r="BR313" s="143">
        <f t="shared" si="50"/>
        <v>0</v>
      </c>
      <c r="BS313" s="132"/>
      <c r="BT313" s="146">
        <f t="shared" si="51"/>
        <v>0</v>
      </c>
      <c r="BU313" s="132"/>
      <c r="BV313" s="143">
        <f t="shared" si="52"/>
        <v>0</v>
      </c>
      <c r="BW313" s="132"/>
      <c r="BX313" s="146">
        <f t="shared" si="53"/>
        <v>0</v>
      </c>
      <c r="BY313" s="132"/>
      <c r="BZ313" s="146">
        <f t="shared" si="54"/>
        <v>0</v>
      </c>
      <c r="CA313" s="132"/>
      <c r="CB313" s="146">
        <f t="shared" si="55"/>
        <v>0</v>
      </c>
      <c r="CC313" s="132"/>
      <c r="CD313" s="143">
        <f t="shared" si="56"/>
        <v>0</v>
      </c>
      <c r="CE313" s="132"/>
      <c r="CF313" s="143">
        <f t="shared" si="57"/>
        <v>0</v>
      </c>
      <c r="CG313" s="132"/>
      <c r="CH313" s="143">
        <f t="shared" si="58"/>
        <v>0</v>
      </c>
      <c r="CI313" s="132">
        <f t="shared" si="59"/>
        <v>0</v>
      </c>
      <c r="CJ313" s="143">
        <f t="shared" si="59"/>
        <v>0</v>
      </c>
    </row>
    <row r="314" spans="1:88" x14ac:dyDescent="0.3">
      <c r="A314" s="27"/>
      <c r="B314" s="27"/>
      <c r="C314" s="27"/>
      <c r="D314" s="27"/>
      <c r="E314" s="27"/>
      <c r="F314" s="27"/>
      <c r="G314" s="27"/>
      <c r="H314" s="27"/>
      <c r="I314" s="27"/>
      <c r="J314" s="27"/>
      <c r="K314" s="27"/>
      <c r="L314" s="27"/>
      <c r="N314" s="27"/>
      <c r="O314" s="27"/>
      <c r="P314" s="27"/>
      <c r="Q314" s="117" t="s">
        <v>897</v>
      </c>
      <c r="R314" s="27"/>
      <c r="S314" s="27"/>
      <c r="T314" s="141" t="str">
        <f t="shared" si="60"/>
        <v xml:space="preserve"> </v>
      </c>
      <c r="U314" s="27"/>
      <c r="V314" s="27"/>
      <c r="W314" s="27"/>
      <c r="X314" s="27"/>
      <c r="Y314" s="27"/>
      <c r="AE314" s="27"/>
      <c r="BD314" s="97"/>
      <c r="BE314" s="108"/>
      <c r="BF314" s="108"/>
      <c r="BG314" s="97"/>
      <c r="BH314" s="97"/>
      <c r="BI314" s="97"/>
      <c r="BJ314" s="97"/>
      <c r="BK314" s="110"/>
      <c r="BL314" s="97"/>
      <c r="BM314" s="97"/>
      <c r="BN314" s="97"/>
      <c r="BO314" s="142"/>
      <c r="BP314" s="143">
        <f t="shared" si="49"/>
        <v>0</v>
      </c>
      <c r="BQ314" s="142"/>
      <c r="BR314" s="143">
        <f t="shared" si="50"/>
        <v>0</v>
      </c>
      <c r="BS314" s="132"/>
      <c r="BT314" s="146">
        <f t="shared" si="51"/>
        <v>0</v>
      </c>
      <c r="BU314" s="132"/>
      <c r="BV314" s="143">
        <f t="shared" si="52"/>
        <v>0</v>
      </c>
      <c r="BW314" s="132"/>
      <c r="BX314" s="146">
        <f t="shared" si="53"/>
        <v>0</v>
      </c>
      <c r="BY314" s="132"/>
      <c r="BZ314" s="146">
        <f t="shared" si="54"/>
        <v>0</v>
      </c>
      <c r="CA314" s="132"/>
      <c r="CB314" s="146">
        <f t="shared" si="55"/>
        <v>0</v>
      </c>
      <c r="CC314" s="132"/>
      <c r="CD314" s="143">
        <f t="shared" si="56"/>
        <v>0</v>
      </c>
      <c r="CE314" s="132"/>
      <c r="CF314" s="143">
        <f t="shared" si="57"/>
        <v>0</v>
      </c>
      <c r="CG314" s="132"/>
      <c r="CH314" s="143">
        <f t="shared" si="58"/>
        <v>0</v>
      </c>
      <c r="CI314" s="132">
        <f t="shared" si="59"/>
        <v>0</v>
      </c>
      <c r="CJ314" s="143">
        <f t="shared" si="59"/>
        <v>0</v>
      </c>
    </row>
    <row r="315" spans="1:88" x14ac:dyDescent="0.3">
      <c r="A315" s="27"/>
      <c r="B315" s="27"/>
      <c r="C315" s="27"/>
      <c r="D315" s="27"/>
      <c r="E315" s="27"/>
      <c r="F315" s="27"/>
      <c r="G315" s="27"/>
      <c r="H315" s="27"/>
      <c r="I315" s="27"/>
      <c r="J315" s="27"/>
      <c r="K315" s="27"/>
      <c r="L315" s="27"/>
      <c r="N315" s="27"/>
      <c r="O315" s="27"/>
      <c r="P315" s="27"/>
      <c r="Q315" s="117" t="s">
        <v>387</v>
      </c>
      <c r="R315" s="27"/>
      <c r="S315" s="27"/>
      <c r="T315" s="141" t="str">
        <f t="shared" si="60"/>
        <v xml:space="preserve"> </v>
      </c>
      <c r="U315" s="27"/>
      <c r="V315" s="27"/>
      <c r="W315" s="27"/>
      <c r="X315" s="27"/>
      <c r="Y315" s="27"/>
      <c r="AE315" s="27"/>
      <c r="BD315" s="97"/>
      <c r="BE315" s="108"/>
      <c r="BF315" s="108"/>
      <c r="BG315" s="97"/>
      <c r="BH315" s="97"/>
      <c r="BI315" s="97"/>
      <c r="BJ315" s="97"/>
      <c r="BK315" s="110"/>
      <c r="BL315" s="97"/>
      <c r="BM315" s="97"/>
      <c r="BN315" s="97"/>
      <c r="BO315" s="142"/>
      <c r="BP315" s="143">
        <f t="shared" si="49"/>
        <v>0</v>
      </c>
      <c r="BQ315" s="142"/>
      <c r="BR315" s="143">
        <f t="shared" si="50"/>
        <v>0</v>
      </c>
      <c r="BS315" s="132"/>
      <c r="BT315" s="146">
        <f t="shared" si="51"/>
        <v>0</v>
      </c>
      <c r="BU315" s="132"/>
      <c r="BV315" s="143">
        <f t="shared" si="52"/>
        <v>0</v>
      </c>
      <c r="BW315" s="132"/>
      <c r="BX315" s="146">
        <f t="shared" si="53"/>
        <v>0</v>
      </c>
      <c r="BY315" s="132"/>
      <c r="BZ315" s="146">
        <f t="shared" si="54"/>
        <v>0</v>
      </c>
      <c r="CA315" s="132"/>
      <c r="CB315" s="146">
        <f t="shared" si="55"/>
        <v>0</v>
      </c>
      <c r="CC315" s="132"/>
      <c r="CD315" s="143">
        <f t="shared" si="56"/>
        <v>0</v>
      </c>
      <c r="CE315" s="132"/>
      <c r="CF315" s="143">
        <f t="shared" si="57"/>
        <v>0</v>
      </c>
      <c r="CG315" s="132"/>
      <c r="CH315" s="143">
        <f t="shared" si="58"/>
        <v>0</v>
      </c>
      <c r="CI315" s="132">
        <f t="shared" si="59"/>
        <v>0</v>
      </c>
      <c r="CJ315" s="143">
        <f t="shared" si="59"/>
        <v>0</v>
      </c>
    </row>
    <row r="316" spans="1:88" x14ac:dyDescent="0.3">
      <c r="A316" s="27"/>
      <c r="B316" s="27"/>
      <c r="C316" s="27"/>
      <c r="D316" s="27"/>
      <c r="E316" s="27"/>
      <c r="F316" s="27"/>
      <c r="G316" s="27"/>
      <c r="H316" s="27"/>
      <c r="I316" s="27"/>
      <c r="J316" s="27"/>
      <c r="K316" s="27"/>
      <c r="L316" s="27"/>
      <c r="N316" s="27"/>
      <c r="O316" s="27"/>
      <c r="P316" s="27"/>
      <c r="Q316" s="117" t="s">
        <v>898</v>
      </c>
      <c r="R316" s="27"/>
      <c r="S316" s="27"/>
      <c r="T316" s="141" t="str">
        <f t="shared" si="60"/>
        <v xml:space="preserve"> </v>
      </c>
      <c r="U316" s="27"/>
      <c r="V316" s="27"/>
      <c r="W316" s="27"/>
      <c r="X316" s="27"/>
      <c r="Y316" s="27"/>
      <c r="AE316" s="27"/>
      <c r="BD316" s="97"/>
      <c r="BE316" s="108"/>
      <c r="BF316" s="108"/>
      <c r="BG316" s="97"/>
      <c r="BH316" s="97"/>
      <c r="BI316" s="97"/>
      <c r="BJ316" s="97"/>
      <c r="BK316" s="110"/>
      <c r="BL316" s="97"/>
      <c r="BM316" s="97"/>
      <c r="BN316" s="97"/>
      <c r="BO316" s="142"/>
      <c r="BP316" s="143">
        <f t="shared" si="49"/>
        <v>0</v>
      </c>
      <c r="BQ316" s="142"/>
      <c r="BR316" s="143">
        <f t="shared" si="50"/>
        <v>0</v>
      </c>
      <c r="BS316" s="132"/>
      <c r="BT316" s="146">
        <f t="shared" si="51"/>
        <v>0</v>
      </c>
      <c r="BU316" s="132"/>
      <c r="BV316" s="143">
        <f t="shared" si="52"/>
        <v>0</v>
      </c>
      <c r="BW316" s="132"/>
      <c r="BX316" s="146">
        <f t="shared" si="53"/>
        <v>0</v>
      </c>
      <c r="BY316" s="132"/>
      <c r="BZ316" s="146">
        <f t="shared" si="54"/>
        <v>0</v>
      </c>
      <c r="CA316" s="132"/>
      <c r="CB316" s="146">
        <f t="shared" si="55"/>
        <v>0</v>
      </c>
      <c r="CC316" s="132"/>
      <c r="CD316" s="143">
        <f t="shared" si="56"/>
        <v>0</v>
      </c>
      <c r="CE316" s="132"/>
      <c r="CF316" s="143">
        <f t="shared" si="57"/>
        <v>0</v>
      </c>
      <c r="CG316" s="132"/>
      <c r="CH316" s="143">
        <f t="shared" si="58"/>
        <v>0</v>
      </c>
      <c r="CI316" s="132">
        <f t="shared" si="59"/>
        <v>0</v>
      </c>
      <c r="CJ316" s="143">
        <f t="shared" si="59"/>
        <v>0</v>
      </c>
    </row>
    <row r="317" spans="1:88" x14ac:dyDescent="0.3">
      <c r="A317" s="27"/>
      <c r="B317" s="27"/>
      <c r="C317" s="27"/>
      <c r="D317" s="27"/>
      <c r="E317" s="27"/>
      <c r="F317" s="27"/>
      <c r="G317" s="27"/>
      <c r="H317" s="27"/>
      <c r="I317" s="27"/>
      <c r="J317" s="27"/>
      <c r="K317" s="27"/>
      <c r="L317" s="27"/>
      <c r="N317" s="27"/>
      <c r="O317" s="27"/>
      <c r="P317" s="27"/>
      <c r="Q317" s="117" t="s">
        <v>899</v>
      </c>
      <c r="R317" s="27"/>
      <c r="S317" s="27"/>
      <c r="T317" s="141" t="str">
        <f t="shared" si="60"/>
        <v xml:space="preserve"> </v>
      </c>
      <c r="U317" s="27"/>
      <c r="V317" s="27"/>
      <c r="W317" s="27"/>
      <c r="X317" s="27"/>
      <c r="Y317" s="27"/>
      <c r="AE317" s="27"/>
      <c r="BD317" s="97"/>
      <c r="BE317" s="108"/>
      <c r="BF317" s="108"/>
      <c r="BG317" s="97"/>
      <c r="BH317" s="97"/>
      <c r="BI317" s="97"/>
      <c r="BJ317" s="97"/>
      <c r="BK317" s="110"/>
      <c r="BL317" s="97"/>
      <c r="BM317" s="97"/>
      <c r="BN317" s="97"/>
      <c r="BO317" s="142"/>
      <c r="BP317" s="143">
        <f t="shared" si="49"/>
        <v>0</v>
      </c>
      <c r="BQ317" s="142"/>
      <c r="BR317" s="143">
        <f t="shared" si="50"/>
        <v>0</v>
      </c>
      <c r="BS317" s="132"/>
      <c r="BT317" s="146">
        <f t="shared" si="51"/>
        <v>0</v>
      </c>
      <c r="BU317" s="132"/>
      <c r="BV317" s="143">
        <f t="shared" si="52"/>
        <v>0</v>
      </c>
      <c r="BW317" s="132"/>
      <c r="BX317" s="146">
        <f t="shared" si="53"/>
        <v>0</v>
      </c>
      <c r="BY317" s="132"/>
      <c r="BZ317" s="146">
        <f t="shared" si="54"/>
        <v>0</v>
      </c>
      <c r="CA317" s="132"/>
      <c r="CB317" s="146">
        <f t="shared" si="55"/>
        <v>0</v>
      </c>
      <c r="CC317" s="132"/>
      <c r="CD317" s="143">
        <f t="shared" si="56"/>
        <v>0</v>
      </c>
      <c r="CE317" s="132"/>
      <c r="CF317" s="143">
        <f t="shared" si="57"/>
        <v>0</v>
      </c>
      <c r="CG317" s="132"/>
      <c r="CH317" s="143">
        <f t="shared" si="58"/>
        <v>0</v>
      </c>
      <c r="CI317" s="132">
        <f t="shared" si="59"/>
        <v>0</v>
      </c>
      <c r="CJ317" s="143">
        <f t="shared" si="59"/>
        <v>0</v>
      </c>
    </row>
    <row r="318" spans="1:88" x14ac:dyDescent="0.3">
      <c r="A318" s="27"/>
      <c r="B318" s="27"/>
      <c r="C318" s="27"/>
      <c r="D318" s="27"/>
      <c r="E318" s="27"/>
      <c r="F318" s="27"/>
      <c r="G318" s="27"/>
      <c r="H318" s="27"/>
      <c r="I318" s="27"/>
      <c r="J318" s="27"/>
      <c r="K318" s="27"/>
      <c r="L318" s="27"/>
      <c r="N318" s="27"/>
      <c r="O318" s="27"/>
      <c r="P318" s="27"/>
      <c r="Q318" s="117" t="s">
        <v>900</v>
      </c>
      <c r="R318" s="27"/>
      <c r="S318" s="27"/>
      <c r="T318" s="141" t="str">
        <f t="shared" si="60"/>
        <v xml:space="preserve"> </v>
      </c>
      <c r="U318" s="27"/>
      <c r="V318" s="27"/>
      <c r="W318" s="27"/>
      <c r="X318" s="27"/>
      <c r="Y318" s="27"/>
      <c r="AE318" s="27"/>
      <c r="BD318" s="97"/>
      <c r="BE318" s="108"/>
      <c r="BF318" s="108"/>
      <c r="BG318" s="97"/>
      <c r="BH318" s="97"/>
      <c r="BI318" s="97"/>
      <c r="BJ318" s="97"/>
      <c r="BK318" s="110"/>
      <c r="BL318" s="97"/>
      <c r="BM318" s="97"/>
      <c r="BN318" s="97"/>
      <c r="BO318" s="142"/>
      <c r="BP318" s="143">
        <f t="shared" si="49"/>
        <v>0</v>
      </c>
      <c r="BQ318" s="142"/>
      <c r="BR318" s="143">
        <f t="shared" si="50"/>
        <v>0</v>
      </c>
      <c r="BS318" s="132"/>
      <c r="BT318" s="146">
        <f t="shared" si="51"/>
        <v>0</v>
      </c>
      <c r="BU318" s="132"/>
      <c r="BV318" s="143">
        <f t="shared" si="52"/>
        <v>0</v>
      </c>
      <c r="BW318" s="132"/>
      <c r="BX318" s="146">
        <f t="shared" si="53"/>
        <v>0</v>
      </c>
      <c r="BY318" s="132"/>
      <c r="BZ318" s="146">
        <f t="shared" si="54"/>
        <v>0</v>
      </c>
      <c r="CA318" s="132"/>
      <c r="CB318" s="146">
        <f t="shared" si="55"/>
        <v>0</v>
      </c>
      <c r="CC318" s="132"/>
      <c r="CD318" s="143">
        <f t="shared" si="56"/>
        <v>0</v>
      </c>
      <c r="CE318" s="132"/>
      <c r="CF318" s="143">
        <f t="shared" si="57"/>
        <v>0</v>
      </c>
      <c r="CG318" s="132"/>
      <c r="CH318" s="143">
        <f t="shared" si="58"/>
        <v>0</v>
      </c>
      <c r="CI318" s="132">
        <f t="shared" si="59"/>
        <v>0</v>
      </c>
      <c r="CJ318" s="143">
        <f t="shared" si="59"/>
        <v>0</v>
      </c>
    </row>
    <row r="319" spans="1:88" x14ac:dyDescent="0.3">
      <c r="A319" s="27"/>
      <c r="B319" s="27"/>
      <c r="C319" s="27"/>
      <c r="D319" s="27"/>
      <c r="E319" s="27"/>
      <c r="F319" s="27"/>
      <c r="G319" s="27"/>
      <c r="H319" s="27"/>
      <c r="I319" s="27"/>
      <c r="J319" s="27"/>
      <c r="K319" s="27"/>
      <c r="L319" s="27"/>
      <c r="N319" s="27"/>
      <c r="O319" s="27"/>
      <c r="P319" s="27"/>
      <c r="Q319" s="117" t="s">
        <v>901</v>
      </c>
      <c r="R319" s="27"/>
      <c r="S319" s="27"/>
      <c r="T319" s="141" t="str">
        <f t="shared" si="60"/>
        <v xml:space="preserve"> </v>
      </c>
      <c r="U319" s="27"/>
      <c r="V319" s="27"/>
      <c r="W319" s="27"/>
      <c r="X319" s="27"/>
      <c r="Y319" s="27"/>
      <c r="AE319" s="27"/>
      <c r="BD319" s="97"/>
      <c r="BE319" s="108"/>
      <c r="BF319" s="108"/>
      <c r="BG319" s="97"/>
      <c r="BH319" s="97"/>
      <c r="BI319" s="97"/>
      <c r="BJ319" s="97"/>
      <c r="BK319" s="110"/>
      <c r="BL319" s="97"/>
      <c r="BM319" s="97"/>
      <c r="BN319" s="97"/>
      <c r="BO319" s="142"/>
      <c r="BP319" s="143">
        <f t="shared" si="49"/>
        <v>0</v>
      </c>
      <c r="BQ319" s="142"/>
      <c r="BR319" s="143">
        <f t="shared" si="50"/>
        <v>0</v>
      </c>
      <c r="BS319" s="132"/>
      <c r="BT319" s="146">
        <f t="shared" si="51"/>
        <v>0</v>
      </c>
      <c r="BU319" s="132"/>
      <c r="BV319" s="143">
        <f t="shared" si="52"/>
        <v>0</v>
      </c>
      <c r="BW319" s="132"/>
      <c r="BX319" s="146">
        <f t="shared" si="53"/>
        <v>0</v>
      </c>
      <c r="BY319" s="132"/>
      <c r="BZ319" s="146">
        <f t="shared" si="54"/>
        <v>0</v>
      </c>
      <c r="CA319" s="132"/>
      <c r="CB319" s="146">
        <f t="shared" si="55"/>
        <v>0</v>
      </c>
      <c r="CC319" s="132"/>
      <c r="CD319" s="143">
        <f t="shared" si="56"/>
        <v>0</v>
      </c>
      <c r="CE319" s="132"/>
      <c r="CF319" s="143">
        <f t="shared" si="57"/>
        <v>0</v>
      </c>
      <c r="CG319" s="132"/>
      <c r="CH319" s="143">
        <f t="shared" si="58"/>
        <v>0</v>
      </c>
      <c r="CI319" s="132">
        <f t="shared" si="59"/>
        <v>0</v>
      </c>
      <c r="CJ319" s="143">
        <f t="shared" si="59"/>
        <v>0</v>
      </c>
    </row>
    <row r="320" spans="1:88" x14ac:dyDescent="0.3">
      <c r="A320" s="27"/>
      <c r="B320" s="27"/>
      <c r="C320" s="27"/>
      <c r="D320" s="27"/>
      <c r="E320" s="27"/>
      <c r="F320" s="27"/>
      <c r="G320" s="27"/>
      <c r="H320" s="27"/>
      <c r="I320" s="27"/>
      <c r="J320" s="27"/>
      <c r="K320" s="27"/>
      <c r="L320" s="27"/>
      <c r="N320" s="27"/>
      <c r="O320" s="27"/>
      <c r="P320" s="27"/>
      <c r="Q320" s="117" t="s">
        <v>902</v>
      </c>
      <c r="R320" s="27"/>
      <c r="S320" s="27"/>
      <c r="T320" s="141" t="str">
        <f t="shared" si="60"/>
        <v xml:space="preserve"> </v>
      </c>
      <c r="U320" s="27"/>
      <c r="V320" s="27"/>
      <c r="W320" s="27"/>
      <c r="X320" s="27"/>
      <c r="Y320" s="27"/>
      <c r="AE320" s="27"/>
      <c r="BD320" s="97"/>
      <c r="BE320" s="108"/>
      <c r="BF320" s="108"/>
      <c r="BG320" s="97"/>
      <c r="BH320" s="97"/>
      <c r="BI320" s="97"/>
      <c r="BJ320" s="97"/>
      <c r="BK320" s="110"/>
      <c r="BL320" s="97"/>
      <c r="BM320" s="97"/>
      <c r="BN320" s="97"/>
      <c r="BO320" s="142"/>
      <c r="BP320" s="143">
        <f t="shared" si="49"/>
        <v>0</v>
      </c>
      <c r="BQ320" s="142"/>
      <c r="BR320" s="143">
        <f t="shared" si="50"/>
        <v>0</v>
      </c>
      <c r="BS320" s="132"/>
      <c r="BT320" s="146">
        <f t="shared" si="51"/>
        <v>0</v>
      </c>
      <c r="BU320" s="132"/>
      <c r="BV320" s="143">
        <f t="shared" si="52"/>
        <v>0</v>
      </c>
      <c r="BW320" s="132"/>
      <c r="BX320" s="146">
        <f t="shared" si="53"/>
        <v>0</v>
      </c>
      <c r="BY320" s="132"/>
      <c r="BZ320" s="146">
        <f t="shared" si="54"/>
        <v>0</v>
      </c>
      <c r="CA320" s="132"/>
      <c r="CB320" s="146">
        <f t="shared" si="55"/>
        <v>0</v>
      </c>
      <c r="CC320" s="132"/>
      <c r="CD320" s="143">
        <f t="shared" si="56"/>
        <v>0</v>
      </c>
      <c r="CE320" s="132"/>
      <c r="CF320" s="143">
        <f t="shared" si="57"/>
        <v>0</v>
      </c>
      <c r="CG320" s="132"/>
      <c r="CH320" s="143">
        <f t="shared" si="58"/>
        <v>0</v>
      </c>
      <c r="CI320" s="132">
        <f t="shared" si="59"/>
        <v>0</v>
      </c>
      <c r="CJ320" s="143">
        <f t="shared" si="59"/>
        <v>0</v>
      </c>
    </row>
    <row r="321" spans="1:88" x14ac:dyDescent="0.3">
      <c r="A321" s="27"/>
      <c r="B321" s="27"/>
      <c r="C321" s="27"/>
      <c r="D321" s="27"/>
      <c r="E321" s="27"/>
      <c r="F321" s="27"/>
      <c r="G321" s="27"/>
      <c r="H321" s="27"/>
      <c r="I321" s="27"/>
      <c r="J321" s="27"/>
      <c r="K321" s="27"/>
      <c r="L321" s="27"/>
      <c r="N321" s="27"/>
      <c r="O321" s="27"/>
      <c r="P321" s="27"/>
      <c r="Q321" s="117" t="s">
        <v>903</v>
      </c>
      <c r="R321" s="27"/>
      <c r="S321" s="27"/>
      <c r="T321" s="141" t="str">
        <f t="shared" si="60"/>
        <v xml:space="preserve"> </v>
      </c>
      <c r="U321" s="27"/>
      <c r="V321" s="27"/>
      <c r="W321" s="27"/>
      <c r="X321" s="27"/>
      <c r="Y321" s="27"/>
      <c r="AE321" s="27"/>
      <c r="BD321" s="97"/>
      <c r="BE321" s="108"/>
      <c r="BF321" s="108"/>
      <c r="BG321" s="97"/>
      <c r="BH321" s="97"/>
      <c r="BI321" s="97"/>
      <c r="BJ321" s="97"/>
      <c r="BK321" s="110"/>
      <c r="BL321" s="97"/>
      <c r="BM321" s="97"/>
      <c r="BN321" s="97"/>
      <c r="BO321" s="142"/>
      <c r="BP321" s="143">
        <f t="shared" si="49"/>
        <v>0</v>
      </c>
      <c r="BQ321" s="142"/>
      <c r="BR321" s="143">
        <f t="shared" si="50"/>
        <v>0</v>
      </c>
      <c r="BS321" s="132"/>
      <c r="BT321" s="146">
        <f t="shared" si="51"/>
        <v>0</v>
      </c>
      <c r="BU321" s="132"/>
      <c r="BV321" s="143">
        <f t="shared" si="52"/>
        <v>0</v>
      </c>
      <c r="BW321" s="132"/>
      <c r="BX321" s="146">
        <f t="shared" si="53"/>
        <v>0</v>
      </c>
      <c r="BY321" s="132"/>
      <c r="BZ321" s="146">
        <f t="shared" si="54"/>
        <v>0</v>
      </c>
      <c r="CA321" s="132"/>
      <c r="CB321" s="146">
        <f t="shared" si="55"/>
        <v>0</v>
      </c>
      <c r="CC321" s="132"/>
      <c r="CD321" s="143">
        <f t="shared" si="56"/>
        <v>0</v>
      </c>
      <c r="CE321" s="132"/>
      <c r="CF321" s="143">
        <f t="shared" si="57"/>
        <v>0</v>
      </c>
      <c r="CG321" s="132"/>
      <c r="CH321" s="143">
        <f t="shared" si="58"/>
        <v>0</v>
      </c>
      <c r="CI321" s="132">
        <f t="shared" si="59"/>
        <v>0</v>
      </c>
      <c r="CJ321" s="143">
        <f t="shared" si="59"/>
        <v>0</v>
      </c>
    </row>
    <row r="322" spans="1:88" x14ac:dyDescent="0.3">
      <c r="A322" s="27"/>
      <c r="B322" s="27"/>
      <c r="C322" s="27"/>
      <c r="D322" s="27"/>
      <c r="E322" s="27"/>
      <c r="F322" s="27"/>
      <c r="G322" s="27"/>
      <c r="H322" s="27"/>
      <c r="I322" s="27"/>
      <c r="J322" s="27"/>
      <c r="K322" s="27"/>
      <c r="L322" s="27"/>
      <c r="N322" s="27"/>
      <c r="O322" s="27"/>
      <c r="P322" s="27"/>
      <c r="Q322" s="117" t="s">
        <v>904</v>
      </c>
      <c r="R322" s="27"/>
      <c r="S322" s="27"/>
      <c r="T322" s="141" t="str">
        <f t="shared" si="60"/>
        <v xml:space="preserve"> </v>
      </c>
      <c r="U322" s="27"/>
      <c r="V322" s="27"/>
      <c r="W322" s="27"/>
      <c r="X322" s="27"/>
      <c r="Y322" s="27"/>
      <c r="AE322" s="27"/>
      <c r="BD322" s="97"/>
      <c r="BE322" s="108"/>
      <c r="BF322" s="108"/>
      <c r="BG322" s="97"/>
      <c r="BH322" s="97"/>
      <c r="BI322" s="97"/>
      <c r="BJ322" s="97"/>
      <c r="BK322" s="110"/>
      <c r="BL322" s="97"/>
      <c r="BM322" s="97"/>
      <c r="BN322" s="97"/>
      <c r="BO322" s="142"/>
      <c r="BP322" s="143">
        <f t="shared" si="49"/>
        <v>0</v>
      </c>
      <c r="BQ322" s="142"/>
      <c r="BR322" s="143">
        <f t="shared" si="50"/>
        <v>0</v>
      </c>
      <c r="BS322" s="132"/>
      <c r="BT322" s="146">
        <f t="shared" si="51"/>
        <v>0</v>
      </c>
      <c r="BU322" s="132"/>
      <c r="BV322" s="143">
        <f t="shared" si="52"/>
        <v>0</v>
      </c>
      <c r="BW322" s="132"/>
      <c r="BX322" s="146">
        <f t="shared" si="53"/>
        <v>0</v>
      </c>
      <c r="BY322" s="132"/>
      <c r="BZ322" s="146">
        <f t="shared" si="54"/>
        <v>0</v>
      </c>
      <c r="CA322" s="132"/>
      <c r="CB322" s="146">
        <f t="shared" si="55"/>
        <v>0</v>
      </c>
      <c r="CC322" s="132"/>
      <c r="CD322" s="143">
        <f t="shared" si="56"/>
        <v>0</v>
      </c>
      <c r="CE322" s="132"/>
      <c r="CF322" s="143">
        <f t="shared" si="57"/>
        <v>0</v>
      </c>
      <c r="CG322" s="132"/>
      <c r="CH322" s="143">
        <f t="shared" si="58"/>
        <v>0</v>
      </c>
      <c r="CI322" s="132">
        <f t="shared" si="59"/>
        <v>0</v>
      </c>
      <c r="CJ322" s="143">
        <f t="shared" si="59"/>
        <v>0</v>
      </c>
    </row>
    <row r="323" spans="1:88" x14ac:dyDescent="0.3">
      <c r="A323" s="27"/>
      <c r="B323" s="27"/>
      <c r="C323" s="27"/>
      <c r="D323" s="27"/>
      <c r="E323" s="27"/>
      <c r="F323" s="27"/>
      <c r="G323" s="27"/>
      <c r="H323" s="27"/>
      <c r="I323" s="27"/>
      <c r="J323" s="27"/>
      <c r="K323" s="27"/>
      <c r="L323" s="27"/>
      <c r="N323" s="27"/>
      <c r="O323" s="27"/>
      <c r="P323" s="27"/>
      <c r="Q323" s="117" t="s">
        <v>905</v>
      </c>
      <c r="R323" s="27"/>
      <c r="S323" s="27"/>
      <c r="T323" s="141" t="str">
        <f t="shared" si="60"/>
        <v xml:space="preserve"> </v>
      </c>
      <c r="U323" s="27"/>
      <c r="V323" s="27"/>
      <c r="W323" s="27"/>
      <c r="X323" s="27"/>
      <c r="Y323" s="27"/>
      <c r="AE323" s="27"/>
      <c r="BD323" s="97"/>
      <c r="BE323" s="108"/>
      <c r="BF323" s="108"/>
      <c r="BG323" s="97"/>
      <c r="BH323" s="97"/>
      <c r="BI323" s="97"/>
      <c r="BJ323" s="97"/>
      <c r="BK323" s="110"/>
      <c r="BL323" s="97"/>
      <c r="BM323" s="97"/>
      <c r="BN323" s="97"/>
      <c r="BO323" s="142"/>
      <c r="BP323" s="143">
        <f t="shared" si="49"/>
        <v>0</v>
      </c>
      <c r="BQ323" s="142"/>
      <c r="BR323" s="143">
        <f t="shared" si="50"/>
        <v>0</v>
      </c>
      <c r="BS323" s="132"/>
      <c r="BT323" s="146">
        <f t="shared" si="51"/>
        <v>0</v>
      </c>
      <c r="BU323" s="132"/>
      <c r="BV323" s="143">
        <f t="shared" si="52"/>
        <v>0</v>
      </c>
      <c r="BW323" s="132"/>
      <c r="BX323" s="146">
        <f t="shared" si="53"/>
        <v>0</v>
      </c>
      <c r="BY323" s="132"/>
      <c r="BZ323" s="146">
        <f t="shared" si="54"/>
        <v>0</v>
      </c>
      <c r="CA323" s="132"/>
      <c r="CB323" s="146">
        <f t="shared" si="55"/>
        <v>0</v>
      </c>
      <c r="CC323" s="132"/>
      <c r="CD323" s="143">
        <f t="shared" si="56"/>
        <v>0</v>
      </c>
      <c r="CE323" s="132"/>
      <c r="CF323" s="143">
        <f t="shared" si="57"/>
        <v>0</v>
      </c>
      <c r="CG323" s="132"/>
      <c r="CH323" s="143">
        <f t="shared" si="58"/>
        <v>0</v>
      </c>
      <c r="CI323" s="132">
        <f t="shared" si="59"/>
        <v>0</v>
      </c>
      <c r="CJ323" s="143">
        <f t="shared" si="59"/>
        <v>0</v>
      </c>
    </row>
    <row r="324" spans="1:88" x14ac:dyDescent="0.3">
      <c r="A324" s="27"/>
      <c r="B324" s="27"/>
      <c r="C324" s="27"/>
      <c r="D324" s="27"/>
      <c r="E324" s="27"/>
      <c r="F324" s="27"/>
      <c r="G324" s="27"/>
      <c r="H324" s="27"/>
      <c r="I324" s="27"/>
      <c r="J324" s="27"/>
      <c r="K324" s="27"/>
      <c r="L324" s="27"/>
      <c r="N324" s="27"/>
      <c r="O324" s="27"/>
      <c r="P324" s="27"/>
      <c r="Q324" s="117" t="s">
        <v>392</v>
      </c>
      <c r="R324" s="27"/>
      <c r="S324" s="27"/>
      <c r="T324" s="141" t="str">
        <f t="shared" si="60"/>
        <v xml:space="preserve"> </v>
      </c>
      <c r="U324" s="27"/>
      <c r="V324" s="27"/>
      <c r="W324" s="27"/>
      <c r="X324" s="27"/>
      <c r="Y324" s="27"/>
      <c r="AE324" s="27"/>
      <c r="BD324" s="97"/>
      <c r="BE324" s="108"/>
      <c r="BF324" s="108"/>
      <c r="BG324" s="97"/>
      <c r="BH324" s="97"/>
      <c r="BI324" s="97"/>
      <c r="BJ324" s="97"/>
      <c r="BK324" s="110"/>
      <c r="BL324" s="97"/>
      <c r="BM324" s="97"/>
      <c r="BN324" s="97"/>
      <c r="BO324" s="142"/>
      <c r="BP324" s="143">
        <f t="shared" si="49"/>
        <v>0</v>
      </c>
      <c r="BQ324" s="142"/>
      <c r="BR324" s="143">
        <f t="shared" si="50"/>
        <v>0</v>
      </c>
      <c r="BS324" s="132"/>
      <c r="BT324" s="146">
        <f t="shared" si="51"/>
        <v>0</v>
      </c>
      <c r="BU324" s="132"/>
      <c r="BV324" s="143">
        <f t="shared" si="52"/>
        <v>0</v>
      </c>
      <c r="BW324" s="132"/>
      <c r="BX324" s="146">
        <f t="shared" si="53"/>
        <v>0</v>
      </c>
      <c r="BY324" s="132"/>
      <c r="BZ324" s="146">
        <f t="shared" si="54"/>
        <v>0</v>
      </c>
      <c r="CA324" s="132"/>
      <c r="CB324" s="146">
        <f t="shared" si="55"/>
        <v>0</v>
      </c>
      <c r="CC324" s="132"/>
      <c r="CD324" s="143">
        <f t="shared" si="56"/>
        <v>0</v>
      </c>
      <c r="CE324" s="132"/>
      <c r="CF324" s="143">
        <f t="shared" si="57"/>
        <v>0</v>
      </c>
      <c r="CG324" s="132"/>
      <c r="CH324" s="143">
        <f t="shared" si="58"/>
        <v>0</v>
      </c>
      <c r="CI324" s="132">
        <f t="shared" si="59"/>
        <v>0</v>
      </c>
      <c r="CJ324" s="143">
        <f t="shared" si="59"/>
        <v>0</v>
      </c>
    </row>
    <row r="325" spans="1:88" x14ac:dyDescent="0.3">
      <c r="A325" s="27"/>
      <c r="B325" s="27"/>
      <c r="C325" s="27"/>
      <c r="D325" s="27"/>
      <c r="E325" s="27"/>
      <c r="F325" s="27"/>
      <c r="G325" s="27"/>
      <c r="H325" s="27"/>
      <c r="I325" s="27"/>
      <c r="J325" s="27"/>
      <c r="K325" s="27"/>
      <c r="L325" s="27"/>
      <c r="N325" s="27"/>
      <c r="O325" s="27"/>
      <c r="P325" s="27"/>
      <c r="Q325" s="117" t="s">
        <v>392</v>
      </c>
      <c r="R325" s="27"/>
      <c r="S325" s="27"/>
      <c r="T325" s="141" t="str">
        <f t="shared" si="60"/>
        <v xml:space="preserve"> </v>
      </c>
      <c r="U325" s="27"/>
      <c r="V325" s="27"/>
      <c r="W325" s="27"/>
      <c r="X325" s="27"/>
      <c r="Y325" s="27"/>
      <c r="AE325" s="27"/>
      <c r="BD325" s="97"/>
      <c r="BE325" s="108"/>
      <c r="BF325" s="108"/>
      <c r="BG325" s="97"/>
      <c r="BH325" s="97"/>
      <c r="BI325" s="97"/>
      <c r="BJ325" s="97"/>
      <c r="BK325" s="110"/>
      <c r="BL325" s="97"/>
      <c r="BM325" s="97"/>
      <c r="BN325" s="97"/>
      <c r="BO325" s="142"/>
      <c r="BP325" s="143">
        <f t="shared" si="49"/>
        <v>0</v>
      </c>
      <c r="BQ325" s="142"/>
      <c r="BR325" s="143">
        <f t="shared" si="50"/>
        <v>0</v>
      </c>
      <c r="BS325" s="132"/>
      <c r="BT325" s="146">
        <f t="shared" si="51"/>
        <v>0</v>
      </c>
      <c r="BU325" s="132"/>
      <c r="BV325" s="143">
        <f t="shared" si="52"/>
        <v>0</v>
      </c>
      <c r="BW325" s="132"/>
      <c r="BX325" s="146">
        <f t="shared" si="53"/>
        <v>0</v>
      </c>
      <c r="BY325" s="132"/>
      <c r="BZ325" s="146">
        <f t="shared" si="54"/>
        <v>0</v>
      </c>
      <c r="CA325" s="132"/>
      <c r="CB325" s="146">
        <f t="shared" si="55"/>
        <v>0</v>
      </c>
      <c r="CC325" s="132"/>
      <c r="CD325" s="143">
        <f t="shared" si="56"/>
        <v>0</v>
      </c>
      <c r="CE325" s="132"/>
      <c r="CF325" s="143">
        <f t="shared" si="57"/>
        <v>0</v>
      </c>
      <c r="CG325" s="132"/>
      <c r="CH325" s="143">
        <f t="shared" si="58"/>
        <v>0</v>
      </c>
      <c r="CI325" s="132">
        <f t="shared" si="59"/>
        <v>0</v>
      </c>
      <c r="CJ325" s="143">
        <f t="shared" si="59"/>
        <v>0</v>
      </c>
    </row>
    <row r="326" spans="1:88" x14ac:dyDescent="0.3">
      <c r="A326" s="27"/>
      <c r="B326" s="27"/>
      <c r="C326" s="27"/>
      <c r="D326" s="27"/>
      <c r="E326" s="27"/>
      <c r="F326" s="27"/>
      <c r="G326" s="27"/>
      <c r="H326" s="27"/>
      <c r="I326" s="27"/>
      <c r="J326" s="27"/>
      <c r="K326" s="27"/>
      <c r="L326" s="27"/>
      <c r="N326" s="27"/>
      <c r="O326" s="27"/>
      <c r="P326" s="27"/>
      <c r="Q326" s="117" t="s">
        <v>906</v>
      </c>
      <c r="R326" s="27"/>
      <c r="S326" s="27"/>
      <c r="T326" s="141" t="str">
        <f t="shared" si="60"/>
        <v xml:space="preserve"> </v>
      </c>
      <c r="U326" s="27"/>
      <c r="V326" s="27"/>
      <c r="W326" s="27"/>
      <c r="X326" s="27"/>
      <c r="Y326" s="27"/>
      <c r="AE326" s="27"/>
      <c r="BD326" s="97"/>
      <c r="BE326" s="108"/>
      <c r="BF326" s="108"/>
      <c r="BG326" s="97"/>
      <c r="BH326" s="97"/>
      <c r="BI326" s="97"/>
      <c r="BJ326" s="97"/>
      <c r="BK326" s="110"/>
      <c r="BL326" s="97"/>
      <c r="BM326" s="97"/>
      <c r="BN326" s="97"/>
      <c r="BO326" s="142"/>
      <c r="BP326" s="143">
        <f t="shared" si="49"/>
        <v>0</v>
      </c>
      <c r="BQ326" s="142"/>
      <c r="BR326" s="143">
        <f t="shared" si="50"/>
        <v>0</v>
      </c>
      <c r="BS326" s="132"/>
      <c r="BT326" s="146">
        <f t="shared" si="51"/>
        <v>0</v>
      </c>
      <c r="BU326" s="132"/>
      <c r="BV326" s="143">
        <f t="shared" si="52"/>
        <v>0</v>
      </c>
      <c r="BW326" s="132"/>
      <c r="BX326" s="146">
        <f t="shared" si="53"/>
        <v>0</v>
      </c>
      <c r="BY326" s="132"/>
      <c r="BZ326" s="146">
        <f t="shared" si="54"/>
        <v>0</v>
      </c>
      <c r="CA326" s="132"/>
      <c r="CB326" s="146">
        <f t="shared" si="55"/>
        <v>0</v>
      </c>
      <c r="CC326" s="132"/>
      <c r="CD326" s="143">
        <f t="shared" si="56"/>
        <v>0</v>
      </c>
      <c r="CE326" s="132"/>
      <c r="CF326" s="143">
        <f t="shared" si="57"/>
        <v>0</v>
      </c>
      <c r="CG326" s="132"/>
      <c r="CH326" s="143">
        <f t="shared" si="58"/>
        <v>0</v>
      </c>
      <c r="CI326" s="132">
        <f t="shared" si="59"/>
        <v>0</v>
      </c>
      <c r="CJ326" s="143">
        <f t="shared" si="59"/>
        <v>0</v>
      </c>
    </row>
    <row r="327" spans="1:88" x14ac:dyDescent="0.3">
      <c r="A327" s="27"/>
      <c r="B327" s="27"/>
      <c r="C327" s="27"/>
      <c r="D327" s="27"/>
      <c r="E327" s="27"/>
      <c r="F327" s="27"/>
      <c r="G327" s="27"/>
      <c r="H327" s="27"/>
      <c r="I327" s="27"/>
      <c r="J327" s="27"/>
      <c r="K327" s="27"/>
      <c r="L327" s="27"/>
      <c r="N327" s="27"/>
      <c r="O327" s="27"/>
      <c r="P327" s="27"/>
      <c r="Q327" s="117" t="s">
        <v>907</v>
      </c>
      <c r="R327" s="27"/>
      <c r="S327" s="27"/>
      <c r="T327" s="141" t="str">
        <f t="shared" si="60"/>
        <v xml:space="preserve"> </v>
      </c>
      <c r="U327" s="27"/>
      <c r="V327" s="27"/>
      <c r="W327" s="27"/>
      <c r="X327" s="27"/>
      <c r="Y327" s="27"/>
      <c r="AE327" s="27"/>
      <c r="BD327" s="97"/>
      <c r="BE327" s="108"/>
      <c r="BF327" s="108"/>
      <c r="BG327" s="97"/>
      <c r="BH327" s="97"/>
      <c r="BI327" s="97"/>
      <c r="BJ327" s="97"/>
      <c r="BK327" s="110"/>
      <c r="BL327" s="97"/>
      <c r="BM327" s="97"/>
      <c r="BN327" s="97"/>
      <c r="BO327" s="142"/>
      <c r="BP327" s="143">
        <f t="shared" si="49"/>
        <v>0</v>
      </c>
      <c r="BQ327" s="142"/>
      <c r="BR327" s="143">
        <f t="shared" si="50"/>
        <v>0</v>
      </c>
      <c r="BS327" s="132"/>
      <c r="BT327" s="146">
        <f t="shared" si="51"/>
        <v>0</v>
      </c>
      <c r="BU327" s="132"/>
      <c r="BV327" s="143">
        <f t="shared" si="52"/>
        <v>0</v>
      </c>
      <c r="BW327" s="132"/>
      <c r="BX327" s="146">
        <f t="shared" si="53"/>
        <v>0</v>
      </c>
      <c r="BY327" s="132"/>
      <c r="BZ327" s="146">
        <f t="shared" si="54"/>
        <v>0</v>
      </c>
      <c r="CA327" s="132"/>
      <c r="CB327" s="146">
        <f t="shared" si="55"/>
        <v>0</v>
      </c>
      <c r="CC327" s="132"/>
      <c r="CD327" s="143">
        <f t="shared" si="56"/>
        <v>0</v>
      </c>
      <c r="CE327" s="132"/>
      <c r="CF327" s="143">
        <f t="shared" si="57"/>
        <v>0</v>
      </c>
      <c r="CG327" s="132"/>
      <c r="CH327" s="143">
        <f t="shared" si="58"/>
        <v>0</v>
      </c>
      <c r="CI327" s="132">
        <f t="shared" si="59"/>
        <v>0</v>
      </c>
      <c r="CJ327" s="143">
        <f t="shared" si="59"/>
        <v>0</v>
      </c>
    </row>
    <row r="328" spans="1:88" x14ac:dyDescent="0.3">
      <c r="A328" s="27"/>
      <c r="B328" s="27"/>
      <c r="C328" s="27"/>
      <c r="D328" s="27"/>
      <c r="E328" s="27"/>
      <c r="F328" s="27"/>
      <c r="G328" s="27"/>
      <c r="H328" s="27"/>
      <c r="I328" s="27"/>
      <c r="J328" s="27"/>
      <c r="K328" s="27"/>
      <c r="L328" s="27"/>
      <c r="N328" s="27"/>
      <c r="O328" s="27"/>
      <c r="P328" s="27"/>
      <c r="Q328" s="117" t="s">
        <v>908</v>
      </c>
      <c r="R328" s="27"/>
      <c r="S328" s="27"/>
      <c r="T328" s="141" t="str">
        <f t="shared" si="60"/>
        <v xml:space="preserve"> </v>
      </c>
      <c r="U328" s="27"/>
      <c r="V328" s="27"/>
      <c r="W328" s="27"/>
      <c r="X328" s="27"/>
      <c r="Y328" s="27"/>
      <c r="AE328" s="27"/>
      <c r="BD328" s="97"/>
      <c r="BE328" s="108"/>
      <c r="BF328" s="108"/>
      <c r="BG328" s="97"/>
      <c r="BH328" s="97"/>
      <c r="BI328" s="97"/>
      <c r="BJ328" s="97"/>
      <c r="BK328" s="110"/>
      <c r="BL328" s="97"/>
      <c r="BM328" s="97"/>
      <c r="BN328" s="97"/>
      <c r="BO328" s="142"/>
      <c r="BP328" s="143">
        <f t="shared" si="49"/>
        <v>0</v>
      </c>
      <c r="BQ328" s="142"/>
      <c r="BR328" s="143">
        <f t="shared" si="50"/>
        <v>0</v>
      </c>
      <c r="BS328" s="132"/>
      <c r="BT328" s="146">
        <f t="shared" si="51"/>
        <v>0</v>
      </c>
      <c r="BU328" s="132"/>
      <c r="BV328" s="143">
        <f t="shared" si="52"/>
        <v>0</v>
      </c>
      <c r="BW328" s="132"/>
      <c r="BX328" s="146">
        <f t="shared" si="53"/>
        <v>0</v>
      </c>
      <c r="BY328" s="132"/>
      <c r="BZ328" s="146">
        <f t="shared" si="54"/>
        <v>0</v>
      </c>
      <c r="CA328" s="132"/>
      <c r="CB328" s="146">
        <f t="shared" si="55"/>
        <v>0</v>
      </c>
      <c r="CC328" s="132"/>
      <c r="CD328" s="143">
        <f t="shared" si="56"/>
        <v>0</v>
      </c>
      <c r="CE328" s="132"/>
      <c r="CF328" s="143">
        <f t="shared" si="57"/>
        <v>0</v>
      </c>
      <c r="CG328" s="132"/>
      <c r="CH328" s="143">
        <f t="shared" si="58"/>
        <v>0</v>
      </c>
      <c r="CI328" s="132">
        <f t="shared" si="59"/>
        <v>0</v>
      </c>
      <c r="CJ328" s="143">
        <f t="shared" si="59"/>
        <v>0</v>
      </c>
    </row>
    <row r="329" spans="1:88" x14ac:dyDescent="0.3">
      <c r="A329" s="27"/>
      <c r="B329" s="27"/>
      <c r="C329" s="27"/>
      <c r="D329" s="27"/>
      <c r="E329" s="27"/>
      <c r="F329" s="27"/>
      <c r="G329" s="27"/>
      <c r="H329" s="27"/>
      <c r="I329" s="27"/>
      <c r="J329" s="27"/>
      <c r="K329" s="27"/>
      <c r="L329" s="27"/>
      <c r="N329" s="27"/>
      <c r="O329" s="27"/>
      <c r="P329" s="27"/>
      <c r="Q329" s="117" t="s">
        <v>909</v>
      </c>
      <c r="R329" s="27"/>
      <c r="S329" s="27"/>
      <c r="T329" s="141" t="str">
        <f t="shared" si="60"/>
        <v xml:space="preserve"> </v>
      </c>
      <c r="U329" s="27"/>
      <c r="V329" s="27"/>
      <c r="W329" s="27"/>
      <c r="X329" s="27"/>
      <c r="Y329" s="27"/>
      <c r="AE329" s="27"/>
      <c r="BD329" s="97"/>
      <c r="BE329" s="108"/>
      <c r="BF329" s="108"/>
      <c r="BG329" s="97"/>
      <c r="BH329" s="97"/>
      <c r="BI329" s="97"/>
      <c r="BJ329" s="97"/>
      <c r="BK329" s="110"/>
      <c r="BL329" s="97"/>
      <c r="BM329" s="97"/>
      <c r="BN329" s="97"/>
      <c r="BO329" s="142"/>
      <c r="BP329" s="143">
        <f t="shared" si="49"/>
        <v>0</v>
      </c>
      <c r="BQ329" s="142"/>
      <c r="BR329" s="143">
        <f t="shared" si="50"/>
        <v>0</v>
      </c>
      <c r="BS329" s="132"/>
      <c r="BT329" s="146">
        <f t="shared" si="51"/>
        <v>0</v>
      </c>
      <c r="BU329" s="132"/>
      <c r="BV329" s="143">
        <f t="shared" si="52"/>
        <v>0</v>
      </c>
      <c r="BW329" s="132"/>
      <c r="BX329" s="146">
        <f t="shared" si="53"/>
        <v>0</v>
      </c>
      <c r="BY329" s="132"/>
      <c r="BZ329" s="146">
        <f t="shared" si="54"/>
        <v>0</v>
      </c>
      <c r="CA329" s="132"/>
      <c r="CB329" s="146">
        <f t="shared" si="55"/>
        <v>0</v>
      </c>
      <c r="CC329" s="132"/>
      <c r="CD329" s="143">
        <f t="shared" si="56"/>
        <v>0</v>
      </c>
      <c r="CE329" s="132"/>
      <c r="CF329" s="143">
        <f t="shared" si="57"/>
        <v>0</v>
      </c>
      <c r="CG329" s="132"/>
      <c r="CH329" s="143">
        <f t="shared" si="58"/>
        <v>0</v>
      </c>
      <c r="CI329" s="132">
        <f t="shared" si="59"/>
        <v>0</v>
      </c>
      <c r="CJ329" s="143">
        <f t="shared" si="59"/>
        <v>0</v>
      </c>
    </row>
    <row r="330" spans="1:88" x14ac:dyDescent="0.3">
      <c r="A330" s="27"/>
      <c r="B330" s="27"/>
      <c r="C330" s="27"/>
      <c r="D330" s="27"/>
      <c r="E330" s="27"/>
      <c r="F330" s="27"/>
      <c r="G330" s="27"/>
      <c r="H330" s="27"/>
      <c r="I330" s="27"/>
      <c r="J330" s="27"/>
      <c r="K330" s="27"/>
      <c r="L330" s="27"/>
      <c r="N330" s="27"/>
      <c r="O330" s="27"/>
      <c r="P330" s="27"/>
      <c r="Q330" s="117" t="s">
        <v>910</v>
      </c>
      <c r="R330" s="27"/>
      <c r="S330" s="27"/>
      <c r="T330" s="141" t="str">
        <f t="shared" si="60"/>
        <v xml:space="preserve"> </v>
      </c>
      <c r="U330" s="27"/>
      <c r="V330" s="27"/>
      <c r="W330" s="27"/>
      <c r="X330" s="27"/>
      <c r="Y330" s="27"/>
      <c r="AE330" s="27"/>
      <c r="BD330" s="97"/>
      <c r="BE330" s="108"/>
      <c r="BF330" s="108"/>
      <c r="BG330" s="97"/>
      <c r="BH330" s="97"/>
      <c r="BI330" s="97"/>
      <c r="BJ330" s="97"/>
      <c r="BK330" s="110"/>
      <c r="BL330" s="97"/>
      <c r="BM330" s="97"/>
      <c r="BN330" s="97"/>
      <c r="BO330" s="142"/>
      <c r="BP330" s="143">
        <f t="shared" ref="BP330:BP393" si="61">BO330*AX330</f>
        <v>0</v>
      </c>
      <c r="BQ330" s="142"/>
      <c r="BR330" s="143">
        <f t="shared" ref="BR330:BR393" si="62">BQ330*AX330</f>
        <v>0</v>
      </c>
      <c r="BS330" s="132"/>
      <c r="BT330" s="146">
        <f t="shared" ref="BT330:BT393" si="63">BS330*AX330</f>
        <v>0</v>
      </c>
      <c r="BU330" s="132"/>
      <c r="BV330" s="143">
        <f t="shared" ref="BV330:BV393" si="64">BU330*AX330</f>
        <v>0</v>
      </c>
      <c r="BW330" s="132"/>
      <c r="BX330" s="146">
        <f t="shared" ref="BX330:BX393" si="65">BW330*AX330</f>
        <v>0</v>
      </c>
      <c r="BY330" s="132"/>
      <c r="BZ330" s="146">
        <f t="shared" ref="BZ330:BZ393" si="66">BY330*AX330</f>
        <v>0</v>
      </c>
      <c r="CA330" s="132"/>
      <c r="CB330" s="146">
        <f t="shared" ref="CB330:CB393" si="67">CA330*AX330</f>
        <v>0</v>
      </c>
      <c r="CC330" s="132"/>
      <c r="CD330" s="143">
        <f t="shared" ref="CD330:CD393" si="68">CC330*AX330</f>
        <v>0</v>
      </c>
      <c r="CE330" s="132"/>
      <c r="CF330" s="143">
        <f t="shared" ref="CF330:CF393" si="69">CE330*AX330</f>
        <v>0</v>
      </c>
      <c r="CG330" s="132"/>
      <c r="CH330" s="143">
        <f t="shared" ref="CH330:CH393" si="70">CG330*AX330</f>
        <v>0</v>
      </c>
      <c r="CI330" s="132">
        <f t="shared" ref="CI330:CJ393" si="71">SUM(BO330,BQ330,BS330,BU330,BW330,BY330,CA330,CC330,CE330,CG330)</f>
        <v>0</v>
      </c>
      <c r="CJ330" s="143">
        <f t="shared" si="71"/>
        <v>0</v>
      </c>
    </row>
    <row r="331" spans="1:88" x14ac:dyDescent="0.3">
      <c r="A331" s="27"/>
      <c r="B331" s="27"/>
      <c r="C331" s="27"/>
      <c r="D331" s="27"/>
      <c r="E331" s="27"/>
      <c r="F331" s="27"/>
      <c r="G331" s="27"/>
      <c r="H331" s="27"/>
      <c r="I331" s="27"/>
      <c r="J331" s="27"/>
      <c r="K331" s="27"/>
      <c r="L331" s="27"/>
      <c r="N331" s="27"/>
      <c r="O331" s="27"/>
      <c r="P331" s="27"/>
      <c r="Q331" s="117" t="s">
        <v>911</v>
      </c>
      <c r="R331" s="27"/>
      <c r="S331" s="27"/>
      <c r="T331" s="141" t="str">
        <f t="shared" si="60"/>
        <v xml:space="preserve"> </v>
      </c>
      <c r="U331" s="27"/>
      <c r="V331" s="27"/>
      <c r="W331" s="27"/>
      <c r="X331" s="27"/>
      <c r="Y331" s="27"/>
      <c r="AE331" s="27"/>
      <c r="BD331" s="97"/>
      <c r="BE331" s="108"/>
      <c r="BF331" s="108"/>
      <c r="BG331" s="97"/>
      <c r="BH331" s="97"/>
      <c r="BI331" s="97"/>
      <c r="BJ331" s="97"/>
      <c r="BK331" s="110"/>
      <c r="BL331" s="97"/>
      <c r="BM331" s="97"/>
      <c r="BN331" s="97"/>
      <c r="BO331" s="142"/>
      <c r="BP331" s="143">
        <f t="shared" si="61"/>
        <v>0</v>
      </c>
      <c r="BQ331" s="142"/>
      <c r="BR331" s="143">
        <f t="shared" si="62"/>
        <v>0</v>
      </c>
      <c r="BS331" s="132"/>
      <c r="BT331" s="146">
        <f t="shared" si="63"/>
        <v>0</v>
      </c>
      <c r="BU331" s="132"/>
      <c r="BV331" s="143">
        <f t="shared" si="64"/>
        <v>0</v>
      </c>
      <c r="BW331" s="132"/>
      <c r="BX331" s="146">
        <f t="shared" si="65"/>
        <v>0</v>
      </c>
      <c r="BY331" s="132"/>
      <c r="BZ331" s="146">
        <f t="shared" si="66"/>
        <v>0</v>
      </c>
      <c r="CA331" s="132"/>
      <c r="CB331" s="146">
        <f t="shared" si="67"/>
        <v>0</v>
      </c>
      <c r="CC331" s="132"/>
      <c r="CD331" s="143">
        <f t="shared" si="68"/>
        <v>0</v>
      </c>
      <c r="CE331" s="132"/>
      <c r="CF331" s="143">
        <f t="shared" si="69"/>
        <v>0</v>
      </c>
      <c r="CG331" s="132"/>
      <c r="CH331" s="143">
        <f t="shared" si="70"/>
        <v>0</v>
      </c>
      <c r="CI331" s="132">
        <f t="shared" si="71"/>
        <v>0</v>
      </c>
      <c r="CJ331" s="143">
        <f t="shared" si="71"/>
        <v>0</v>
      </c>
    </row>
    <row r="332" spans="1:88" x14ac:dyDescent="0.3">
      <c r="A332" s="27"/>
      <c r="B332" s="27"/>
      <c r="C332" s="27"/>
      <c r="D332" s="27"/>
      <c r="E332" s="27"/>
      <c r="F332" s="27"/>
      <c r="G332" s="27"/>
      <c r="H332" s="27"/>
      <c r="I332" s="27"/>
      <c r="J332" s="27"/>
      <c r="K332" s="27"/>
      <c r="L332" s="27"/>
      <c r="N332" s="27"/>
      <c r="O332" s="27"/>
      <c r="P332" s="27"/>
      <c r="Q332" s="117" t="s">
        <v>912</v>
      </c>
      <c r="R332" s="27"/>
      <c r="S332" s="27"/>
      <c r="T332" s="141" t="str">
        <f t="shared" si="60"/>
        <v xml:space="preserve"> </v>
      </c>
      <c r="U332" s="27"/>
      <c r="V332" s="27"/>
      <c r="W332" s="27"/>
      <c r="X332" s="27"/>
      <c r="Y332" s="27"/>
      <c r="AE332" s="27"/>
      <c r="BD332" s="97"/>
      <c r="BE332" s="108"/>
      <c r="BF332" s="108"/>
      <c r="BG332" s="97"/>
      <c r="BH332" s="97"/>
      <c r="BI332" s="97"/>
      <c r="BJ332" s="97"/>
      <c r="BK332" s="110"/>
      <c r="BL332" s="97"/>
      <c r="BM332" s="97"/>
      <c r="BN332" s="97"/>
      <c r="BO332" s="142"/>
      <c r="BP332" s="143">
        <f t="shared" si="61"/>
        <v>0</v>
      </c>
      <c r="BQ332" s="142"/>
      <c r="BR332" s="143">
        <f t="shared" si="62"/>
        <v>0</v>
      </c>
      <c r="BS332" s="132"/>
      <c r="BT332" s="146">
        <f t="shared" si="63"/>
        <v>0</v>
      </c>
      <c r="BU332" s="132"/>
      <c r="BV332" s="143">
        <f t="shared" si="64"/>
        <v>0</v>
      </c>
      <c r="BW332" s="132"/>
      <c r="BX332" s="146">
        <f t="shared" si="65"/>
        <v>0</v>
      </c>
      <c r="BY332" s="132"/>
      <c r="BZ332" s="146">
        <f t="shared" si="66"/>
        <v>0</v>
      </c>
      <c r="CA332" s="132"/>
      <c r="CB332" s="146">
        <f t="shared" si="67"/>
        <v>0</v>
      </c>
      <c r="CC332" s="132"/>
      <c r="CD332" s="143">
        <f t="shared" si="68"/>
        <v>0</v>
      </c>
      <c r="CE332" s="132"/>
      <c r="CF332" s="143">
        <f t="shared" si="69"/>
        <v>0</v>
      </c>
      <c r="CG332" s="132"/>
      <c r="CH332" s="143">
        <f t="shared" si="70"/>
        <v>0</v>
      </c>
      <c r="CI332" s="132">
        <f t="shared" si="71"/>
        <v>0</v>
      </c>
      <c r="CJ332" s="143">
        <f t="shared" si="71"/>
        <v>0</v>
      </c>
    </row>
    <row r="333" spans="1:88" x14ac:dyDescent="0.3">
      <c r="A333" s="27"/>
      <c r="B333" s="27"/>
      <c r="C333" s="27"/>
      <c r="D333" s="27"/>
      <c r="E333" s="27"/>
      <c r="F333" s="27"/>
      <c r="G333" s="27"/>
      <c r="H333" s="27"/>
      <c r="I333" s="27"/>
      <c r="J333" s="27"/>
      <c r="K333" s="27"/>
      <c r="L333" s="27"/>
      <c r="N333" s="27"/>
      <c r="O333" s="27"/>
      <c r="P333" s="27"/>
      <c r="Q333" s="117" t="s">
        <v>913</v>
      </c>
      <c r="R333" s="27"/>
      <c r="S333" s="27"/>
      <c r="T333" s="141" t="str">
        <f t="shared" si="60"/>
        <v xml:space="preserve"> </v>
      </c>
      <c r="U333" s="27"/>
      <c r="V333" s="27"/>
      <c r="W333" s="27"/>
      <c r="X333" s="27"/>
      <c r="Y333" s="27"/>
      <c r="AE333" s="27"/>
      <c r="BD333" s="97"/>
      <c r="BE333" s="108"/>
      <c r="BF333" s="108"/>
      <c r="BG333" s="97"/>
      <c r="BH333" s="97"/>
      <c r="BI333" s="97"/>
      <c r="BJ333" s="97"/>
      <c r="BK333" s="110"/>
      <c r="BL333" s="97"/>
      <c r="BM333" s="97"/>
      <c r="BN333" s="97"/>
      <c r="BO333" s="142"/>
      <c r="BP333" s="143">
        <f t="shared" si="61"/>
        <v>0</v>
      </c>
      <c r="BQ333" s="142"/>
      <c r="BR333" s="143">
        <f t="shared" si="62"/>
        <v>0</v>
      </c>
      <c r="BS333" s="132"/>
      <c r="BT333" s="146">
        <f t="shared" si="63"/>
        <v>0</v>
      </c>
      <c r="BU333" s="132"/>
      <c r="BV333" s="143">
        <f t="shared" si="64"/>
        <v>0</v>
      </c>
      <c r="BW333" s="132"/>
      <c r="BX333" s="146">
        <f t="shared" si="65"/>
        <v>0</v>
      </c>
      <c r="BY333" s="132"/>
      <c r="BZ333" s="146">
        <f t="shared" si="66"/>
        <v>0</v>
      </c>
      <c r="CA333" s="132"/>
      <c r="CB333" s="146">
        <f t="shared" si="67"/>
        <v>0</v>
      </c>
      <c r="CC333" s="132"/>
      <c r="CD333" s="143">
        <f t="shared" si="68"/>
        <v>0</v>
      </c>
      <c r="CE333" s="132"/>
      <c r="CF333" s="143">
        <f t="shared" si="69"/>
        <v>0</v>
      </c>
      <c r="CG333" s="132"/>
      <c r="CH333" s="143">
        <f t="shared" si="70"/>
        <v>0</v>
      </c>
      <c r="CI333" s="132">
        <f t="shared" si="71"/>
        <v>0</v>
      </c>
      <c r="CJ333" s="143">
        <f t="shared" si="71"/>
        <v>0</v>
      </c>
    </row>
    <row r="334" spans="1:88" x14ac:dyDescent="0.3">
      <c r="A334" s="27"/>
      <c r="B334" s="27"/>
      <c r="C334" s="27"/>
      <c r="D334" s="27"/>
      <c r="E334" s="27"/>
      <c r="F334" s="27"/>
      <c r="G334" s="27"/>
      <c r="H334" s="27"/>
      <c r="I334" s="27"/>
      <c r="J334" s="27"/>
      <c r="K334" s="27"/>
      <c r="L334" s="27"/>
      <c r="N334" s="27"/>
      <c r="O334" s="27"/>
      <c r="P334" s="27"/>
      <c r="Q334" s="117" t="s">
        <v>914</v>
      </c>
      <c r="R334" s="27"/>
      <c r="S334" s="27"/>
      <c r="T334" s="141" t="str">
        <f t="shared" si="60"/>
        <v xml:space="preserve"> </v>
      </c>
      <c r="U334" s="27"/>
      <c r="V334" s="27"/>
      <c r="W334" s="27"/>
      <c r="X334" s="27"/>
      <c r="Y334" s="27"/>
      <c r="AE334" s="27"/>
      <c r="BD334" s="97"/>
      <c r="BE334" s="108"/>
      <c r="BF334" s="108"/>
      <c r="BG334" s="97"/>
      <c r="BH334" s="97"/>
      <c r="BI334" s="97"/>
      <c r="BJ334" s="97"/>
      <c r="BK334" s="110"/>
      <c r="BL334" s="97"/>
      <c r="BM334" s="97"/>
      <c r="BN334" s="97"/>
      <c r="BO334" s="142"/>
      <c r="BP334" s="143">
        <f t="shared" si="61"/>
        <v>0</v>
      </c>
      <c r="BQ334" s="142"/>
      <c r="BR334" s="143">
        <f t="shared" si="62"/>
        <v>0</v>
      </c>
      <c r="BS334" s="132"/>
      <c r="BT334" s="146">
        <f t="shared" si="63"/>
        <v>0</v>
      </c>
      <c r="BU334" s="132"/>
      <c r="BV334" s="143">
        <f t="shared" si="64"/>
        <v>0</v>
      </c>
      <c r="BW334" s="132"/>
      <c r="BX334" s="146">
        <f t="shared" si="65"/>
        <v>0</v>
      </c>
      <c r="BY334" s="132"/>
      <c r="BZ334" s="146">
        <f t="shared" si="66"/>
        <v>0</v>
      </c>
      <c r="CA334" s="132"/>
      <c r="CB334" s="146">
        <f t="shared" si="67"/>
        <v>0</v>
      </c>
      <c r="CC334" s="132"/>
      <c r="CD334" s="143">
        <f t="shared" si="68"/>
        <v>0</v>
      </c>
      <c r="CE334" s="132"/>
      <c r="CF334" s="143">
        <f t="shared" si="69"/>
        <v>0</v>
      </c>
      <c r="CG334" s="132"/>
      <c r="CH334" s="143">
        <f t="shared" si="70"/>
        <v>0</v>
      </c>
      <c r="CI334" s="132">
        <f t="shared" si="71"/>
        <v>0</v>
      </c>
      <c r="CJ334" s="143">
        <f t="shared" si="71"/>
        <v>0</v>
      </c>
    </row>
    <row r="335" spans="1:88" x14ac:dyDescent="0.3">
      <c r="A335" s="27"/>
      <c r="B335" s="27"/>
      <c r="C335" s="27"/>
      <c r="D335" s="27"/>
      <c r="E335" s="27"/>
      <c r="F335" s="27"/>
      <c r="G335" s="27"/>
      <c r="H335" s="27"/>
      <c r="I335" s="27"/>
      <c r="J335" s="27"/>
      <c r="K335" s="27"/>
      <c r="L335" s="27"/>
      <c r="N335" s="27"/>
      <c r="O335" s="27"/>
      <c r="P335" s="27"/>
      <c r="Q335" s="117" t="s">
        <v>915</v>
      </c>
      <c r="R335" s="27"/>
      <c r="S335" s="27"/>
      <c r="T335" s="141" t="str">
        <f t="shared" si="60"/>
        <v xml:space="preserve"> </v>
      </c>
      <c r="U335" s="27"/>
      <c r="V335" s="27"/>
      <c r="W335" s="27"/>
      <c r="X335" s="27"/>
      <c r="Y335" s="27"/>
      <c r="AE335" s="27"/>
      <c r="BD335" s="97"/>
      <c r="BE335" s="108"/>
      <c r="BF335" s="108"/>
      <c r="BG335" s="97"/>
      <c r="BH335" s="97"/>
      <c r="BI335" s="97"/>
      <c r="BJ335" s="97"/>
      <c r="BK335" s="110"/>
      <c r="BL335" s="97"/>
      <c r="BM335" s="97"/>
      <c r="BN335" s="97"/>
      <c r="BO335" s="142"/>
      <c r="BP335" s="143">
        <f t="shared" si="61"/>
        <v>0</v>
      </c>
      <c r="BQ335" s="142"/>
      <c r="BR335" s="143">
        <f t="shared" si="62"/>
        <v>0</v>
      </c>
      <c r="BS335" s="132"/>
      <c r="BT335" s="146">
        <f t="shared" si="63"/>
        <v>0</v>
      </c>
      <c r="BU335" s="132"/>
      <c r="BV335" s="143">
        <f t="shared" si="64"/>
        <v>0</v>
      </c>
      <c r="BW335" s="132"/>
      <c r="BX335" s="146">
        <f t="shared" si="65"/>
        <v>0</v>
      </c>
      <c r="BY335" s="132"/>
      <c r="BZ335" s="146">
        <f t="shared" si="66"/>
        <v>0</v>
      </c>
      <c r="CA335" s="132"/>
      <c r="CB335" s="146">
        <f t="shared" si="67"/>
        <v>0</v>
      </c>
      <c r="CC335" s="132"/>
      <c r="CD335" s="143">
        <f t="shared" si="68"/>
        <v>0</v>
      </c>
      <c r="CE335" s="132"/>
      <c r="CF335" s="143">
        <f t="shared" si="69"/>
        <v>0</v>
      </c>
      <c r="CG335" s="132"/>
      <c r="CH335" s="143">
        <f t="shared" si="70"/>
        <v>0</v>
      </c>
      <c r="CI335" s="132">
        <f t="shared" si="71"/>
        <v>0</v>
      </c>
      <c r="CJ335" s="143">
        <f t="shared" si="71"/>
        <v>0</v>
      </c>
    </row>
    <row r="336" spans="1:88" x14ac:dyDescent="0.3">
      <c r="A336" s="27"/>
      <c r="B336" s="27"/>
      <c r="C336" s="27"/>
      <c r="D336" s="27"/>
      <c r="E336" s="27"/>
      <c r="F336" s="27"/>
      <c r="G336" s="27"/>
      <c r="H336" s="27"/>
      <c r="I336" s="27"/>
      <c r="J336" s="27"/>
      <c r="K336" s="27"/>
      <c r="L336" s="27"/>
      <c r="N336" s="27"/>
      <c r="O336" s="27"/>
      <c r="P336" s="27"/>
      <c r="Q336" s="117" t="s">
        <v>916</v>
      </c>
      <c r="R336" s="27"/>
      <c r="S336" s="27"/>
      <c r="T336" s="141" t="str">
        <f t="shared" si="60"/>
        <v xml:space="preserve"> </v>
      </c>
      <c r="U336" s="27"/>
      <c r="V336" s="27"/>
      <c r="W336" s="27"/>
      <c r="X336" s="27"/>
      <c r="Y336" s="27"/>
      <c r="AE336" s="27"/>
      <c r="BD336" s="97"/>
      <c r="BE336" s="108"/>
      <c r="BF336" s="108"/>
      <c r="BG336" s="97"/>
      <c r="BH336" s="97"/>
      <c r="BI336" s="97"/>
      <c r="BJ336" s="97"/>
      <c r="BK336" s="110"/>
      <c r="BL336" s="97"/>
      <c r="BM336" s="97"/>
      <c r="BN336" s="97"/>
      <c r="BO336" s="142"/>
      <c r="BP336" s="143">
        <f t="shared" si="61"/>
        <v>0</v>
      </c>
      <c r="BQ336" s="142"/>
      <c r="BR336" s="143">
        <f t="shared" si="62"/>
        <v>0</v>
      </c>
      <c r="BS336" s="132"/>
      <c r="BT336" s="146">
        <f t="shared" si="63"/>
        <v>0</v>
      </c>
      <c r="BU336" s="132"/>
      <c r="BV336" s="143">
        <f t="shared" si="64"/>
        <v>0</v>
      </c>
      <c r="BW336" s="132"/>
      <c r="BX336" s="146">
        <f t="shared" si="65"/>
        <v>0</v>
      </c>
      <c r="BY336" s="132"/>
      <c r="BZ336" s="146">
        <f t="shared" si="66"/>
        <v>0</v>
      </c>
      <c r="CA336" s="132"/>
      <c r="CB336" s="146">
        <f t="shared" si="67"/>
        <v>0</v>
      </c>
      <c r="CC336" s="132"/>
      <c r="CD336" s="143">
        <f t="shared" si="68"/>
        <v>0</v>
      </c>
      <c r="CE336" s="132"/>
      <c r="CF336" s="143">
        <f t="shared" si="69"/>
        <v>0</v>
      </c>
      <c r="CG336" s="132"/>
      <c r="CH336" s="143">
        <f t="shared" si="70"/>
        <v>0</v>
      </c>
      <c r="CI336" s="132">
        <f t="shared" si="71"/>
        <v>0</v>
      </c>
      <c r="CJ336" s="143">
        <f t="shared" si="71"/>
        <v>0</v>
      </c>
    </row>
    <row r="337" spans="1:88" x14ac:dyDescent="0.3">
      <c r="A337" s="27"/>
      <c r="B337" s="27"/>
      <c r="C337" s="27"/>
      <c r="D337" s="27"/>
      <c r="E337" s="27"/>
      <c r="F337" s="27"/>
      <c r="G337" s="27"/>
      <c r="H337" s="27"/>
      <c r="I337" s="27"/>
      <c r="J337" s="27"/>
      <c r="K337" s="27"/>
      <c r="L337" s="27"/>
      <c r="N337" s="27"/>
      <c r="O337" s="27"/>
      <c r="P337" s="27"/>
      <c r="Q337" s="117" t="s">
        <v>917</v>
      </c>
      <c r="R337" s="27"/>
      <c r="S337" s="27"/>
      <c r="T337" s="141" t="str">
        <f t="shared" si="60"/>
        <v xml:space="preserve"> </v>
      </c>
      <c r="U337" s="27"/>
      <c r="V337" s="27"/>
      <c r="W337" s="27"/>
      <c r="X337" s="27"/>
      <c r="Y337" s="27"/>
      <c r="AE337" s="27"/>
      <c r="BD337" s="97"/>
      <c r="BE337" s="108"/>
      <c r="BF337" s="108"/>
      <c r="BG337" s="97"/>
      <c r="BH337" s="97"/>
      <c r="BI337" s="97"/>
      <c r="BJ337" s="97"/>
      <c r="BK337" s="110"/>
      <c r="BL337" s="97"/>
      <c r="BM337" s="97"/>
      <c r="BN337" s="97"/>
      <c r="BO337" s="142"/>
      <c r="BP337" s="143">
        <f t="shared" si="61"/>
        <v>0</v>
      </c>
      <c r="BQ337" s="142"/>
      <c r="BR337" s="143">
        <f t="shared" si="62"/>
        <v>0</v>
      </c>
      <c r="BS337" s="132"/>
      <c r="BT337" s="146">
        <f t="shared" si="63"/>
        <v>0</v>
      </c>
      <c r="BU337" s="132"/>
      <c r="BV337" s="143">
        <f t="shared" si="64"/>
        <v>0</v>
      </c>
      <c r="BW337" s="132"/>
      <c r="BX337" s="146">
        <f t="shared" si="65"/>
        <v>0</v>
      </c>
      <c r="BY337" s="132"/>
      <c r="BZ337" s="146">
        <f t="shared" si="66"/>
        <v>0</v>
      </c>
      <c r="CA337" s="132"/>
      <c r="CB337" s="146">
        <f t="shared" si="67"/>
        <v>0</v>
      </c>
      <c r="CC337" s="132"/>
      <c r="CD337" s="143">
        <f t="shared" si="68"/>
        <v>0</v>
      </c>
      <c r="CE337" s="132"/>
      <c r="CF337" s="143">
        <f t="shared" si="69"/>
        <v>0</v>
      </c>
      <c r="CG337" s="132"/>
      <c r="CH337" s="143">
        <f t="shared" si="70"/>
        <v>0</v>
      </c>
      <c r="CI337" s="132">
        <f t="shared" si="71"/>
        <v>0</v>
      </c>
      <c r="CJ337" s="143">
        <f t="shared" si="71"/>
        <v>0</v>
      </c>
    </row>
    <row r="338" spans="1:88" x14ac:dyDescent="0.3">
      <c r="A338" s="27"/>
      <c r="B338" s="27"/>
      <c r="C338" s="27"/>
      <c r="D338" s="27"/>
      <c r="E338" s="27"/>
      <c r="F338" s="27"/>
      <c r="G338" s="27"/>
      <c r="H338" s="27"/>
      <c r="I338" s="27"/>
      <c r="J338" s="27"/>
      <c r="K338" s="27"/>
      <c r="L338" s="27"/>
      <c r="N338" s="27"/>
      <c r="O338" s="27"/>
      <c r="P338" s="27"/>
      <c r="Q338" s="117" t="s">
        <v>918</v>
      </c>
      <c r="R338" s="27"/>
      <c r="S338" s="27"/>
      <c r="T338" s="141" t="str">
        <f t="shared" si="60"/>
        <v xml:space="preserve"> </v>
      </c>
      <c r="U338" s="27"/>
      <c r="V338" s="27"/>
      <c r="W338" s="27"/>
      <c r="X338" s="27"/>
      <c r="Y338" s="27"/>
      <c r="AE338" s="27"/>
      <c r="BD338" s="97"/>
      <c r="BE338" s="108"/>
      <c r="BF338" s="108"/>
      <c r="BG338" s="97"/>
      <c r="BH338" s="97"/>
      <c r="BI338" s="97"/>
      <c r="BJ338" s="97"/>
      <c r="BK338" s="110"/>
      <c r="BL338" s="97"/>
      <c r="BM338" s="97"/>
      <c r="BN338" s="97"/>
      <c r="BO338" s="147"/>
      <c r="BP338" s="143">
        <f t="shared" si="61"/>
        <v>0</v>
      </c>
      <c r="BQ338" s="147"/>
      <c r="BR338" s="143">
        <f t="shared" si="62"/>
        <v>0</v>
      </c>
      <c r="BS338" s="132"/>
      <c r="BT338" s="146">
        <f t="shared" si="63"/>
        <v>0</v>
      </c>
      <c r="BU338" s="66"/>
      <c r="BV338" s="143">
        <f t="shared" si="64"/>
        <v>0</v>
      </c>
      <c r="BW338" s="66"/>
      <c r="BX338" s="146">
        <f t="shared" si="65"/>
        <v>0</v>
      </c>
      <c r="BY338" s="66"/>
      <c r="BZ338" s="146">
        <f t="shared" si="66"/>
        <v>0</v>
      </c>
      <c r="CA338" s="66"/>
      <c r="CB338" s="146">
        <f t="shared" si="67"/>
        <v>0</v>
      </c>
      <c r="CC338" s="66"/>
      <c r="CD338" s="143">
        <f t="shared" si="68"/>
        <v>0</v>
      </c>
      <c r="CE338" s="66"/>
      <c r="CF338" s="143">
        <f t="shared" si="69"/>
        <v>0</v>
      </c>
      <c r="CG338" s="132"/>
      <c r="CH338" s="143">
        <f t="shared" si="70"/>
        <v>0</v>
      </c>
      <c r="CI338" s="132">
        <f t="shared" si="71"/>
        <v>0</v>
      </c>
      <c r="CJ338" s="143">
        <f t="shared" si="71"/>
        <v>0</v>
      </c>
    </row>
    <row r="339" spans="1:88" x14ac:dyDescent="0.3">
      <c r="A339" s="27"/>
      <c r="B339" s="27"/>
      <c r="C339" s="27"/>
      <c r="D339" s="27"/>
      <c r="E339" s="27"/>
      <c r="F339" s="27"/>
      <c r="G339" s="27"/>
      <c r="H339" s="27"/>
      <c r="I339" s="27"/>
      <c r="J339" s="27"/>
      <c r="K339" s="27"/>
      <c r="L339" s="27"/>
      <c r="N339" s="27"/>
      <c r="O339" s="27"/>
      <c r="P339" s="27"/>
      <c r="Q339" s="117" t="s">
        <v>919</v>
      </c>
      <c r="R339" s="27"/>
      <c r="S339" s="27"/>
      <c r="T339" s="141" t="str">
        <f t="shared" si="60"/>
        <v xml:space="preserve"> </v>
      </c>
      <c r="U339" s="27"/>
      <c r="V339" s="27"/>
      <c r="W339" s="27"/>
      <c r="X339" s="27"/>
      <c r="Y339" s="27"/>
      <c r="AE339" s="27"/>
      <c r="BD339" s="97"/>
      <c r="BE339" s="108"/>
      <c r="BF339" s="108"/>
      <c r="BG339" s="97"/>
      <c r="BH339" s="97"/>
      <c r="BI339" s="97"/>
      <c r="BJ339" s="97"/>
      <c r="BK339" s="110"/>
      <c r="BL339" s="97"/>
      <c r="BM339" s="97"/>
      <c r="BN339" s="97"/>
      <c r="BO339" s="142"/>
      <c r="BP339" s="143">
        <f t="shared" si="61"/>
        <v>0</v>
      </c>
      <c r="BQ339" s="142"/>
      <c r="BR339" s="143">
        <f t="shared" si="62"/>
        <v>0</v>
      </c>
      <c r="BS339" s="132"/>
      <c r="BT339" s="146">
        <f t="shared" si="63"/>
        <v>0</v>
      </c>
      <c r="BU339" s="132"/>
      <c r="BV339" s="143">
        <f t="shared" si="64"/>
        <v>0</v>
      </c>
      <c r="BW339" s="132"/>
      <c r="BX339" s="146">
        <f t="shared" si="65"/>
        <v>0</v>
      </c>
      <c r="BY339" s="132"/>
      <c r="BZ339" s="146">
        <f t="shared" si="66"/>
        <v>0</v>
      </c>
      <c r="CA339" s="132"/>
      <c r="CB339" s="146">
        <f t="shared" si="67"/>
        <v>0</v>
      </c>
      <c r="CC339" s="132"/>
      <c r="CD339" s="143">
        <f t="shared" si="68"/>
        <v>0</v>
      </c>
      <c r="CE339" s="132"/>
      <c r="CF339" s="143">
        <f t="shared" si="69"/>
        <v>0</v>
      </c>
      <c r="CG339" s="132"/>
      <c r="CH339" s="143">
        <f t="shared" si="70"/>
        <v>0</v>
      </c>
      <c r="CI339" s="132">
        <f t="shared" si="71"/>
        <v>0</v>
      </c>
      <c r="CJ339" s="143">
        <f t="shared" si="71"/>
        <v>0</v>
      </c>
    </row>
    <row r="340" spans="1:88" x14ac:dyDescent="0.3">
      <c r="A340" s="27"/>
      <c r="B340" s="27"/>
      <c r="C340" s="27"/>
      <c r="D340" s="27"/>
      <c r="E340" s="27"/>
      <c r="F340" s="27"/>
      <c r="G340" s="27"/>
      <c r="H340" s="27"/>
      <c r="I340" s="27"/>
      <c r="J340" s="27"/>
      <c r="K340" s="27"/>
      <c r="L340" s="27"/>
      <c r="N340" s="27"/>
      <c r="O340" s="27"/>
      <c r="P340" s="27"/>
      <c r="Q340" s="117" t="s">
        <v>920</v>
      </c>
      <c r="R340" s="27"/>
      <c r="S340" s="27"/>
      <c r="T340" s="141" t="str">
        <f t="shared" si="60"/>
        <v xml:space="preserve"> </v>
      </c>
      <c r="U340" s="27"/>
      <c r="V340" s="27"/>
      <c r="W340" s="27"/>
      <c r="X340" s="27"/>
      <c r="Y340" s="27"/>
      <c r="AE340" s="27"/>
      <c r="BD340" s="97"/>
      <c r="BE340" s="108"/>
      <c r="BF340" s="108"/>
      <c r="BG340" s="97"/>
      <c r="BH340" s="97"/>
      <c r="BI340" s="97"/>
      <c r="BJ340" s="97"/>
      <c r="BK340" s="110"/>
      <c r="BL340" s="97"/>
      <c r="BM340" s="97"/>
      <c r="BN340" s="97"/>
      <c r="BO340" s="142"/>
      <c r="BP340" s="143">
        <f t="shared" si="61"/>
        <v>0</v>
      </c>
      <c r="BQ340" s="142"/>
      <c r="BR340" s="143">
        <f t="shared" si="62"/>
        <v>0</v>
      </c>
      <c r="BS340" s="132"/>
      <c r="BT340" s="146">
        <f t="shared" si="63"/>
        <v>0</v>
      </c>
      <c r="BU340" s="132"/>
      <c r="BV340" s="143">
        <f t="shared" si="64"/>
        <v>0</v>
      </c>
      <c r="BW340" s="132"/>
      <c r="BX340" s="146">
        <f t="shared" si="65"/>
        <v>0</v>
      </c>
      <c r="BY340" s="132"/>
      <c r="BZ340" s="146">
        <f t="shared" si="66"/>
        <v>0</v>
      </c>
      <c r="CA340" s="132"/>
      <c r="CB340" s="146">
        <f t="shared" si="67"/>
        <v>0</v>
      </c>
      <c r="CC340" s="132"/>
      <c r="CD340" s="143">
        <f t="shared" si="68"/>
        <v>0</v>
      </c>
      <c r="CE340" s="132"/>
      <c r="CF340" s="143">
        <f t="shared" si="69"/>
        <v>0</v>
      </c>
      <c r="CG340" s="132"/>
      <c r="CH340" s="143">
        <f t="shared" si="70"/>
        <v>0</v>
      </c>
      <c r="CI340" s="132">
        <f t="shared" si="71"/>
        <v>0</v>
      </c>
      <c r="CJ340" s="143">
        <f t="shared" si="71"/>
        <v>0</v>
      </c>
    </row>
    <row r="341" spans="1:88" x14ac:dyDescent="0.3">
      <c r="A341" s="27"/>
      <c r="B341" s="27"/>
      <c r="C341" s="27"/>
      <c r="D341" s="27"/>
      <c r="E341" s="27"/>
      <c r="F341" s="27"/>
      <c r="G341" s="27"/>
      <c r="H341" s="27"/>
      <c r="I341" s="27"/>
      <c r="J341" s="27"/>
      <c r="K341" s="27"/>
      <c r="L341" s="27"/>
      <c r="N341" s="27"/>
      <c r="O341" s="27"/>
      <c r="P341" s="27"/>
      <c r="Q341" s="117" t="s">
        <v>921</v>
      </c>
      <c r="R341" s="27"/>
      <c r="S341" s="27"/>
      <c r="T341" s="141" t="str">
        <f t="shared" si="60"/>
        <v xml:space="preserve"> </v>
      </c>
      <c r="U341" s="27"/>
      <c r="V341" s="27"/>
      <c r="W341" s="27"/>
      <c r="X341" s="27"/>
      <c r="Y341" s="27"/>
      <c r="AE341" s="27"/>
      <c r="BD341" s="97"/>
      <c r="BE341" s="108"/>
      <c r="BF341" s="108"/>
      <c r="BG341" s="97"/>
      <c r="BH341" s="97"/>
      <c r="BI341" s="97"/>
      <c r="BJ341" s="97"/>
      <c r="BK341" s="110"/>
      <c r="BL341" s="97"/>
      <c r="BM341" s="97"/>
      <c r="BN341" s="97"/>
      <c r="BO341" s="142"/>
      <c r="BP341" s="143">
        <f t="shared" si="61"/>
        <v>0</v>
      </c>
      <c r="BQ341" s="142"/>
      <c r="BR341" s="143">
        <f t="shared" si="62"/>
        <v>0</v>
      </c>
      <c r="BS341" s="132"/>
      <c r="BT341" s="146">
        <f t="shared" si="63"/>
        <v>0</v>
      </c>
      <c r="BU341" s="132"/>
      <c r="BV341" s="143">
        <f t="shared" si="64"/>
        <v>0</v>
      </c>
      <c r="BW341" s="132"/>
      <c r="BX341" s="146">
        <f t="shared" si="65"/>
        <v>0</v>
      </c>
      <c r="BY341" s="132"/>
      <c r="BZ341" s="146">
        <f t="shared" si="66"/>
        <v>0</v>
      </c>
      <c r="CA341" s="132"/>
      <c r="CB341" s="146">
        <f t="shared" si="67"/>
        <v>0</v>
      </c>
      <c r="CC341" s="132"/>
      <c r="CD341" s="143">
        <f t="shared" si="68"/>
        <v>0</v>
      </c>
      <c r="CE341" s="132"/>
      <c r="CF341" s="143">
        <f t="shared" si="69"/>
        <v>0</v>
      </c>
      <c r="CG341" s="132"/>
      <c r="CH341" s="143">
        <f t="shared" si="70"/>
        <v>0</v>
      </c>
      <c r="CI341" s="132">
        <f t="shared" si="71"/>
        <v>0</v>
      </c>
      <c r="CJ341" s="143">
        <f t="shared" si="71"/>
        <v>0</v>
      </c>
    </row>
    <row r="342" spans="1:88" x14ac:dyDescent="0.3">
      <c r="A342" s="27"/>
      <c r="B342" s="27"/>
      <c r="C342" s="27"/>
      <c r="D342" s="27"/>
      <c r="E342" s="27"/>
      <c r="F342" s="27"/>
      <c r="G342" s="27"/>
      <c r="H342" s="27"/>
      <c r="I342" s="27"/>
      <c r="J342" s="27"/>
      <c r="K342" s="27"/>
      <c r="L342" s="27"/>
      <c r="N342" s="27"/>
      <c r="O342" s="27"/>
      <c r="P342" s="27"/>
      <c r="Q342" s="117" t="s">
        <v>922</v>
      </c>
      <c r="R342" s="27"/>
      <c r="S342" s="27"/>
      <c r="T342" s="141" t="str">
        <f t="shared" si="60"/>
        <v xml:space="preserve"> </v>
      </c>
      <c r="U342" s="27"/>
      <c r="V342" s="27"/>
      <c r="W342" s="27"/>
      <c r="X342" s="27"/>
      <c r="Y342" s="27"/>
      <c r="AE342" s="27"/>
      <c r="BD342" s="97"/>
      <c r="BE342" s="108"/>
      <c r="BF342" s="108"/>
      <c r="BG342" s="97"/>
      <c r="BH342" s="97"/>
      <c r="BI342" s="97"/>
      <c r="BJ342" s="97"/>
      <c r="BK342" s="110"/>
      <c r="BL342" s="97"/>
      <c r="BM342" s="97"/>
      <c r="BN342" s="97"/>
      <c r="BO342" s="147"/>
      <c r="BP342" s="143">
        <f t="shared" si="61"/>
        <v>0</v>
      </c>
      <c r="BQ342" s="147"/>
      <c r="BR342" s="143">
        <f t="shared" si="62"/>
        <v>0</v>
      </c>
      <c r="BS342" s="132"/>
      <c r="BT342" s="146">
        <f t="shared" si="63"/>
        <v>0</v>
      </c>
      <c r="BU342" s="66"/>
      <c r="BV342" s="143">
        <f t="shared" si="64"/>
        <v>0</v>
      </c>
      <c r="BW342" s="66"/>
      <c r="BX342" s="146">
        <f t="shared" si="65"/>
        <v>0</v>
      </c>
      <c r="BY342" s="66"/>
      <c r="BZ342" s="146">
        <f t="shared" si="66"/>
        <v>0</v>
      </c>
      <c r="CA342" s="66"/>
      <c r="CB342" s="146">
        <f t="shared" si="67"/>
        <v>0</v>
      </c>
      <c r="CC342" s="66"/>
      <c r="CD342" s="143">
        <f t="shared" si="68"/>
        <v>0</v>
      </c>
      <c r="CE342" s="66"/>
      <c r="CF342" s="143">
        <f t="shared" si="69"/>
        <v>0</v>
      </c>
      <c r="CG342" s="132"/>
      <c r="CH342" s="143">
        <f t="shared" si="70"/>
        <v>0</v>
      </c>
      <c r="CI342" s="132">
        <f t="shared" si="71"/>
        <v>0</v>
      </c>
      <c r="CJ342" s="143">
        <f t="shared" si="71"/>
        <v>0</v>
      </c>
    </row>
    <row r="343" spans="1:88" x14ac:dyDescent="0.3">
      <c r="A343" s="27"/>
      <c r="B343" s="27"/>
      <c r="C343" s="27"/>
      <c r="D343" s="27"/>
      <c r="E343" s="27"/>
      <c r="F343" s="27"/>
      <c r="G343" s="27"/>
      <c r="H343" s="27"/>
      <c r="I343" s="27"/>
      <c r="J343" s="27"/>
      <c r="K343" s="27"/>
      <c r="L343" s="27"/>
      <c r="N343" s="27"/>
      <c r="O343" s="27"/>
      <c r="P343" s="27"/>
      <c r="Q343" s="117" t="s">
        <v>923</v>
      </c>
      <c r="R343" s="27"/>
      <c r="S343" s="27"/>
      <c r="T343" s="141" t="str">
        <f t="shared" si="60"/>
        <v xml:space="preserve"> </v>
      </c>
      <c r="U343" s="27"/>
      <c r="V343" s="27"/>
      <c r="W343" s="27"/>
      <c r="X343" s="27"/>
      <c r="Y343" s="27"/>
      <c r="AE343" s="27"/>
      <c r="BD343" s="97"/>
      <c r="BE343" s="108"/>
      <c r="BF343" s="108"/>
      <c r="BG343" s="97"/>
      <c r="BH343" s="97"/>
      <c r="BI343" s="97"/>
      <c r="BJ343" s="97"/>
      <c r="BK343" s="110"/>
      <c r="BL343" s="97"/>
      <c r="BM343" s="97"/>
      <c r="BN343" s="97"/>
      <c r="BO343" s="147"/>
      <c r="BP343" s="143">
        <f t="shared" si="61"/>
        <v>0</v>
      </c>
      <c r="BQ343" s="147"/>
      <c r="BR343" s="143">
        <f t="shared" si="62"/>
        <v>0</v>
      </c>
      <c r="BS343" s="132"/>
      <c r="BT343" s="146">
        <f t="shared" si="63"/>
        <v>0</v>
      </c>
      <c r="BU343" s="66"/>
      <c r="BV343" s="143">
        <f t="shared" si="64"/>
        <v>0</v>
      </c>
      <c r="BW343" s="66"/>
      <c r="BX343" s="146">
        <f t="shared" si="65"/>
        <v>0</v>
      </c>
      <c r="BY343" s="66"/>
      <c r="BZ343" s="146">
        <f t="shared" si="66"/>
        <v>0</v>
      </c>
      <c r="CA343" s="66"/>
      <c r="CB343" s="146">
        <f t="shared" si="67"/>
        <v>0</v>
      </c>
      <c r="CC343" s="66"/>
      <c r="CD343" s="143">
        <f t="shared" si="68"/>
        <v>0</v>
      </c>
      <c r="CE343" s="66"/>
      <c r="CF343" s="143">
        <f t="shared" si="69"/>
        <v>0</v>
      </c>
      <c r="CG343" s="132"/>
      <c r="CH343" s="143">
        <f t="shared" si="70"/>
        <v>0</v>
      </c>
      <c r="CI343" s="132">
        <f t="shared" si="71"/>
        <v>0</v>
      </c>
      <c r="CJ343" s="143">
        <f t="shared" si="71"/>
        <v>0</v>
      </c>
    </row>
    <row r="344" spans="1:88" x14ac:dyDescent="0.3">
      <c r="A344" s="27"/>
      <c r="B344" s="27"/>
      <c r="C344" s="27"/>
      <c r="D344" s="27"/>
      <c r="E344" s="27"/>
      <c r="F344" s="27"/>
      <c r="G344" s="27"/>
      <c r="H344" s="27"/>
      <c r="I344" s="27"/>
      <c r="J344" s="27"/>
      <c r="K344" s="27"/>
      <c r="L344" s="27"/>
      <c r="N344" s="27"/>
      <c r="O344" s="27"/>
      <c r="P344" s="27"/>
      <c r="Q344" s="117" t="s">
        <v>924</v>
      </c>
      <c r="R344" s="27"/>
      <c r="S344" s="27"/>
      <c r="T344" s="141" t="str">
        <f t="shared" si="60"/>
        <v xml:space="preserve"> </v>
      </c>
      <c r="U344" s="27"/>
      <c r="V344" s="27"/>
      <c r="W344" s="27"/>
      <c r="X344" s="27"/>
      <c r="Y344" s="27"/>
      <c r="AE344" s="27"/>
      <c r="BD344" s="97"/>
      <c r="BE344" s="108"/>
      <c r="BF344" s="108"/>
      <c r="BG344" s="97"/>
      <c r="BH344" s="97"/>
      <c r="BI344" s="97"/>
      <c r="BJ344" s="97"/>
      <c r="BK344" s="110"/>
      <c r="BL344" s="97"/>
      <c r="BM344" s="97"/>
      <c r="BN344" s="97"/>
      <c r="BO344" s="147"/>
      <c r="BP344" s="143">
        <f t="shared" si="61"/>
        <v>0</v>
      </c>
      <c r="BQ344" s="147"/>
      <c r="BR344" s="143">
        <f t="shared" si="62"/>
        <v>0</v>
      </c>
      <c r="BS344" s="132"/>
      <c r="BT344" s="146">
        <f t="shared" si="63"/>
        <v>0</v>
      </c>
      <c r="BU344" s="66"/>
      <c r="BV344" s="143">
        <f t="shared" si="64"/>
        <v>0</v>
      </c>
      <c r="BW344" s="66"/>
      <c r="BX344" s="146">
        <f t="shared" si="65"/>
        <v>0</v>
      </c>
      <c r="BY344" s="66"/>
      <c r="BZ344" s="146">
        <f t="shared" si="66"/>
        <v>0</v>
      </c>
      <c r="CA344" s="66"/>
      <c r="CB344" s="146">
        <f t="shared" si="67"/>
        <v>0</v>
      </c>
      <c r="CC344" s="66"/>
      <c r="CD344" s="143">
        <f t="shared" si="68"/>
        <v>0</v>
      </c>
      <c r="CE344" s="66"/>
      <c r="CF344" s="143">
        <f t="shared" si="69"/>
        <v>0</v>
      </c>
      <c r="CG344" s="132"/>
      <c r="CH344" s="143">
        <f t="shared" si="70"/>
        <v>0</v>
      </c>
      <c r="CI344" s="132">
        <f t="shared" si="71"/>
        <v>0</v>
      </c>
      <c r="CJ344" s="143">
        <f t="shared" si="71"/>
        <v>0</v>
      </c>
    </row>
    <row r="345" spans="1:88" x14ac:dyDescent="0.3">
      <c r="A345" s="27"/>
      <c r="B345" s="27"/>
      <c r="C345" s="27"/>
      <c r="D345" s="27"/>
      <c r="E345" s="27"/>
      <c r="F345" s="27"/>
      <c r="G345" s="27"/>
      <c r="H345" s="27"/>
      <c r="I345" s="27"/>
      <c r="J345" s="27"/>
      <c r="K345" s="27"/>
      <c r="L345" s="27"/>
      <c r="N345" s="27"/>
      <c r="O345" s="27"/>
      <c r="P345" s="27"/>
      <c r="Q345" s="117" t="s">
        <v>925</v>
      </c>
      <c r="R345" s="27"/>
      <c r="S345" s="27"/>
      <c r="T345" s="141" t="str">
        <f t="shared" si="60"/>
        <v xml:space="preserve"> </v>
      </c>
      <c r="U345" s="27"/>
      <c r="V345" s="27"/>
      <c r="W345" s="27"/>
      <c r="X345" s="27"/>
      <c r="Y345" s="27"/>
      <c r="AE345" s="27"/>
      <c r="BD345" s="97"/>
      <c r="BE345" s="108"/>
      <c r="BF345" s="108"/>
      <c r="BG345" s="97"/>
      <c r="BH345" s="97"/>
      <c r="BI345" s="97"/>
      <c r="BJ345" s="97"/>
      <c r="BK345" s="110"/>
      <c r="BL345" s="97"/>
      <c r="BM345" s="97"/>
      <c r="BN345" s="97"/>
      <c r="BO345" s="147"/>
      <c r="BP345" s="143">
        <f t="shared" si="61"/>
        <v>0</v>
      </c>
      <c r="BQ345" s="147"/>
      <c r="BR345" s="143">
        <f t="shared" si="62"/>
        <v>0</v>
      </c>
      <c r="BS345" s="132"/>
      <c r="BT345" s="146">
        <f t="shared" si="63"/>
        <v>0</v>
      </c>
      <c r="BU345" s="66"/>
      <c r="BV345" s="143">
        <f t="shared" si="64"/>
        <v>0</v>
      </c>
      <c r="BW345" s="66"/>
      <c r="BX345" s="146">
        <f t="shared" si="65"/>
        <v>0</v>
      </c>
      <c r="BY345" s="66"/>
      <c r="BZ345" s="146">
        <f t="shared" si="66"/>
        <v>0</v>
      </c>
      <c r="CA345" s="66"/>
      <c r="CB345" s="146">
        <f t="shared" si="67"/>
        <v>0</v>
      </c>
      <c r="CC345" s="66"/>
      <c r="CD345" s="143">
        <f t="shared" si="68"/>
        <v>0</v>
      </c>
      <c r="CE345" s="66"/>
      <c r="CF345" s="143">
        <f t="shared" si="69"/>
        <v>0</v>
      </c>
      <c r="CG345" s="132"/>
      <c r="CH345" s="143">
        <f t="shared" si="70"/>
        <v>0</v>
      </c>
      <c r="CI345" s="132">
        <f t="shared" si="71"/>
        <v>0</v>
      </c>
      <c r="CJ345" s="143">
        <f t="shared" si="71"/>
        <v>0</v>
      </c>
    </row>
    <row r="346" spans="1:88" x14ac:dyDescent="0.3">
      <c r="A346" s="27"/>
      <c r="B346" s="27"/>
      <c r="C346" s="27"/>
      <c r="D346" s="27"/>
      <c r="E346" s="27"/>
      <c r="F346" s="27"/>
      <c r="G346" s="27"/>
      <c r="H346" s="27"/>
      <c r="I346" s="27"/>
      <c r="J346" s="27"/>
      <c r="K346" s="27"/>
      <c r="L346" s="27"/>
      <c r="N346" s="27"/>
      <c r="O346" s="27"/>
      <c r="P346" s="27"/>
      <c r="Q346" s="117" t="s">
        <v>926</v>
      </c>
      <c r="R346" s="27"/>
      <c r="S346" s="27"/>
      <c r="T346" s="141" t="str">
        <f t="shared" si="60"/>
        <v xml:space="preserve"> </v>
      </c>
      <c r="U346" s="27"/>
      <c r="V346" s="27"/>
      <c r="W346" s="27"/>
      <c r="X346" s="27"/>
      <c r="Y346" s="27"/>
      <c r="AE346" s="27"/>
      <c r="BD346" s="97"/>
      <c r="BE346" s="108"/>
      <c r="BF346" s="108"/>
      <c r="BG346" s="97"/>
      <c r="BH346" s="97"/>
      <c r="BI346" s="97"/>
      <c r="BJ346" s="97"/>
      <c r="BK346" s="110"/>
      <c r="BL346" s="97"/>
      <c r="BM346" s="97"/>
      <c r="BN346" s="97"/>
      <c r="BO346" s="147"/>
      <c r="BP346" s="143">
        <f t="shared" si="61"/>
        <v>0</v>
      </c>
      <c r="BQ346" s="147"/>
      <c r="BR346" s="143">
        <f t="shared" si="62"/>
        <v>0</v>
      </c>
      <c r="BS346" s="132"/>
      <c r="BT346" s="146">
        <f t="shared" si="63"/>
        <v>0</v>
      </c>
      <c r="BU346" s="66"/>
      <c r="BV346" s="143">
        <f t="shared" si="64"/>
        <v>0</v>
      </c>
      <c r="BW346" s="66"/>
      <c r="BX346" s="146">
        <f t="shared" si="65"/>
        <v>0</v>
      </c>
      <c r="BY346" s="66"/>
      <c r="BZ346" s="146">
        <f t="shared" si="66"/>
        <v>0</v>
      </c>
      <c r="CA346" s="66"/>
      <c r="CB346" s="146">
        <f t="shared" si="67"/>
        <v>0</v>
      </c>
      <c r="CC346" s="66"/>
      <c r="CD346" s="143">
        <f t="shared" si="68"/>
        <v>0</v>
      </c>
      <c r="CE346" s="66"/>
      <c r="CF346" s="143">
        <f t="shared" si="69"/>
        <v>0</v>
      </c>
      <c r="CG346" s="132"/>
      <c r="CH346" s="143">
        <f t="shared" si="70"/>
        <v>0</v>
      </c>
      <c r="CI346" s="132">
        <f t="shared" si="71"/>
        <v>0</v>
      </c>
      <c r="CJ346" s="143">
        <f t="shared" si="71"/>
        <v>0</v>
      </c>
    </row>
    <row r="347" spans="1:88" x14ac:dyDescent="0.3">
      <c r="A347" s="27"/>
      <c r="B347" s="27"/>
      <c r="C347" s="27"/>
      <c r="D347" s="27"/>
      <c r="E347" s="27"/>
      <c r="F347" s="27"/>
      <c r="G347" s="27"/>
      <c r="H347" s="27"/>
      <c r="I347" s="27"/>
      <c r="J347" s="27"/>
      <c r="K347" s="27"/>
      <c r="L347" s="27"/>
      <c r="N347" s="27"/>
      <c r="O347" s="27"/>
      <c r="P347" s="27"/>
      <c r="Q347" s="117" t="s">
        <v>927</v>
      </c>
      <c r="R347" s="27"/>
      <c r="S347" s="27"/>
      <c r="T347" s="141" t="str">
        <f t="shared" si="60"/>
        <v xml:space="preserve"> </v>
      </c>
      <c r="U347" s="27"/>
      <c r="V347" s="27"/>
      <c r="W347" s="27"/>
      <c r="X347" s="27"/>
      <c r="Y347" s="27"/>
      <c r="AE347" s="27"/>
      <c r="BD347" s="97"/>
      <c r="BE347" s="108"/>
      <c r="BF347" s="108"/>
      <c r="BG347" s="97"/>
      <c r="BH347" s="97"/>
      <c r="BI347" s="97"/>
      <c r="BJ347" s="97"/>
      <c r="BK347" s="110"/>
      <c r="BL347" s="97"/>
      <c r="BM347" s="97"/>
      <c r="BN347" s="97"/>
      <c r="BO347" s="147"/>
      <c r="BP347" s="143">
        <f t="shared" si="61"/>
        <v>0</v>
      </c>
      <c r="BQ347" s="147"/>
      <c r="BR347" s="143">
        <f t="shared" si="62"/>
        <v>0</v>
      </c>
      <c r="BS347" s="132"/>
      <c r="BT347" s="146">
        <f t="shared" si="63"/>
        <v>0</v>
      </c>
      <c r="BU347" s="66"/>
      <c r="BV347" s="143">
        <f t="shared" si="64"/>
        <v>0</v>
      </c>
      <c r="BW347" s="66"/>
      <c r="BX347" s="146">
        <f t="shared" si="65"/>
        <v>0</v>
      </c>
      <c r="BY347" s="66"/>
      <c r="BZ347" s="146">
        <f t="shared" si="66"/>
        <v>0</v>
      </c>
      <c r="CA347" s="66"/>
      <c r="CB347" s="146">
        <f t="shared" si="67"/>
        <v>0</v>
      </c>
      <c r="CC347" s="66"/>
      <c r="CD347" s="143">
        <f t="shared" si="68"/>
        <v>0</v>
      </c>
      <c r="CE347" s="66"/>
      <c r="CF347" s="143">
        <f t="shared" si="69"/>
        <v>0</v>
      </c>
      <c r="CG347" s="132"/>
      <c r="CH347" s="143">
        <f t="shared" si="70"/>
        <v>0</v>
      </c>
      <c r="CI347" s="132">
        <f t="shared" si="71"/>
        <v>0</v>
      </c>
      <c r="CJ347" s="143">
        <f t="shared" si="71"/>
        <v>0</v>
      </c>
    </row>
    <row r="348" spans="1:88" x14ac:dyDescent="0.3">
      <c r="A348" s="27"/>
      <c r="B348" s="27"/>
      <c r="C348" s="27"/>
      <c r="D348" s="27"/>
      <c r="E348" s="27"/>
      <c r="F348" s="27"/>
      <c r="G348" s="27"/>
      <c r="H348" s="27"/>
      <c r="I348" s="27"/>
      <c r="J348" s="27"/>
      <c r="K348" s="27"/>
      <c r="L348" s="27"/>
      <c r="N348" s="27"/>
      <c r="O348" s="27"/>
      <c r="P348" s="27"/>
      <c r="Q348" s="117" t="s">
        <v>928</v>
      </c>
      <c r="R348" s="27"/>
      <c r="S348" s="27"/>
      <c r="T348" s="141" t="str">
        <f t="shared" si="60"/>
        <v xml:space="preserve"> </v>
      </c>
      <c r="U348" s="27"/>
      <c r="V348" s="27"/>
      <c r="W348" s="27"/>
      <c r="X348" s="27"/>
      <c r="Y348" s="27"/>
      <c r="AE348" s="27"/>
      <c r="BD348" s="97"/>
      <c r="BE348" s="108"/>
      <c r="BF348" s="108"/>
      <c r="BG348" s="97"/>
      <c r="BH348" s="97"/>
      <c r="BI348" s="97"/>
      <c r="BJ348" s="97"/>
      <c r="BK348" s="110"/>
      <c r="BL348" s="97"/>
      <c r="BM348" s="97"/>
      <c r="BN348" s="97"/>
      <c r="BO348" s="156"/>
      <c r="BP348" s="143">
        <f t="shared" si="61"/>
        <v>0</v>
      </c>
      <c r="BQ348" s="156"/>
      <c r="BR348" s="143">
        <f t="shared" si="62"/>
        <v>0</v>
      </c>
      <c r="BS348" s="132"/>
      <c r="BT348" s="146">
        <f t="shared" si="63"/>
        <v>0</v>
      </c>
      <c r="BU348" s="121"/>
      <c r="BV348" s="143">
        <f t="shared" si="64"/>
        <v>0</v>
      </c>
      <c r="BW348" s="121"/>
      <c r="BX348" s="146">
        <f t="shared" si="65"/>
        <v>0</v>
      </c>
      <c r="BY348" s="121"/>
      <c r="BZ348" s="146">
        <f t="shared" si="66"/>
        <v>0</v>
      </c>
      <c r="CA348" s="121"/>
      <c r="CB348" s="146">
        <f t="shared" si="67"/>
        <v>0</v>
      </c>
      <c r="CC348" s="121"/>
      <c r="CD348" s="143">
        <f t="shared" si="68"/>
        <v>0</v>
      </c>
      <c r="CE348" s="121"/>
      <c r="CF348" s="143">
        <f t="shared" si="69"/>
        <v>0</v>
      </c>
      <c r="CG348" s="132"/>
      <c r="CH348" s="143">
        <f t="shared" si="70"/>
        <v>0</v>
      </c>
      <c r="CI348" s="132">
        <f t="shared" si="71"/>
        <v>0</v>
      </c>
      <c r="CJ348" s="143">
        <f t="shared" si="71"/>
        <v>0</v>
      </c>
    </row>
    <row r="349" spans="1:88" x14ac:dyDescent="0.3">
      <c r="A349" s="27"/>
      <c r="B349" s="27"/>
      <c r="C349" s="27"/>
      <c r="D349" s="27"/>
      <c r="E349" s="27"/>
      <c r="F349" s="27"/>
      <c r="G349" s="27"/>
      <c r="H349" s="27"/>
      <c r="I349" s="27"/>
      <c r="J349" s="27"/>
      <c r="K349" s="27"/>
      <c r="L349" s="27"/>
      <c r="N349" s="27"/>
      <c r="O349" s="27"/>
      <c r="P349" s="27"/>
      <c r="Q349" s="117" t="s">
        <v>929</v>
      </c>
      <c r="R349" s="27"/>
      <c r="S349" s="27"/>
      <c r="T349" s="141" t="str">
        <f t="shared" si="60"/>
        <v xml:space="preserve"> </v>
      </c>
      <c r="U349" s="27"/>
      <c r="V349" s="27"/>
      <c r="W349" s="27"/>
      <c r="X349" s="27"/>
      <c r="Y349" s="27"/>
      <c r="AE349" s="27"/>
      <c r="BD349" s="97"/>
      <c r="BE349" s="108"/>
      <c r="BF349" s="108"/>
      <c r="BG349" s="97"/>
      <c r="BH349" s="97"/>
      <c r="BI349" s="97"/>
      <c r="BJ349" s="97"/>
      <c r="BK349" s="110"/>
      <c r="BL349" s="97"/>
      <c r="BM349" s="97"/>
      <c r="BN349" s="97"/>
      <c r="BO349" s="142"/>
      <c r="BP349" s="143">
        <f t="shared" si="61"/>
        <v>0</v>
      </c>
      <c r="BQ349" s="142"/>
      <c r="BR349" s="143">
        <f t="shared" si="62"/>
        <v>0</v>
      </c>
      <c r="BS349" s="132"/>
      <c r="BT349" s="146">
        <f t="shared" si="63"/>
        <v>0</v>
      </c>
      <c r="BU349" s="132"/>
      <c r="BV349" s="143">
        <f t="shared" si="64"/>
        <v>0</v>
      </c>
      <c r="BW349" s="132"/>
      <c r="BX349" s="146">
        <f t="shared" si="65"/>
        <v>0</v>
      </c>
      <c r="BY349" s="132"/>
      <c r="BZ349" s="146">
        <f t="shared" si="66"/>
        <v>0</v>
      </c>
      <c r="CA349" s="132"/>
      <c r="CB349" s="146">
        <f t="shared" si="67"/>
        <v>0</v>
      </c>
      <c r="CC349" s="132"/>
      <c r="CD349" s="143">
        <f t="shared" si="68"/>
        <v>0</v>
      </c>
      <c r="CE349" s="132"/>
      <c r="CF349" s="143">
        <f t="shared" si="69"/>
        <v>0</v>
      </c>
      <c r="CG349" s="132"/>
      <c r="CH349" s="143">
        <f t="shared" si="70"/>
        <v>0</v>
      </c>
      <c r="CI349" s="132">
        <f t="shared" si="71"/>
        <v>0</v>
      </c>
      <c r="CJ349" s="143">
        <f t="shared" si="71"/>
        <v>0</v>
      </c>
    </row>
    <row r="350" spans="1:88" x14ac:dyDescent="0.3">
      <c r="A350" s="27"/>
      <c r="B350" s="27"/>
      <c r="C350" s="27"/>
      <c r="D350" s="27"/>
      <c r="E350" s="27"/>
      <c r="F350" s="27"/>
      <c r="G350" s="27"/>
      <c r="H350" s="27"/>
      <c r="I350" s="27"/>
      <c r="J350" s="27"/>
      <c r="K350" s="27"/>
      <c r="L350" s="27"/>
      <c r="N350" s="27"/>
      <c r="O350" s="27"/>
      <c r="P350" s="27"/>
      <c r="Q350" s="117" t="s">
        <v>930</v>
      </c>
      <c r="R350" s="27"/>
      <c r="S350" s="27"/>
      <c r="T350" s="141" t="str">
        <f t="shared" si="60"/>
        <v xml:space="preserve"> </v>
      </c>
      <c r="U350" s="27"/>
      <c r="V350" s="27"/>
      <c r="W350" s="27"/>
      <c r="X350" s="27"/>
      <c r="Y350" s="27"/>
      <c r="AE350" s="27"/>
      <c r="BD350" s="97"/>
      <c r="BE350" s="108"/>
      <c r="BF350" s="108"/>
      <c r="BG350" s="97"/>
      <c r="BH350" s="97"/>
      <c r="BI350" s="97"/>
      <c r="BJ350" s="97"/>
      <c r="BK350" s="110"/>
      <c r="BL350" s="97"/>
      <c r="BM350" s="97"/>
      <c r="BN350" s="97"/>
      <c r="BO350" s="142"/>
      <c r="BP350" s="143">
        <f t="shared" si="61"/>
        <v>0</v>
      </c>
      <c r="BQ350" s="142"/>
      <c r="BR350" s="143">
        <f t="shared" si="62"/>
        <v>0</v>
      </c>
      <c r="BS350" s="132"/>
      <c r="BT350" s="146">
        <f t="shared" si="63"/>
        <v>0</v>
      </c>
      <c r="BU350" s="132"/>
      <c r="BV350" s="143">
        <f t="shared" si="64"/>
        <v>0</v>
      </c>
      <c r="BW350" s="132"/>
      <c r="BX350" s="146">
        <f t="shared" si="65"/>
        <v>0</v>
      </c>
      <c r="BY350" s="132"/>
      <c r="BZ350" s="146">
        <f t="shared" si="66"/>
        <v>0</v>
      </c>
      <c r="CA350" s="132"/>
      <c r="CB350" s="146">
        <f t="shared" si="67"/>
        <v>0</v>
      </c>
      <c r="CC350" s="132"/>
      <c r="CD350" s="143">
        <f t="shared" si="68"/>
        <v>0</v>
      </c>
      <c r="CE350" s="132"/>
      <c r="CF350" s="143">
        <f t="shared" si="69"/>
        <v>0</v>
      </c>
      <c r="CG350" s="132"/>
      <c r="CH350" s="143">
        <f t="shared" si="70"/>
        <v>0</v>
      </c>
      <c r="CI350" s="132">
        <f t="shared" si="71"/>
        <v>0</v>
      </c>
      <c r="CJ350" s="143">
        <f t="shared" si="71"/>
        <v>0</v>
      </c>
    </row>
    <row r="351" spans="1:88" x14ac:dyDescent="0.3">
      <c r="A351" s="27"/>
      <c r="B351" s="27"/>
      <c r="C351" s="27"/>
      <c r="D351" s="27"/>
      <c r="E351" s="27"/>
      <c r="F351" s="27"/>
      <c r="G351" s="27"/>
      <c r="H351" s="27"/>
      <c r="I351" s="27"/>
      <c r="J351" s="27"/>
      <c r="K351" s="27"/>
      <c r="L351" s="27"/>
      <c r="N351" s="27"/>
      <c r="O351" s="27"/>
      <c r="P351" s="27"/>
      <c r="Q351" s="117" t="s">
        <v>931</v>
      </c>
      <c r="R351" s="27"/>
      <c r="S351" s="27"/>
      <c r="T351" s="141" t="str">
        <f t="shared" si="60"/>
        <v xml:space="preserve"> </v>
      </c>
      <c r="U351" s="27"/>
      <c r="V351" s="27"/>
      <c r="W351" s="27"/>
      <c r="X351" s="27"/>
      <c r="Y351" s="27"/>
      <c r="AE351" s="27"/>
      <c r="BD351" s="97"/>
      <c r="BE351" s="108"/>
      <c r="BF351" s="108"/>
      <c r="BG351" s="97"/>
      <c r="BH351" s="97"/>
      <c r="BI351" s="97"/>
      <c r="BJ351" s="97"/>
      <c r="BK351" s="110"/>
      <c r="BL351" s="97"/>
      <c r="BM351" s="97"/>
      <c r="BN351" s="97"/>
      <c r="BO351" s="142"/>
      <c r="BP351" s="143">
        <f t="shared" si="61"/>
        <v>0</v>
      </c>
      <c r="BQ351" s="142"/>
      <c r="BR351" s="143">
        <f t="shared" si="62"/>
        <v>0</v>
      </c>
      <c r="BS351" s="132"/>
      <c r="BT351" s="146">
        <f t="shared" si="63"/>
        <v>0</v>
      </c>
      <c r="BU351" s="132"/>
      <c r="BV351" s="143">
        <f t="shared" si="64"/>
        <v>0</v>
      </c>
      <c r="BW351" s="132"/>
      <c r="BX351" s="146">
        <f t="shared" si="65"/>
        <v>0</v>
      </c>
      <c r="BY351" s="132"/>
      <c r="BZ351" s="146">
        <f t="shared" si="66"/>
        <v>0</v>
      </c>
      <c r="CA351" s="132"/>
      <c r="CB351" s="146">
        <f t="shared" si="67"/>
        <v>0</v>
      </c>
      <c r="CC351" s="132"/>
      <c r="CD351" s="143">
        <f t="shared" si="68"/>
        <v>0</v>
      </c>
      <c r="CE351" s="132"/>
      <c r="CF351" s="143">
        <f t="shared" si="69"/>
        <v>0</v>
      </c>
      <c r="CG351" s="132"/>
      <c r="CH351" s="143">
        <f t="shared" si="70"/>
        <v>0</v>
      </c>
      <c r="CI351" s="132">
        <f t="shared" si="71"/>
        <v>0</v>
      </c>
      <c r="CJ351" s="143">
        <f t="shared" si="71"/>
        <v>0</v>
      </c>
    </row>
    <row r="352" spans="1:88" x14ac:dyDescent="0.3">
      <c r="A352" s="27"/>
      <c r="B352" s="27"/>
      <c r="C352" s="27"/>
      <c r="D352" s="27"/>
      <c r="E352" s="27"/>
      <c r="F352" s="27"/>
      <c r="G352" s="27"/>
      <c r="H352" s="27"/>
      <c r="I352" s="27"/>
      <c r="J352" s="27"/>
      <c r="K352" s="27"/>
      <c r="L352" s="27"/>
      <c r="N352" s="27"/>
      <c r="O352" s="27"/>
      <c r="P352" s="27"/>
      <c r="Q352" s="117" t="s">
        <v>932</v>
      </c>
      <c r="R352" s="27"/>
      <c r="S352" s="27"/>
      <c r="T352" s="141" t="str">
        <f t="shared" si="60"/>
        <v xml:space="preserve"> </v>
      </c>
      <c r="U352" s="27"/>
      <c r="V352" s="27"/>
      <c r="W352" s="27"/>
      <c r="X352" s="27"/>
      <c r="Y352" s="27"/>
      <c r="AE352" s="27"/>
      <c r="BD352" s="97"/>
      <c r="BE352" s="108"/>
      <c r="BF352" s="108"/>
      <c r="BG352" s="97"/>
      <c r="BH352" s="97"/>
      <c r="BI352" s="97"/>
      <c r="BJ352" s="97"/>
      <c r="BK352" s="110"/>
      <c r="BL352" s="97"/>
      <c r="BM352" s="97"/>
      <c r="BN352" s="97"/>
      <c r="BO352" s="142"/>
      <c r="BP352" s="143">
        <f t="shared" si="61"/>
        <v>0</v>
      </c>
      <c r="BQ352" s="142"/>
      <c r="BR352" s="143">
        <f t="shared" si="62"/>
        <v>0</v>
      </c>
      <c r="BS352" s="132"/>
      <c r="BT352" s="146">
        <f t="shared" si="63"/>
        <v>0</v>
      </c>
      <c r="BU352" s="132"/>
      <c r="BV352" s="143">
        <f t="shared" si="64"/>
        <v>0</v>
      </c>
      <c r="BW352" s="132"/>
      <c r="BX352" s="146">
        <f t="shared" si="65"/>
        <v>0</v>
      </c>
      <c r="BY352" s="132"/>
      <c r="BZ352" s="146">
        <f t="shared" si="66"/>
        <v>0</v>
      </c>
      <c r="CA352" s="132"/>
      <c r="CB352" s="146">
        <f t="shared" si="67"/>
        <v>0</v>
      </c>
      <c r="CC352" s="132"/>
      <c r="CD352" s="143">
        <f t="shared" si="68"/>
        <v>0</v>
      </c>
      <c r="CE352" s="132"/>
      <c r="CF352" s="143">
        <f t="shared" si="69"/>
        <v>0</v>
      </c>
      <c r="CG352" s="132"/>
      <c r="CH352" s="143">
        <f t="shared" si="70"/>
        <v>0</v>
      </c>
      <c r="CI352" s="132">
        <f t="shared" si="71"/>
        <v>0</v>
      </c>
      <c r="CJ352" s="143">
        <f t="shared" si="71"/>
        <v>0</v>
      </c>
    </row>
    <row r="353" spans="1:88" x14ac:dyDescent="0.3">
      <c r="A353" s="27"/>
      <c r="B353" s="27"/>
      <c r="C353" s="27"/>
      <c r="D353" s="27"/>
      <c r="E353" s="27"/>
      <c r="F353" s="27"/>
      <c r="G353" s="27"/>
      <c r="H353" s="27"/>
      <c r="I353" s="27"/>
      <c r="J353" s="27"/>
      <c r="K353" s="27"/>
      <c r="L353" s="27"/>
      <c r="N353" s="27"/>
      <c r="O353" s="27"/>
      <c r="P353" s="27"/>
      <c r="Q353" s="117" t="s">
        <v>933</v>
      </c>
      <c r="R353" s="27"/>
      <c r="S353" s="27"/>
      <c r="T353" s="141" t="str">
        <f t="shared" si="60"/>
        <v xml:space="preserve"> </v>
      </c>
      <c r="U353" s="27"/>
      <c r="V353" s="27"/>
      <c r="W353" s="27"/>
      <c r="X353" s="27"/>
      <c r="Y353" s="27"/>
      <c r="AE353" s="27"/>
      <c r="BD353" s="97"/>
      <c r="BE353" s="108"/>
      <c r="BF353" s="108"/>
      <c r="BG353" s="97"/>
      <c r="BH353" s="97"/>
      <c r="BI353" s="97"/>
      <c r="BJ353" s="97"/>
      <c r="BK353" s="110"/>
      <c r="BL353" s="97"/>
      <c r="BM353" s="97"/>
      <c r="BN353" s="97"/>
      <c r="BO353" s="142"/>
      <c r="BP353" s="143">
        <f t="shared" si="61"/>
        <v>0</v>
      </c>
      <c r="BQ353" s="142"/>
      <c r="BR353" s="143">
        <f t="shared" si="62"/>
        <v>0</v>
      </c>
      <c r="BS353" s="132"/>
      <c r="BT353" s="146">
        <f t="shared" si="63"/>
        <v>0</v>
      </c>
      <c r="BU353" s="132"/>
      <c r="BV353" s="143">
        <f t="shared" si="64"/>
        <v>0</v>
      </c>
      <c r="BW353" s="132"/>
      <c r="BX353" s="146">
        <f t="shared" si="65"/>
        <v>0</v>
      </c>
      <c r="BY353" s="132"/>
      <c r="BZ353" s="146">
        <f t="shared" si="66"/>
        <v>0</v>
      </c>
      <c r="CA353" s="132"/>
      <c r="CB353" s="146">
        <f t="shared" si="67"/>
        <v>0</v>
      </c>
      <c r="CC353" s="132"/>
      <c r="CD353" s="143">
        <f t="shared" si="68"/>
        <v>0</v>
      </c>
      <c r="CE353" s="132"/>
      <c r="CF353" s="143">
        <f t="shared" si="69"/>
        <v>0</v>
      </c>
      <c r="CG353" s="132"/>
      <c r="CH353" s="143">
        <f t="shared" si="70"/>
        <v>0</v>
      </c>
      <c r="CI353" s="132">
        <f t="shared" si="71"/>
        <v>0</v>
      </c>
      <c r="CJ353" s="143">
        <f t="shared" si="71"/>
        <v>0</v>
      </c>
    </row>
    <row r="354" spans="1:88" x14ac:dyDescent="0.3">
      <c r="A354" s="27"/>
      <c r="B354" s="27"/>
      <c r="C354" s="27"/>
      <c r="D354" s="27"/>
      <c r="E354" s="27"/>
      <c r="F354" s="27"/>
      <c r="G354" s="27"/>
      <c r="H354" s="27"/>
      <c r="I354" s="27"/>
      <c r="J354" s="27"/>
      <c r="K354" s="27"/>
      <c r="L354" s="27"/>
      <c r="N354" s="27"/>
      <c r="O354" s="27"/>
      <c r="P354" s="27"/>
      <c r="Q354" s="117" t="s">
        <v>934</v>
      </c>
      <c r="R354" s="27"/>
      <c r="S354" s="27"/>
      <c r="T354" s="141" t="str">
        <f t="shared" si="60"/>
        <v xml:space="preserve"> </v>
      </c>
      <c r="U354" s="27"/>
      <c r="V354" s="27"/>
      <c r="W354" s="27"/>
      <c r="X354" s="27"/>
      <c r="Y354" s="27"/>
      <c r="AE354" s="27"/>
      <c r="BD354" s="97"/>
      <c r="BE354" s="108"/>
      <c r="BF354" s="108"/>
      <c r="BG354" s="97"/>
      <c r="BH354" s="97"/>
      <c r="BI354" s="97"/>
      <c r="BJ354" s="97"/>
      <c r="BK354" s="110"/>
      <c r="BL354" s="97"/>
      <c r="BM354" s="97"/>
      <c r="BN354" s="97"/>
      <c r="BO354" s="142"/>
      <c r="BP354" s="143">
        <f t="shared" si="61"/>
        <v>0</v>
      </c>
      <c r="BQ354" s="142"/>
      <c r="BR354" s="143">
        <f t="shared" si="62"/>
        <v>0</v>
      </c>
      <c r="BS354" s="132"/>
      <c r="BT354" s="146">
        <f t="shared" si="63"/>
        <v>0</v>
      </c>
      <c r="BU354" s="132"/>
      <c r="BV354" s="143">
        <f t="shared" si="64"/>
        <v>0</v>
      </c>
      <c r="BW354" s="132"/>
      <c r="BX354" s="146">
        <f t="shared" si="65"/>
        <v>0</v>
      </c>
      <c r="BY354" s="132"/>
      <c r="BZ354" s="146">
        <f t="shared" si="66"/>
        <v>0</v>
      </c>
      <c r="CA354" s="132"/>
      <c r="CB354" s="146">
        <f t="shared" si="67"/>
        <v>0</v>
      </c>
      <c r="CC354" s="132"/>
      <c r="CD354" s="143">
        <f t="shared" si="68"/>
        <v>0</v>
      </c>
      <c r="CE354" s="132"/>
      <c r="CF354" s="143">
        <f t="shared" si="69"/>
        <v>0</v>
      </c>
      <c r="CG354" s="132"/>
      <c r="CH354" s="143">
        <f t="shared" si="70"/>
        <v>0</v>
      </c>
      <c r="CI354" s="132">
        <f t="shared" si="71"/>
        <v>0</v>
      </c>
      <c r="CJ354" s="143">
        <f t="shared" si="71"/>
        <v>0</v>
      </c>
    </row>
    <row r="355" spans="1:88" x14ac:dyDescent="0.3">
      <c r="A355" s="27"/>
      <c r="B355" s="27"/>
      <c r="C355" s="27"/>
      <c r="D355" s="27"/>
      <c r="E355" s="27"/>
      <c r="F355" s="27"/>
      <c r="G355" s="27"/>
      <c r="H355" s="27"/>
      <c r="I355" s="27"/>
      <c r="J355" s="27"/>
      <c r="K355" s="27"/>
      <c r="L355" s="27"/>
      <c r="N355" s="27"/>
      <c r="O355" s="27"/>
      <c r="P355" s="27"/>
      <c r="Q355" s="117" t="s">
        <v>935</v>
      </c>
      <c r="R355" s="27"/>
      <c r="S355" s="27"/>
      <c r="T355" s="141" t="str">
        <f t="shared" ref="T355:T413" si="72">TRIM(U355)&amp;" "&amp;TRIM(V355)</f>
        <v xml:space="preserve"> </v>
      </c>
      <c r="U355" s="27"/>
      <c r="V355" s="27"/>
      <c r="W355" s="27"/>
      <c r="X355" s="27"/>
      <c r="Y355" s="27"/>
      <c r="AE355" s="27"/>
      <c r="BD355" s="97"/>
      <c r="BE355" s="108"/>
      <c r="BF355" s="108"/>
      <c r="BG355" s="97"/>
      <c r="BH355" s="97"/>
      <c r="BI355" s="97"/>
      <c r="BJ355" s="97"/>
      <c r="BK355" s="110"/>
      <c r="BL355" s="97"/>
      <c r="BM355" s="97"/>
      <c r="BN355" s="97"/>
      <c r="BO355" s="142"/>
      <c r="BP355" s="143">
        <f t="shared" si="61"/>
        <v>0</v>
      </c>
      <c r="BQ355" s="142"/>
      <c r="BR355" s="143">
        <f t="shared" si="62"/>
        <v>0</v>
      </c>
      <c r="BS355" s="132"/>
      <c r="BT355" s="146">
        <f t="shared" si="63"/>
        <v>0</v>
      </c>
      <c r="BU355" s="132"/>
      <c r="BV355" s="143">
        <f t="shared" si="64"/>
        <v>0</v>
      </c>
      <c r="BW355" s="132"/>
      <c r="BX355" s="146">
        <f t="shared" si="65"/>
        <v>0</v>
      </c>
      <c r="BY355" s="132"/>
      <c r="BZ355" s="146">
        <f t="shared" si="66"/>
        <v>0</v>
      </c>
      <c r="CA355" s="132"/>
      <c r="CB355" s="146">
        <f t="shared" si="67"/>
        <v>0</v>
      </c>
      <c r="CC355" s="132"/>
      <c r="CD355" s="143">
        <f t="shared" si="68"/>
        <v>0</v>
      </c>
      <c r="CE355" s="132"/>
      <c r="CF355" s="143">
        <f t="shared" si="69"/>
        <v>0</v>
      </c>
      <c r="CG355" s="132"/>
      <c r="CH355" s="143">
        <f t="shared" si="70"/>
        <v>0</v>
      </c>
      <c r="CI355" s="132">
        <f t="shared" si="71"/>
        <v>0</v>
      </c>
      <c r="CJ355" s="143">
        <f t="shared" si="71"/>
        <v>0</v>
      </c>
    </row>
    <row r="356" spans="1:88" x14ac:dyDescent="0.3">
      <c r="A356" s="27"/>
      <c r="B356" s="27"/>
      <c r="C356" s="27"/>
      <c r="D356" s="27"/>
      <c r="E356" s="27"/>
      <c r="F356" s="27"/>
      <c r="G356" s="27"/>
      <c r="H356" s="27"/>
      <c r="I356" s="27"/>
      <c r="J356" s="27"/>
      <c r="K356" s="27"/>
      <c r="L356" s="27"/>
      <c r="N356" s="27"/>
      <c r="O356" s="27"/>
      <c r="P356" s="27"/>
      <c r="Q356" s="117" t="s">
        <v>936</v>
      </c>
      <c r="R356" s="27"/>
      <c r="S356" s="27"/>
      <c r="T356" s="141" t="str">
        <f t="shared" si="72"/>
        <v xml:space="preserve"> </v>
      </c>
      <c r="U356" s="27"/>
      <c r="V356" s="27"/>
      <c r="W356" s="27"/>
      <c r="X356" s="27"/>
      <c r="Y356" s="27"/>
      <c r="AE356" s="27"/>
      <c r="BD356" s="97"/>
      <c r="BE356" s="108"/>
      <c r="BF356" s="108"/>
      <c r="BG356" s="97"/>
      <c r="BH356" s="97"/>
      <c r="BI356" s="97"/>
      <c r="BJ356" s="97"/>
      <c r="BK356" s="110"/>
      <c r="BL356" s="97"/>
      <c r="BM356" s="97"/>
      <c r="BN356" s="97"/>
      <c r="BO356" s="142"/>
      <c r="BP356" s="143">
        <f t="shared" si="61"/>
        <v>0</v>
      </c>
      <c r="BQ356" s="142"/>
      <c r="BR356" s="143">
        <f t="shared" si="62"/>
        <v>0</v>
      </c>
      <c r="BS356" s="132"/>
      <c r="BT356" s="146">
        <f t="shared" si="63"/>
        <v>0</v>
      </c>
      <c r="BU356" s="132"/>
      <c r="BV356" s="143">
        <f t="shared" si="64"/>
        <v>0</v>
      </c>
      <c r="BW356" s="132"/>
      <c r="BX356" s="146">
        <f t="shared" si="65"/>
        <v>0</v>
      </c>
      <c r="BY356" s="132"/>
      <c r="BZ356" s="146">
        <f t="shared" si="66"/>
        <v>0</v>
      </c>
      <c r="CA356" s="132"/>
      <c r="CB356" s="146">
        <f t="shared" si="67"/>
        <v>0</v>
      </c>
      <c r="CC356" s="132"/>
      <c r="CD356" s="143">
        <f t="shared" si="68"/>
        <v>0</v>
      </c>
      <c r="CE356" s="132"/>
      <c r="CF356" s="143">
        <f t="shared" si="69"/>
        <v>0</v>
      </c>
      <c r="CG356" s="132"/>
      <c r="CH356" s="143">
        <f t="shared" si="70"/>
        <v>0</v>
      </c>
      <c r="CI356" s="132">
        <f t="shared" si="71"/>
        <v>0</v>
      </c>
      <c r="CJ356" s="143">
        <f t="shared" si="71"/>
        <v>0</v>
      </c>
    </row>
    <row r="357" spans="1:88" x14ac:dyDescent="0.3">
      <c r="A357" s="27"/>
      <c r="B357" s="27"/>
      <c r="C357" s="27"/>
      <c r="D357" s="27"/>
      <c r="E357" s="27"/>
      <c r="F357" s="27"/>
      <c r="G357" s="27"/>
      <c r="H357" s="27"/>
      <c r="I357" s="27"/>
      <c r="J357" s="27"/>
      <c r="K357" s="27"/>
      <c r="L357" s="27"/>
      <c r="N357" s="27"/>
      <c r="O357" s="27"/>
      <c r="P357" s="27"/>
      <c r="Q357" s="117" t="s">
        <v>937</v>
      </c>
      <c r="R357" s="27"/>
      <c r="S357" s="27"/>
      <c r="T357" s="141" t="str">
        <f t="shared" si="72"/>
        <v xml:space="preserve"> </v>
      </c>
      <c r="U357" s="27"/>
      <c r="V357" s="27"/>
      <c r="W357" s="27"/>
      <c r="X357" s="27"/>
      <c r="Y357" s="27"/>
      <c r="AE357" s="27"/>
      <c r="BD357" s="97"/>
      <c r="BE357" s="108"/>
      <c r="BF357" s="108"/>
      <c r="BG357" s="97"/>
      <c r="BH357" s="97"/>
      <c r="BI357" s="97"/>
      <c r="BJ357" s="97"/>
      <c r="BK357" s="110"/>
      <c r="BL357" s="97"/>
      <c r="BM357" s="97"/>
      <c r="BN357" s="97"/>
      <c r="BO357" s="142"/>
      <c r="BP357" s="143">
        <f t="shared" si="61"/>
        <v>0</v>
      </c>
      <c r="BQ357" s="142"/>
      <c r="BR357" s="143">
        <f t="shared" si="62"/>
        <v>0</v>
      </c>
      <c r="BS357" s="132"/>
      <c r="BT357" s="146">
        <f t="shared" si="63"/>
        <v>0</v>
      </c>
      <c r="BU357" s="132"/>
      <c r="BV357" s="143">
        <f t="shared" si="64"/>
        <v>0</v>
      </c>
      <c r="BW357" s="132"/>
      <c r="BX357" s="146">
        <f t="shared" si="65"/>
        <v>0</v>
      </c>
      <c r="BY357" s="132"/>
      <c r="BZ357" s="146">
        <f t="shared" si="66"/>
        <v>0</v>
      </c>
      <c r="CA357" s="132"/>
      <c r="CB357" s="146">
        <f t="shared" si="67"/>
        <v>0</v>
      </c>
      <c r="CC357" s="132"/>
      <c r="CD357" s="143">
        <f t="shared" si="68"/>
        <v>0</v>
      </c>
      <c r="CE357" s="132"/>
      <c r="CF357" s="143">
        <f t="shared" si="69"/>
        <v>0</v>
      </c>
      <c r="CG357" s="132"/>
      <c r="CH357" s="143">
        <f t="shared" si="70"/>
        <v>0</v>
      </c>
      <c r="CI357" s="132">
        <f t="shared" si="71"/>
        <v>0</v>
      </c>
      <c r="CJ357" s="143">
        <f t="shared" si="71"/>
        <v>0</v>
      </c>
    </row>
    <row r="358" spans="1:88" x14ac:dyDescent="0.3">
      <c r="A358" s="27"/>
      <c r="B358" s="27"/>
      <c r="C358" s="27"/>
      <c r="D358" s="27"/>
      <c r="E358" s="27"/>
      <c r="F358" s="27"/>
      <c r="G358" s="27"/>
      <c r="H358" s="27"/>
      <c r="I358" s="27"/>
      <c r="J358" s="27"/>
      <c r="K358" s="27"/>
      <c r="L358" s="27"/>
      <c r="N358" s="27"/>
      <c r="O358" s="27"/>
      <c r="P358" s="27"/>
      <c r="Q358" s="117" t="s">
        <v>938</v>
      </c>
      <c r="R358" s="27"/>
      <c r="S358" s="27"/>
      <c r="T358" s="141" t="str">
        <f t="shared" si="72"/>
        <v xml:space="preserve"> </v>
      </c>
      <c r="U358" s="27"/>
      <c r="V358" s="27"/>
      <c r="W358" s="27"/>
      <c r="X358" s="27"/>
      <c r="Y358" s="27"/>
      <c r="AE358" s="27"/>
      <c r="BD358" s="97"/>
      <c r="BE358" s="108"/>
      <c r="BF358" s="108"/>
      <c r="BG358" s="97"/>
      <c r="BH358" s="97"/>
      <c r="BI358" s="97"/>
      <c r="BJ358" s="97"/>
      <c r="BK358" s="110"/>
      <c r="BL358" s="97"/>
      <c r="BM358" s="97"/>
      <c r="BN358" s="97"/>
      <c r="BO358" s="142"/>
      <c r="BP358" s="143">
        <f t="shared" si="61"/>
        <v>0</v>
      </c>
      <c r="BQ358" s="142"/>
      <c r="BR358" s="143">
        <f t="shared" si="62"/>
        <v>0</v>
      </c>
      <c r="BS358" s="132"/>
      <c r="BT358" s="146">
        <f t="shared" si="63"/>
        <v>0</v>
      </c>
      <c r="BU358" s="132"/>
      <c r="BV358" s="143">
        <f t="shared" si="64"/>
        <v>0</v>
      </c>
      <c r="BW358" s="132"/>
      <c r="BX358" s="146">
        <f t="shared" si="65"/>
        <v>0</v>
      </c>
      <c r="BY358" s="132"/>
      <c r="BZ358" s="146">
        <f t="shared" si="66"/>
        <v>0</v>
      </c>
      <c r="CA358" s="132"/>
      <c r="CB358" s="146">
        <f t="shared" si="67"/>
        <v>0</v>
      </c>
      <c r="CC358" s="132"/>
      <c r="CD358" s="143">
        <f t="shared" si="68"/>
        <v>0</v>
      </c>
      <c r="CE358" s="132"/>
      <c r="CF358" s="143">
        <f t="shared" si="69"/>
        <v>0</v>
      </c>
      <c r="CG358" s="132"/>
      <c r="CH358" s="143">
        <f t="shared" si="70"/>
        <v>0</v>
      </c>
      <c r="CI358" s="132">
        <f t="shared" si="71"/>
        <v>0</v>
      </c>
      <c r="CJ358" s="143">
        <f t="shared" si="71"/>
        <v>0</v>
      </c>
    </row>
    <row r="359" spans="1:88" x14ac:dyDescent="0.3">
      <c r="A359" s="27"/>
      <c r="B359" s="27"/>
      <c r="C359" s="27"/>
      <c r="D359" s="27"/>
      <c r="E359" s="27"/>
      <c r="F359" s="27"/>
      <c r="G359" s="27"/>
      <c r="H359" s="27"/>
      <c r="I359" s="27"/>
      <c r="J359" s="27"/>
      <c r="K359" s="27"/>
      <c r="L359" s="27"/>
      <c r="N359" s="27"/>
      <c r="O359" s="27"/>
      <c r="P359" s="27"/>
      <c r="Q359" s="117" t="s">
        <v>939</v>
      </c>
      <c r="R359" s="27"/>
      <c r="S359" s="27"/>
      <c r="T359" s="141" t="str">
        <f t="shared" si="72"/>
        <v xml:space="preserve"> </v>
      </c>
      <c r="U359" s="27"/>
      <c r="V359" s="27"/>
      <c r="W359" s="27"/>
      <c r="X359" s="27"/>
      <c r="Y359" s="27"/>
      <c r="AE359" s="27"/>
      <c r="BD359" s="97"/>
      <c r="BE359" s="108"/>
      <c r="BF359" s="108"/>
      <c r="BG359" s="97"/>
      <c r="BH359" s="97"/>
      <c r="BI359" s="97"/>
      <c r="BJ359" s="97"/>
      <c r="BK359" s="110"/>
      <c r="BL359" s="97"/>
      <c r="BM359" s="97"/>
      <c r="BN359" s="97"/>
      <c r="BO359" s="142"/>
      <c r="BP359" s="143">
        <f t="shared" si="61"/>
        <v>0</v>
      </c>
      <c r="BQ359" s="142"/>
      <c r="BR359" s="143">
        <f t="shared" si="62"/>
        <v>0</v>
      </c>
      <c r="BS359" s="132"/>
      <c r="BT359" s="146">
        <f t="shared" si="63"/>
        <v>0</v>
      </c>
      <c r="BU359" s="132"/>
      <c r="BV359" s="143">
        <f t="shared" si="64"/>
        <v>0</v>
      </c>
      <c r="BW359" s="132"/>
      <c r="BX359" s="146">
        <f t="shared" si="65"/>
        <v>0</v>
      </c>
      <c r="BY359" s="132"/>
      <c r="BZ359" s="146">
        <f t="shared" si="66"/>
        <v>0</v>
      </c>
      <c r="CA359" s="132"/>
      <c r="CB359" s="146">
        <f t="shared" si="67"/>
        <v>0</v>
      </c>
      <c r="CC359" s="132"/>
      <c r="CD359" s="143">
        <f t="shared" si="68"/>
        <v>0</v>
      </c>
      <c r="CE359" s="132"/>
      <c r="CF359" s="143">
        <f t="shared" si="69"/>
        <v>0</v>
      </c>
      <c r="CG359" s="132"/>
      <c r="CH359" s="143">
        <f t="shared" si="70"/>
        <v>0</v>
      </c>
      <c r="CI359" s="132">
        <f t="shared" si="71"/>
        <v>0</v>
      </c>
      <c r="CJ359" s="143">
        <f t="shared" si="71"/>
        <v>0</v>
      </c>
    </row>
    <row r="360" spans="1:88" x14ac:dyDescent="0.3">
      <c r="A360" s="27"/>
      <c r="B360" s="27"/>
      <c r="C360" s="27"/>
      <c r="D360" s="27"/>
      <c r="E360" s="27"/>
      <c r="F360" s="27"/>
      <c r="G360" s="27"/>
      <c r="H360" s="27"/>
      <c r="I360" s="27"/>
      <c r="J360" s="27"/>
      <c r="K360" s="27"/>
      <c r="L360" s="27"/>
      <c r="N360" s="27"/>
      <c r="O360" s="27"/>
      <c r="P360" s="27"/>
      <c r="Q360" s="117" t="s">
        <v>940</v>
      </c>
      <c r="R360" s="27"/>
      <c r="S360" s="27"/>
      <c r="T360" s="141" t="str">
        <f t="shared" si="72"/>
        <v xml:space="preserve"> </v>
      </c>
      <c r="U360" s="27"/>
      <c r="V360" s="27"/>
      <c r="W360" s="27"/>
      <c r="X360" s="27"/>
      <c r="Y360" s="27"/>
      <c r="AE360" s="27"/>
      <c r="BD360" s="97"/>
      <c r="BE360" s="108"/>
      <c r="BF360" s="108"/>
      <c r="BG360" s="97"/>
      <c r="BH360" s="97"/>
      <c r="BI360" s="97"/>
      <c r="BJ360" s="97"/>
      <c r="BK360" s="110"/>
      <c r="BL360" s="97"/>
      <c r="BM360" s="97"/>
      <c r="BN360" s="97"/>
      <c r="BO360" s="142"/>
      <c r="BP360" s="143">
        <f t="shared" si="61"/>
        <v>0</v>
      </c>
      <c r="BQ360" s="142"/>
      <c r="BR360" s="143">
        <f t="shared" si="62"/>
        <v>0</v>
      </c>
      <c r="BS360" s="132"/>
      <c r="BT360" s="146">
        <f t="shared" si="63"/>
        <v>0</v>
      </c>
      <c r="BU360" s="132"/>
      <c r="BV360" s="143">
        <f t="shared" si="64"/>
        <v>0</v>
      </c>
      <c r="BW360" s="132"/>
      <c r="BX360" s="146">
        <f t="shared" si="65"/>
        <v>0</v>
      </c>
      <c r="BY360" s="132"/>
      <c r="BZ360" s="146">
        <f t="shared" si="66"/>
        <v>0</v>
      </c>
      <c r="CA360" s="132"/>
      <c r="CB360" s="146">
        <f t="shared" si="67"/>
        <v>0</v>
      </c>
      <c r="CC360" s="132"/>
      <c r="CD360" s="143">
        <f t="shared" si="68"/>
        <v>0</v>
      </c>
      <c r="CE360" s="132"/>
      <c r="CF360" s="143">
        <f t="shared" si="69"/>
        <v>0</v>
      </c>
      <c r="CG360" s="132"/>
      <c r="CH360" s="143">
        <f t="shared" si="70"/>
        <v>0</v>
      </c>
      <c r="CI360" s="132">
        <f t="shared" si="71"/>
        <v>0</v>
      </c>
      <c r="CJ360" s="143">
        <f t="shared" si="71"/>
        <v>0</v>
      </c>
    </row>
    <row r="361" spans="1:88" x14ac:dyDescent="0.3">
      <c r="A361" s="27"/>
      <c r="B361" s="27"/>
      <c r="C361" s="27"/>
      <c r="D361" s="27"/>
      <c r="E361" s="27"/>
      <c r="F361" s="27"/>
      <c r="G361" s="27"/>
      <c r="H361" s="27"/>
      <c r="I361" s="27"/>
      <c r="J361" s="27"/>
      <c r="K361" s="27"/>
      <c r="L361" s="27"/>
      <c r="N361" s="27"/>
      <c r="O361" s="27"/>
      <c r="P361" s="27"/>
      <c r="Q361" s="117" t="s">
        <v>941</v>
      </c>
      <c r="R361" s="27"/>
      <c r="S361" s="27"/>
      <c r="T361" s="141" t="str">
        <f t="shared" si="72"/>
        <v xml:space="preserve"> </v>
      </c>
      <c r="U361" s="27"/>
      <c r="V361" s="27"/>
      <c r="W361" s="27"/>
      <c r="X361" s="27"/>
      <c r="Y361" s="27"/>
      <c r="AE361" s="27"/>
      <c r="BD361" s="97"/>
      <c r="BE361" s="108"/>
      <c r="BF361" s="108"/>
      <c r="BG361" s="97"/>
      <c r="BH361" s="97"/>
      <c r="BI361" s="97"/>
      <c r="BJ361" s="97"/>
      <c r="BK361" s="110"/>
      <c r="BL361" s="97"/>
      <c r="BM361" s="97"/>
      <c r="BN361" s="97"/>
      <c r="BO361" s="142"/>
      <c r="BP361" s="143">
        <f t="shared" si="61"/>
        <v>0</v>
      </c>
      <c r="BQ361" s="142"/>
      <c r="BR361" s="143">
        <f t="shared" si="62"/>
        <v>0</v>
      </c>
      <c r="BS361" s="132"/>
      <c r="BT361" s="146">
        <f t="shared" si="63"/>
        <v>0</v>
      </c>
      <c r="BU361" s="132"/>
      <c r="BV361" s="143">
        <f t="shared" si="64"/>
        <v>0</v>
      </c>
      <c r="BW361" s="132"/>
      <c r="BX361" s="146">
        <f t="shared" si="65"/>
        <v>0</v>
      </c>
      <c r="BY361" s="132"/>
      <c r="BZ361" s="146">
        <f t="shared" si="66"/>
        <v>0</v>
      </c>
      <c r="CA361" s="132"/>
      <c r="CB361" s="146">
        <f t="shared" si="67"/>
        <v>0</v>
      </c>
      <c r="CC361" s="132"/>
      <c r="CD361" s="143">
        <f t="shared" si="68"/>
        <v>0</v>
      </c>
      <c r="CE361" s="132"/>
      <c r="CF361" s="143">
        <f t="shared" si="69"/>
        <v>0</v>
      </c>
      <c r="CG361" s="132"/>
      <c r="CH361" s="143">
        <f t="shared" si="70"/>
        <v>0</v>
      </c>
      <c r="CI361" s="132">
        <f t="shared" si="71"/>
        <v>0</v>
      </c>
      <c r="CJ361" s="143">
        <f t="shared" si="71"/>
        <v>0</v>
      </c>
    </row>
    <row r="362" spans="1:88" x14ac:dyDescent="0.3">
      <c r="A362" s="27"/>
      <c r="B362" s="27"/>
      <c r="C362" s="27"/>
      <c r="D362" s="27"/>
      <c r="E362" s="27"/>
      <c r="F362" s="27"/>
      <c r="G362" s="27"/>
      <c r="H362" s="27"/>
      <c r="I362" s="27"/>
      <c r="J362" s="27"/>
      <c r="K362" s="27"/>
      <c r="L362" s="27"/>
      <c r="N362" s="27"/>
      <c r="O362" s="27"/>
      <c r="P362" s="27"/>
      <c r="Q362" s="117" t="s">
        <v>942</v>
      </c>
      <c r="R362" s="27"/>
      <c r="S362" s="27"/>
      <c r="T362" s="141" t="str">
        <f t="shared" si="72"/>
        <v xml:space="preserve"> </v>
      </c>
      <c r="U362" s="27"/>
      <c r="V362" s="27"/>
      <c r="W362" s="27"/>
      <c r="X362" s="27"/>
      <c r="Y362" s="27"/>
      <c r="AE362" s="27"/>
      <c r="BD362" s="97"/>
      <c r="BE362" s="108"/>
      <c r="BF362" s="108"/>
      <c r="BG362" s="97"/>
      <c r="BH362" s="97"/>
      <c r="BI362" s="97"/>
      <c r="BJ362" s="97"/>
      <c r="BK362" s="110"/>
      <c r="BL362" s="97"/>
      <c r="BM362" s="97"/>
      <c r="BN362" s="97"/>
      <c r="BO362" s="142"/>
      <c r="BP362" s="143">
        <f t="shared" si="61"/>
        <v>0</v>
      </c>
      <c r="BQ362" s="142"/>
      <c r="BR362" s="143">
        <f t="shared" si="62"/>
        <v>0</v>
      </c>
      <c r="BS362" s="132"/>
      <c r="BT362" s="146">
        <f t="shared" si="63"/>
        <v>0</v>
      </c>
      <c r="BU362" s="132"/>
      <c r="BV362" s="143">
        <f t="shared" si="64"/>
        <v>0</v>
      </c>
      <c r="BW362" s="132"/>
      <c r="BX362" s="146">
        <f t="shared" si="65"/>
        <v>0</v>
      </c>
      <c r="BY362" s="132"/>
      <c r="BZ362" s="146">
        <f t="shared" si="66"/>
        <v>0</v>
      </c>
      <c r="CA362" s="132"/>
      <c r="CB362" s="146">
        <f t="shared" si="67"/>
        <v>0</v>
      </c>
      <c r="CC362" s="132"/>
      <c r="CD362" s="143">
        <f t="shared" si="68"/>
        <v>0</v>
      </c>
      <c r="CE362" s="132"/>
      <c r="CF362" s="143">
        <f t="shared" si="69"/>
        <v>0</v>
      </c>
      <c r="CG362" s="132"/>
      <c r="CH362" s="143">
        <f t="shared" si="70"/>
        <v>0</v>
      </c>
      <c r="CI362" s="132">
        <f t="shared" si="71"/>
        <v>0</v>
      </c>
      <c r="CJ362" s="143">
        <f t="shared" si="71"/>
        <v>0</v>
      </c>
    </row>
    <row r="363" spans="1:88" x14ac:dyDescent="0.3">
      <c r="A363" s="27"/>
      <c r="B363" s="27"/>
      <c r="C363" s="27"/>
      <c r="D363" s="27"/>
      <c r="E363" s="27"/>
      <c r="F363" s="27"/>
      <c r="G363" s="27"/>
      <c r="H363" s="27"/>
      <c r="I363" s="27"/>
      <c r="J363" s="27"/>
      <c r="K363" s="27"/>
      <c r="L363" s="27"/>
      <c r="N363" s="27"/>
      <c r="O363" s="27"/>
      <c r="P363" s="27"/>
      <c r="Q363" s="117" t="s">
        <v>943</v>
      </c>
      <c r="R363" s="27"/>
      <c r="S363" s="27"/>
      <c r="T363" s="141" t="str">
        <f t="shared" si="72"/>
        <v xml:space="preserve"> </v>
      </c>
      <c r="U363" s="27"/>
      <c r="V363" s="27"/>
      <c r="W363" s="27"/>
      <c r="X363" s="27"/>
      <c r="Y363" s="27"/>
      <c r="AE363" s="27"/>
      <c r="BD363" s="97"/>
      <c r="BE363" s="108"/>
      <c r="BF363" s="108"/>
      <c r="BG363" s="97"/>
      <c r="BH363" s="97"/>
      <c r="BI363" s="97"/>
      <c r="BJ363" s="97"/>
      <c r="BK363" s="110"/>
      <c r="BL363" s="97"/>
      <c r="BM363" s="97"/>
      <c r="BN363" s="97"/>
      <c r="BO363" s="142"/>
      <c r="BP363" s="143">
        <f t="shared" si="61"/>
        <v>0</v>
      </c>
      <c r="BQ363" s="142"/>
      <c r="BR363" s="143">
        <f t="shared" si="62"/>
        <v>0</v>
      </c>
      <c r="BS363" s="132"/>
      <c r="BT363" s="146">
        <f t="shared" si="63"/>
        <v>0</v>
      </c>
      <c r="BU363" s="132"/>
      <c r="BV363" s="143">
        <f t="shared" si="64"/>
        <v>0</v>
      </c>
      <c r="BW363" s="132"/>
      <c r="BX363" s="146">
        <f t="shared" si="65"/>
        <v>0</v>
      </c>
      <c r="BY363" s="132"/>
      <c r="BZ363" s="146">
        <f t="shared" si="66"/>
        <v>0</v>
      </c>
      <c r="CA363" s="132"/>
      <c r="CB363" s="146">
        <f t="shared" si="67"/>
        <v>0</v>
      </c>
      <c r="CC363" s="132"/>
      <c r="CD363" s="143">
        <f t="shared" si="68"/>
        <v>0</v>
      </c>
      <c r="CE363" s="132"/>
      <c r="CF363" s="143">
        <f t="shared" si="69"/>
        <v>0</v>
      </c>
      <c r="CG363" s="132"/>
      <c r="CH363" s="143">
        <f t="shared" si="70"/>
        <v>0</v>
      </c>
      <c r="CI363" s="132">
        <f t="shared" si="71"/>
        <v>0</v>
      </c>
      <c r="CJ363" s="143">
        <f t="shared" si="71"/>
        <v>0</v>
      </c>
    </row>
    <row r="364" spans="1:88" x14ac:dyDescent="0.3">
      <c r="A364" s="27"/>
      <c r="B364" s="27"/>
      <c r="C364" s="27"/>
      <c r="D364" s="27"/>
      <c r="E364" s="27"/>
      <c r="F364" s="27"/>
      <c r="G364" s="27"/>
      <c r="H364" s="27"/>
      <c r="I364" s="27"/>
      <c r="J364" s="27"/>
      <c r="K364" s="27"/>
      <c r="L364" s="27"/>
      <c r="N364" s="27"/>
      <c r="O364" s="27"/>
      <c r="P364" s="27"/>
      <c r="Q364" s="117" t="s">
        <v>944</v>
      </c>
      <c r="R364" s="27"/>
      <c r="S364" s="27"/>
      <c r="T364" s="141" t="str">
        <f t="shared" si="72"/>
        <v xml:space="preserve"> </v>
      </c>
      <c r="U364" s="27"/>
      <c r="V364" s="27"/>
      <c r="W364" s="27"/>
      <c r="X364" s="27"/>
      <c r="Y364" s="27"/>
      <c r="AE364" s="27"/>
      <c r="BD364" s="97"/>
      <c r="BE364" s="108"/>
      <c r="BF364" s="108"/>
      <c r="BG364" s="97"/>
      <c r="BH364" s="97"/>
      <c r="BI364" s="97"/>
      <c r="BJ364" s="97"/>
      <c r="BK364" s="110"/>
      <c r="BL364" s="97"/>
      <c r="BM364" s="97"/>
      <c r="BN364" s="97"/>
      <c r="BO364" s="142"/>
      <c r="BP364" s="143">
        <f t="shared" si="61"/>
        <v>0</v>
      </c>
      <c r="BQ364" s="142"/>
      <c r="BR364" s="143">
        <f t="shared" si="62"/>
        <v>0</v>
      </c>
      <c r="BS364" s="132"/>
      <c r="BT364" s="146">
        <f t="shared" si="63"/>
        <v>0</v>
      </c>
      <c r="BU364" s="132"/>
      <c r="BV364" s="143">
        <f t="shared" si="64"/>
        <v>0</v>
      </c>
      <c r="BW364" s="132"/>
      <c r="BX364" s="146">
        <f t="shared" si="65"/>
        <v>0</v>
      </c>
      <c r="BY364" s="132"/>
      <c r="BZ364" s="146">
        <f t="shared" si="66"/>
        <v>0</v>
      </c>
      <c r="CA364" s="132"/>
      <c r="CB364" s="146">
        <f t="shared" si="67"/>
        <v>0</v>
      </c>
      <c r="CC364" s="132"/>
      <c r="CD364" s="143">
        <f t="shared" si="68"/>
        <v>0</v>
      </c>
      <c r="CE364" s="132"/>
      <c r="CF364" s="143">
        <f t="shared" si="69"/>
        <v>0</v>
      </c>
      <c r="CG364" s="132"/>
      <c r="CH364" s="143">
        <f t="shared" si="70"/>
        <v>0</v>
      </c>
      <c r="CI364" s="132">
        <f t="shared" si="71"/>
        <v>0</v>
      </c>
      <c r="CJ364" s="143">
        <f t="shared" si="71"/>
        <v>0</v>
      </c>
    </row>
    <row r="365" spans="1:88" x14ac:dyDescent="0.3">
      <c r="A365" s="27"/>
      <c r="B365" s="27"/>
      <c r="C365" s="27"/>
      <c r="D365" s="27"/>
      <c r="E365" s="27"/>
      <c r="F365" s="27"/>
      <c r="G365" s="27"/>
      <c r="H365" s="27"/>
      <c r="I365" s="27"/>
      <c r="J365" s="27"/>
      <c r="K365" s="27"/>
      <c r="L365" s="27"/>
      <c r="N365" s="27"/>
      <c r="O365" s="27"/>
      <c r="P365" s="27"/>
      <c r="Q365" s="117" t="s">
        <v>945</v>
      </c>
      <c r="R365" s="27"/>
      <c r="S365" s="27"/>
      <c r="T365" s="141" t="str">
        <f t="shared" si="72"/>
        <v xml:space="preserve"> </v>
      </c>
      <c r="U365" s="27"/>
      <c r="V365" s="27"/>
      <c r="W365" s="27"/>
      <c r="X365" s="27"/>
      <c r="Y365" s="27"/>
      <c r="AE365" s="27"/>
      <c r="BD365" s="97"/>
      <c r="BE365" s="108"/>
      <c r="BF365" s="108"/>
      <c r="BG365" s="97"/>
      <c r="BH365" s="97"/>
      <c r="BI365" s="97"/>
      <c r="BJ365" s="97"/>
      <c r="BK365" s="110"/>
      <c r="BL365" s="97"/>
      <c r="BM365" s="97"/>
      <c r="BN365" s="97"/>
      <c r="BO365" s="147"/>
      <c r="BP365" s="143">
        <f t="shared" si="61"/>
        <v>0</v>
      </c>
      <c r="BQ365" s="147"/>
      <c r="BR365" s="143">
        <f t="shared" si="62"/>
        <v>0</v>
      </c>
      <c r="BS365" s="132"/>
      <c r="BT365" s="146">
        <f t="shared" si="63"/>
        <v>0</v>
      </c>
      <c r="BU365" s="66"/>
      <c r="BV365" s="143">
        <f t="shared" si="64"/>
        <v>0</v>
      </c>
      <c r="BW365" s="66"/>
      <c r="BX365" s="146">
        <f t="shared" si="65"/>
        <v>0</v>
      </c>
      <c r="BY365" s="66"/>
      <c r="BZ365" s="146">
        <f t="shared" si="66"/>
        <v>0</v>
      </c>
      <c r="CA365" s="66"/>
      <c r="CB365" s="146">
        <f t="shared" si="67"/>
        <v>0</v>
      </c>
      <c r="CC365" s="66"/>
      <c r="CD365" s="143">
        <f t="shared" si="68"/>
        <v>0</v>
      </c>
      <c r="CE365" s="66"/>
      <c r="CF365" s="143">
        <f t="shared" si="69"/>
        <v>0</v>
      </c>
      <c r="CG365" s="132"/>
      <c r="CH365" s="143">
        <f t="shared" si="70"/>
        <v>0</v>
      </c>
      <c r="CI365" s="132">
        <f t="shared" si="71"/>
        <v>0</v>
      </c>
      <c r="CJ365" s="143">
        <f t="shared" si="71"/>
        <v>0</v>
      </c>
    </row>
    <row r="366" spans="1:88" x14ac:dyDescent="0.3">
      <c r="A366" s="27"/>
      <c r="B366" s="27"/>
      <c r="C366" s="27"/>
      <c r="D366" s="27"/>
      <c r="E366" s="27"/>
      <c r="F366" s="27"/>
      <c r="G366" s="27"/>
      <c r="H366" s="27"/>
      <c r="I366" s="27"/>
      <c r="J366" s="27"/>
      <c r="K366" s="27"/>
      <c r="L366" s="27"/>
      <c r="N366" s="27"/>
      <c r="O366" s="27"/>
      <c r="P366" s="27"/>
      <c r="Q366" s="117" t="s">
        <v>946</v>
      </c>
      <c r="R366" s="27"/>
      <c r="S366" s="27"/>
      <c r="T366" s="141" t="str">
        <f t="shared" si="72"/>
        <v xml:space="preserve"> </v>
      </c>
      <c r="U366" s="27"/>
      <c r="V366" s="27"/>
      <c r="W366" s="27"/>
      <c r="X366" s="27"/>
      <c r="Y366" s="27"/>
      <c r="AE366" s="27"/>
      <c r="BD366" s="97"/>
      <c r="BE366" s="108"/>
      <c r="BF366" s="108"/>
      <c r="BG366" s="97"/>
      <c r="BH366" s="97"/>
      <c r="BI366" s="97"/>
      <c r="BJ366" s="97"/>
      <c r="BK366" s="110"/>
      <c r="BL366" s="97"/>
      <c r="BM366" s="97"/>
      <c r="BN366" s="97"/>
      <c r="BO366" s="142"/>
      <c r="BP366" s="143">
        <f t="shared" si="61"/>
        <v>0</v>
      </c>
      <c r="BQ366" s="142"/>
      <c r="BR366" s="143">
        <f t="shared" si="62"/>
        <v>0</v>
      </c>
      <c r="BS366" s="132"/>
      <c r="BT366" s="146">
        <f t="shared" si="63"/>
        <v>0</v>
      </c>
      <c r="BU366" s="132"/>
      <c r="BV366" s="143">
        <f t="shared" si="64"/>
        <v>0</v>
      </c>
      <c r="BW366" s="132"/>
      <c r="BX366" s="146">
        <f t="shared" si="65"/>
        <v>0</v>
      </c>
      <c r="BY366" s="132"/>
      <c r="BZ366" s="146">
        <f t="shared" si="66"/>
        <v>0</v>
      </c>
      <c r="CA366" s="132"/>
      <c r="CB366" s="146">
        <f t="shared" si="67"/>
        <v>0</v>
      </c>
      <c r="CC366" s="132"/>
      <c r="CD366" s="143">
        <f t="shared" si="68"/>
        <v>0</v>
      </c>
      <c r="CE366" s="132"/>
      <c r="CF366" s="143">
        <f t="shared" si="69"/>
        <v>0</v>
      </c>
      <c r="CG366" s="132"/>
      <c r="CH366" s="143">
        <f t="shared" si="70"/>
        <v>0</v>
      </c>
      <c r="CI366" s="132">
        <f t="shared" si="71"/>
        <v>0</v>
      </c>
      <c r="CJ366" s="143">
        <f t="shared" si="71"/>
        <v>0</v>
      </c>
    </row>
    <row r="367" spans="1:88" x14ac:dyDescent="0.3">
      <c r="A367" s="27"/>
      <c r="B367" s="27"/>
      <c r="C367" s="27"/>
      <c r="D367" s="27"/>
      <c r="E367" s="27"/>
      <c r="F367" s="27"/>
      <c r="G367" s="27"/>
      <c r="H367" s="27"/>
      <c r="I367" s="27"/>
      <c r="J367" s="27"/>
      <c r="K367" s="27"/>
      <c r="L367" s="27"/>
      <c r="N367" s="27"/>
      <c r="O367" s="27"/>
      <c r="P367" s="27"/>
      <c r="Q367" s="117" t="s">
        <v>947</v>
      </c>
      <c r="R367" s="27"/>
      <c r="S367" s="27"/>
      <c r="T367" s="141" t="str">
        <f t="shared" si="72"/>
        <v xml:space="preserve"> </v>
      </c>
      <c r="U367" s="27"/>
      <c r="V367" s="27"/>
      <c r="W367" s="27"/>
      <c r="X367" s="27"/>
      <c r="Y367" s="27"/>
      <c r="AE367" s="27"/>
      <c r="BD367" s="97"/>
      <c r="BE367" s="108"/>
      <c r="BF367" s="108"/>
      <c r="BG367" s="97"/>
      <c r="BH367" s="97"/>
      <c r="BI367" s="97"/>
      <c r="BJ367" s="97"/>
      <c r="BK367" s="110"/>
      <c r="BL367" s="97"/>
      <c r="BM367" s="97"/>
      <c r="BN367" s="97"/>
      <c r="BO367" s="142"/>
      <c r="BP367" s="143">
        <f t="shared" si="61"/>
        <v>0</v>
      </c>
      <c r="BQ367" s="142"/>
      <c r="BR367" s="143">
        <f t="shared" si="62"/>
        <v>0</v>
      </c>
      <c r="BS367" s="132"/>
      <c r="BT367" s="146">
        <f t="shared" si="63"/>
        <v>0</v>
      </c>
      <c r="BU367" s="132"/>
      <c r="BV367" s="143">
        <f t="shared" si="64"/>
        <v>0</v>
      </c>
      <c r="BW367" s="132"/>
      <c r="BX367" s="146">
        <f t="shared" si="65"/>
        <v>0</v>
      </c>
      <c r="BY367" s="132"/>
      <c r="BZ367" s="146">
        <f t="shared" si="66"/>
        <v>0</v>
      </c>
      <c r="CA367" s="132"/>
      <c r="CB367" s="146">
        <f t="shared" si="67"/>
        <v>0</v>
      </c>
      <c r="CC367" s="132"/>
      <c r="CD367" s="143">
        <f t="shared" si="68"/>
        <v>0</v>
      </c>
      <c r="CE367" s="132"/>
      <c r="CF367" s="143">
        <f t="shared" si="69"/>
        <v>0</v>
      </c>
      <c r="CG367" s="132"/>
      <c r="CH367" s="143">
        <f t="shared" si="70"/>
        <v>0</v>
      </c>
      <c r="CI367" s="132">
        <f t="shared" si="71"/>
        <v>0</v>
      </c>
      <c r="CJ367" s="143">
        <f t="shared" si="71"/>
        <v>0</v>
      </c>
    </row>
    <row r="368" spans="1:88" x14ac:dyDescent="0.3">
      <c r="A368" s="27"/>
      <c r="B368" s="27"/>
      <c r="C368" s="27"/>
      <c r="D368" s="27"/>
      <c r="E368" s="27"/>
      <c r="F368" s="27"/>
      <c r="G368" s="27"/>
      <c r="H368" s="27"/>
      <c r="I368" s="27"/>
      <c r="J368" s="27"/>
      <c r="K368" s="27"/>
      <c r="L368" s="27"/>
      <c r="N368" s="27"/>
      <c r="O368" s="27"/>
      <c r="P368" s="27"/>
      <c r="Q368" s="117" t="s">
        <v>948</v>
      </c>
      <c r="R368" s="27"/>
      <c r="S368" s="27"/>
      <c r="T368" s="141" t="str">
        <f t="shared" si="72"/>
        <v xml:space="preserve"> </v>
      </c>
      <c r="U368" s="27"/>
      <c r="V368" s="27"/>
      <c r="W368" s="27"/>
      <c r="X368" s="27"/>
      <c r="Y368" s="27"/>
      <c r="AE368" s="27"/>
      <c r="BD368" s="97"/>
      <c r="BE368" s="108"/>
      <c r="BF368" s="108"/>
      <c r="BG368" s="97"/>
      <c r="BH368" s="97"/>
      <c r="BI368" s="97"/>
      <c r="BJ368" s="97"/>
      <c r="BK368" s="110"/>
      <c r="BL368" s="97"/>
      <c r="BM368" s="97"/>
      <c r="BN368" s="97"/>
      <c r="BO368" s="144"/>
      <c r="BP368" s="143">
        <f t="shared" si="61"/>
        <v>0</v>
      </c>
      <c r="BQ368" s="144"/>
      <c r="BR368" s="143">
        <f t="shared" si="62"/>
        <v>0</v>
      </c>
      <c r="BS368" s="132"/>
      <c r="BT368" s="146">
        <f t="shared" si="63"/>
        <v>0</v>
      </c>
      <c r="BU368" s="145"/>
      <c r="BV368" s="143">
        <f t="shared" si="64"/>
        <v>0</v>
      </c>
      <c r="BW368" s="145"/>
      <c r="BX368" s="146">
        <f t="shared" si="65"/>
        <v>0</v>
      </c>
      <c r="BY368" s="145"/>
      <c r="BZ368" s="146">
        <f t="shared" si="66"/>
        <v>0</v>
      </c>
      <c r="CA368" s="145"/>
      <c r="CB368" s="146">
        <f t="shared" si="67"/>
        <v>0</v>
      </c>
      <c r="CC368" s="145"/>
      <c r="CD368" s="143">
        <f t="shared" si="68"/>
        <v>0</v>
      </c>
      <c r="CE368" s="145"/>
      <c r="CF368" s="143">
        <f t="shared" si="69"/>
        <v>0</v>
      </c>
      <c r="CG368" s="132"/>
      <c r="CH368" s="143">
        <f t="shared" si="70"/>
        <v>0</v>
      </c>
      <c r="CI368" s="132">
        <f t="shared" si="71"/>
        <v>0</v>
      </c>
      <c r="CJ368" s="143">
        <f t="shared" si="71"/>
        <v>0</v>
      </c>
    </row>
    <row r="369" spans="1:88" x14ac:dyDescent="0.3">
      <c r="A369" s="27"/>
      <c r="B369" s="27"/>
      <c r="C369" s="27"/>
      <c r="D369" s="27"/>
      <c r="E369" s="27"/>
      <c r="F369" s="27"/>
      <c r="G369" s="27"/>
      <c r="H369" s="27"/>
      <c r="I369" s="27"/>
      <c r="J369" s="27"/>
      <c r="K369" s="27"/>
      <c r="L369" s="27"/>
      <c r="N369" s="27"/>
      <c r="O369" s="27"/>
      <c r="P369" s="27"/>
      <c r="Q369" s="117" t="s">
        <v>949</v>
      </c>
      <c r="R369" s="27"/>
      <c r="S369" s="27"/>
      <c r="T369" s="141" t="str">
        <f t="shared" si="72"/>
        <v xml:space="preserve"> </v>
      </c>
      <c r="U369" s="27"/>
      <c r="V369" s="27"/>
      <c r="W369" s="27"/>
      <c r="X369" s="27"/>
      <c r="Y369" s="27"/>
      <c r="AE369" s="27"/>
      <c r="BD369" s="97"/>
      <c r="BE369" s="108"/>
      <c r="BF369" s="108"/>
      <c r="BG369" s="97"/>
      <c r="BH369" s="97"/>
      <c r="BI369" s="97"/>
      <c r="BJ369" s="97"/>
      <c r="BK369" s="110"/>
      <c r="BL369" s="97"/>
      <c r="BM369" s="97"/>
      <c r="BN369" s="97"/>
      <c r="BO369" s="144"/>
      <c r="BP369" s="143">
        <f t="shared" si="61"/>
        <v>0</v>
      </c>
      <c r="BQ369" s="144"/>
      <c r="BR369" s="143">
        <f t="shared" si="62"/>
        <v>0</v>
      </c>
      <c r="BS369" s="132"/>
      <c r="BT369" s="146">
        <f t="shared" si="63"/>
        <v>0</v>
      </c>
      <c r="BU369" s="145"/>
      <c r="BV369" s="143">
        <f t="shared" si="64"/>
        <v>0</v>
      </c>
      <c r="BW369" s="145"/>
      <c r="BX369" s="146">
        <f t="shared" si="65"/>
        <v>0</v>
      </c>
      <c r="BY369" s="145"/>
      <c r="BZ369" s="146">
        <f t="shared" si="66"/>
        <v>0</v>
      </c>
      <c r="CA369" s="145"/>
      <c r="CB369" s="146">
        <f t="shared" si="67"/>
        <v>0</v>
      </c>
      <c r="CC369" s="145"/>
      <c r="CD369" s="143">
        <f t="shared" si="68"/>
        <v>0</v>
      </c>
      <c r="CE369" s="145"/>
      <c r="CF369" s="143">
        <f t="shared" si="69"/>
        <v>0</v>
      </c>
      <c r="CG369" s="132"/>
      <c r="CH369" s="143">
        <f t="shared" si="70"/>
        <v>0</v>
      </c>
      <c r="CI369" s="132">
        <f t="shared" si="71"/>
        <v>0</v>
      </c>
      <c r="CJ369" s="143">
        <f t="shared" si="71"/>
        <v>0</v>
      </c>
    </row>
    <row r="370" spans="1:88" x14ac:dyDescent="0.3">
      <c r="A370" s="27"/>
      <c r="B370" s="27"/>
      <c r="C370" s="27"/>
      <c r="D370" s="27"/>
      <c r="E370" s="27"/>
      <c r="F370" s="27"/>
      <c r="G370" s="27"/>
      <c r="H370" s="27"/>
      <c r="I370" s="27"/>
      <c r="J370" s="27"/>
      <c r="K370" s="27"/>
      <c r="L370" s="27"/>
      <c r="N370" s="27"/>
      <c r="O370" s="27"/>
      <c r="P370" s="27"/>
      <c r="Q370" s="117" t="s">
        <v>950</v>
      </c>
      <c r="R370" s="27"/>
      <c r="S370" s="27"/>
      <c r="T370" s="141" t="str">
        <f t="shared" si="72"/>
        <v xml:space="preserve"> </v>
      </c>
      <c r="U370" s="27"/>
      <c r="V370" s="27"/>
      <c r="W370" s="27"/>
      <c r="X370" s="27"/>
      <c r="Y370" s="27"/>
      <c r="AE370" s="27"/>
      <c r="BD370" s="97"/>
      <c r="BE370" s="108"/>
      <c r="BF370" s="108"/>
      <c r="BG370" s="97"/>
      <c r="BH370" s="97"/>
      <c r="BI370" s="97"/>
      <c r="BJ370" s="97"/>
      <c r="BK370" s="110"/>
      <c r="BL370" s="97"/>
      <c r="BM370" s="97"/>
      <c r="BN370" s="97"/>
      <c r="BO370" s="142"/>
      <c r="BP370" s="143">
        <f t="shared" si="61"/>
        <v>0</v>
      </c>
      <c r="BQ370" s="142"/>
      <c r="BR370" s="143">
        <f t="shared" si="62"/>
        <v>0</v>
      </c>
      <c r="BS370" s="132"/>
      <c r="BT370" s="146">
        <f t="shared" si="63"/>
        <v>0</v>
      </c>
      <c r="BU370" s="132"/>
      <c r="BV370" s="143">
        <f t="shared" si="64"/>
        <v>0</v>
      </c>
      <c r="BW370" s="132"/>
      <c r="BX370" s="146">
        <f t="shared" si="65"/>
        <v>0</v>
      </c>
      <c r="BY370" s="132"/>
      <c r="BZ370" s="146">
        <f t="shared" si="66"/>
        <v>0</v>
      </c>
      <c r="CA370" s="132"/>
      <c r="CB370" s="146">
        <f t="shared" si="67"/>
        <v>0</v>
      </c>
      <c r="CC370" s="132"/>
      <c r="CD370" s="143">
        <f t="shared" si="68"/>
        <v>0</v>
      </c>
      <c r="CE370" s="132"/>
      <c r="CF370" s="143">
        <f t="shared" si="69"/>
        <v>0</v>
      </c>
      <c r="CG370" s="132"/>
      <c r="CH370" s="143">
        <f t="shared" si="70"/>
        <v>0</v>
      </c>
      <c r="CI370" s="132">
        <f t="shared" si="71"/>
        <v>0</v>
      </c>
      <c r="CJ370" s="143">
        <f t="shared" si="71"/>
        <v>0</v>
      </c>
    </row>
    <row r="371" spans="1:88" x14ac:dyDescent="0.3">
      <c r="A371" s="27"/>
      <c r="B371" s="27"/>
      <c r="C371" s="27"/>
      <c r="D371" s="27"/>
      <c r="E371" s="27"/>
      <c r="F371" s="27"/>
      <c r="G371" s="27"/>
      <c r="H371" s="27"/>
      <c r="I371" s="27"/>
      <c r="J371" s="27"/>
      <c r="K371" s="27"/>
      <c r="L371" s="27"/>
      <c r="N371" s="27"/>
      <c r="O371" s="27"/>
      <c r="P371" s="27"/>
      <c r="Q371" s="117" t="s">
        <v>951</v>
      </c>
      <c r="R371" s="27"/>
      <c r="S371" s="27"/>
      <c r="T371" s="141" t="str">
        <f t="shared" si="72"/>
        <v xml:space="preserve"> </v>
      </c>
      <c r="U371" s="27"/>
      <c r="V371" s="27"/>
      <c r="W371" s="27"/>
      <c r="X371" s="27"/>
      <c r="Y371" s="27"/>
      <c r="AE371" s="27"/>
      <c r="BD371" s="97"/>
      <c r="BE371" s="108"/>
      <c r="BF371" s="108"/>
      <c r="BG371" s="97"/>
      <c r="BH371" s="97"/>
      <c r="BI371" s="97"/>
      <c r="BJ371" s="97"/>
      <c r="BK371" s="110"/>
      <c r="BL371" s="97"/>
      <c r="BM371" s="97"/>
      <c r="BN371" s="97"/>
      <c r="BO371" s="142"/>
      <c r="BP371" s="143">
        <f t="shared" si="61"/>
        <v>0</v>
      </c>
      <c r="BQ371" s="142"/>
      <c r="BR371" s="143">
        <f t="shared" si="62"/>
        <v>0</v>
      </c>
      <c r="BS371" s="132"/>
      <c r="BT371" s="146">
        <f t="shared" si="63"/>
        <v>0</v>
      </c>
      <c r="BU371" s="132"/>
      <c r="BV371" s="143">
        <f t="shared" si="64"/>
        <v>0</v>
      </c>
      <c r="BW371" s="132"/>
      <c r="BX371" s="146">
        <f t="shared" si="65"/>
        <v>0</v>
      </c>
      <c r="BY371" s="132"/>
      <c r="BZ371" s="146">
        <f t="shared" si="66"/>
        <v>0</v>
      </c>
      <c r="CA371" s="132"/>
      <c r="CB371" s="146">
        <f t="shared" si="67"/>
        <v>0</v>
      </c>
      <c r="CC371" s="132"/>
      <c r="CD371" s="143">
        <f t="shared" si="68"/>
        <v>0</v>
      </c>
      <c r="CE371" s="132"/>
      <c r="CF371" s="143">
        <f t="shared" si="69"/>
        <v>0</v>
      </c>
      <c r="CG371" s="132"/>
      <c r="CH371" s="143">
        <f t="shared" si="70"/>
        <v>0</v>
      </c>
      <c r="CI371" s="132">
        <f t="shared" si="71"/>
        <v>0</v>
      </c>
      <c r="CJ371" s="143">
        <f t="shared" si="71"/>
        <v>0</v>
      </c>
    </row>
    <row r="372" spans="1:88" x14ac:dyDescent="0.3">
      <c r="A372" s="27"/>
      <c r="B372" s="27"/>
      <c r="C372" s="27"/>
      <c r="D372" s="27"/>
      <c r="E372" s="27"/>
      <c r="F372" s="27"/>
      <c r="G372" s="27"/>
      <c r="H372" s="27"/>
      <c r="I372" s="27"/>
      <c r="J372" s="27"/>
      <c r="K372" s="27"/>
      <c r="L372" s="27"/>
      <c r="N372" s="27"/>
      <c r="O372" s="27"/>
      <c r="P372" s="27"/>
      <c r="Q372" s="117" t="s">
        <v>952</v>
      </c>
      <c r="R372" s="27"/>
      <c r="S372" s="27"/>
      <c r="T372" s="141" t="str">
        <f t="shared" si="72"/>
        <v xml:space="preserve"> </v>
      </c>
      <c r="U372" s="27"/>
      <c r="V372" s="27"/>
      <c r="W372" s="27"/>
      <c r="X372" s="27"/>
      <c r="Y372" s="27"/>
      <c r="AE372" s="27"/>
      <c r="BD372" s="97"/>
      <c r="BE372" s="108"/>
      <c r="BF372" s="108"/>
      <c r="BG372" s="97"/>
      <c r="BH372" s="97"/>
      <c r="BI372" s="97"/>
      <c r="BJ372" s="97"/>
      <c r="BK372" s="110"/>
      <c r="BL372" s="97"/>
      <c r="BM372" s="97"/>
      <c r="BN372" s="97"/>
      <c r="BO372" s="144"/>
      <c r="BP372" s="143">
        <f t="shared" si="61"/>
        <v>0</v>
      </c>
      <c r="BQ372" s="144"/>
      <c r="BR372" s="143">
        <f t="shared" si="62"/>
        <v>0</v>
      </c>
      <c r="BS372" s="132"/>
      <c r="BT372" s="146">
        <f t="shared" si="63"/>
        <v>0</v>
      </c>
      <c r="BU372" s="145"/>
      <c r="BV372" s="143">
        <f t="shared" si="64"/>
        <v>0</v>
      </c>
      <c r="BW372" s="145"/>
      <c r="BX372" s="146">
        <f t="shared" si="65"/>
        <v>0</v>
      </c>
      <c r="BY372" s="145"/>
      <c r="BZ372" s="146">
        <f t="shared" si="66"/>
        <v>0</v>
      </c>
      <c r="CA372" s="145"/>
      <c r="CB372" s="146">
        <f t="shared" si="67"/>
        <v>0</v>
      </c>
      <c r="CC372" s="145"/>
      <c r="CD372" s="143">
        <f t="shared" si="68"/>
        <v>0</v>
      </c>
      <c r="CE372" s="145"/>
      <c r="CF372" s="143">
        <f t="shared" si="69"/>
        <v>0</v>
      </c>
      <c r="CG372" s="132"/>
      <c r="CH372" s="143">
        <f t="shared" si="70"/>
        <v>0</v>
      </c>
      <c r="CI372" s="132">
        <f t="shared" si="71"/>
        <v>0</v>
      </c>
      <c r="CJ372" s="143">
        <f t="shared" si="71"/>
        <v>0</v>
      </c>
    </row>
    <row r="373" spans="1:88" x14ac:dyDescent="0.3">
      <c r="A373" s="27"/>
      <c r="B373" s="27"/>
      <c r="C373" s="27"/>
      <c r="D373" s="27"/>
      <c r="E373" s="27"/>
      <c r="F373" s="27"/>
      <c r="G373" s="27"/>
      <c r="H373" s="27"/>
      <c r="I373" s="27"/>
      <c r="J373" s="27"/>
      <c r="K373" s="27"/>
      <c r="L373" s="27"/>
      <c r="N373" s="27"/>
      <c r="O373" s="27"/>
      <c r="P373" s="27"/>
      <c r="Q373" s="117" t="s">
        <v>953</v>
      </c>
      <c r="R373" s="27"/>
      <c r="S373" s="27"/>
      <c r="T373" s="141" t="str">
        <f t="shared" si="72"/>
        <v xml:space="preserve"> </v>
      </c>
      <c r="U373" s="27"/>
      <c r="V373" s="27"/>
      <c r="W373" s="27"/>
      <c r="X373" s="27"/>
      <c r="Y373" s="27"/>
      <c r="AE373" s="27"/>
      <c r="BD373" s="97"/>
      <c r="BE373" s="108"/>
      <c r="BF373" s="108"/>
      <c r="BG373" s="97"/>
      <c r="BH373" s="97"/>
      <c r="BI373" s="97"/>
      <c r="BJ373" s="97"/>
      <c r="BK373" s="110"/>
      <c r="BL373" s="97"/>
      <c r="BM373" s="97"/>
      <c r="BN373" s="97"/>
      <c r="BO373" s="144"/>
      <c r="BP373" s="143">
        <f t="shared" si="61"/>
        <v>0</v>
      </c>
      <c r="BQ373" s="144"/>
      <c r="BR373" s="143">
        <f t="shared" si="62"/>
        <v>0</v>
      </c>
      <c r="BS373" s="132"/>
      <c r="BT373" s="146">
        <f t="shared" si="63"/>
        <v>0</v>
      </c>
      <c r="BU373" s="145"/>
      <c r="BV373" s="143">
        <f t="shared" si="64"/>
        <v>0</v>
      </c>
      <c r="BW373" s="145"/>
      <c r="BX373" s="146">
        <f t="shared" si="65"/>
        <v>0</v>
      </c>
      <c r="BY373" s="145"/>
      <c r="BZ373" s="146">
        <f t="shared" si="66"/>
        <v>0</v>
      </c>
      <c r="CA373" s="145"/>
      <c r="CB373" s="146">
        <f t="shared" si="67"/>
        <v>0</v>
      </c>
      <c r="CC373" s="145"/>
      <c r="CD373" s="143">
        <f t="shared" si="68"/>
        <v>0</v>
      </c>
      <c r="CE373" s="145"/>
      <c r="CF373" s="143">
        <f t="shared" si="69"/>
        <v>0</v>
      </c>
      <c r="CG373" s="132"/>
      <c r="CH373" s="143">
        <f t="shared" si="70"/>
        <v>0</v>
      </c>
      <c r="CI373" s="132">
        <f t="shared" si="71"/>
        <v>0</v>
      </c>
      <c r="CJ373" s="143">
        <f t="shared" si="71"/>
        <v>0</v>
      </c>
    </row>
    <row r="374" spans="1:88" x14ac:dyDescent="0.3">
      <c r="A374" s="27"/>
      <c r="B374" s="27"/>
      <c r="C374" s="27"/>
      <c r="D374" s="27"/>
      <c r="E374" s="27"/>
      <c r="F374" s="27"/>
      <c r="G374" s="27"/>
      <c r="H374" s="27"/>
      <c r="I374" s="27"/>
      <c r="J374" s="27"/>
      <c r="K374" s="27"/>
      <c r="L374" s="27"/>
      <c r="N374" s="27"/>
      <c r="O374" s="27"/>
      <c r="P374" s="27"/>
      <c r="Q374" s="117" t="s">
        <v>954</v>
      </c>
      <c r="R374" s="27"/>
      <c r="S374" s="27"/>
      <c r="T374" s="141" t="str">
        <f t="shared" si="72"/>
        <v xml:space="preserve"> </v>
      </c>
      <c r="U374" s="27"/>
      <c r="V374" s="27"/>
      <c r="W374" s="27"/>
      <c r="X374" s="27"/>
      <c r="Y374" s="27"/>
      <c r="AE374" s="27"/>
      <c r="BD374" s="97"/>
      <c r="BE374" s="108"/>
      <c r="BF374" s="108"/>
      <c r="BG374" s="97"/>
      <c r="BH374" s="97"/>
      <c r="BI374" s="97"/>
      <c r="BJ374" s="97"/>
      <c r="BK374" s="110"/>
      <c r="BL374" s="97"/>
      <c r="BM374" s="97"/>
      <c r="BN374" s="97"/>
      <c r="BO374" s="142"/>
      <c r="BP374" s="143">
        <f t="shared" si="61"/>
        <v>0</v>
      </c>
      <c r="BQ374" s="142"/>
      <c r="BR374" s="143">
        <f t="shared" si="62"/>
        <v>0</v>
      </c>
      <c r="BS374" s="132"/>
      <c r="BT374" s="146">
        <f t="shared" si="63"/>
        <v>0</v>
      </c>
      <c r="BU374" s="132"/>
      <c r="BV374" s="143">
        <f t="shared" si="64"/>
        <v>0</v>
      </c>
      <c r="BW374" s="132"/>
      <c r="BX374" s="146">
        <f t="shared" si="65"/>
        <v>0</v>
      </c>
      <c r="BY374" s="132"/>
      <c r="BZ374" s="146">
        <f t="shared" si="66"/>
        <v>0</v>
      </c>
      <c r="CA374" s="132"/>
      <c r="CB374" s="146">
        <f t="shared" si="67"/>
        <v>0</v>
      </c>
      <c r="CC374" s="132"/>
      <c r="CD374" s="143">
        <f t="shared" si="68"/>
        <v>0</v>
      </c>
      <c r="CE374" s="132"/>
      <c r="CF374" s="143">
        <f t="shared" si="69"/>
        <v>0</v>
      </c>
      <c r="CG374" s="132"/>
      <c r="CH374" s="143">
        <f t="shared" si="70"/>
        <v>0</v>
      </c>
      <c r="CI374" s="132">
        <f t="shared" si="71"/>
        <v>0</v>
      </c>
      <c r="CJ374" s="143">
        <f t="shared" si="71"/>
        <v>0</v>
      </c>
    </row>
    <row r="375" spans="1:88" x14ac:dyDescent="0.3">
      <c r="A375" s="27"/>
      <c r="B375" s="27"/>
      <c r="C375" s="27"/>
      <c r="D375" s="27"/>
      <c r="E375" s="27"/>
      <c r="F375" s="27"/>
      <c r="G375" s="27"/>
      <c r="H375" s="27"/>
      <c r="I375" s="27"/>
      <c r="J375" s="27"/>
      <c r="K375" s="27"/>
      <c r="L375" s="27"/>
      <c r="N375" s="27"/>
      <c r="O375" s="27"/>
      <c r="P375" s="27"/>
      <c r="Q375" s="117" t="s">
        <v>955</v>
      </c>
      <c r="R375" s="27"/>
      <c r="S375" s="27"/>
      <c r="T375" s="141" t="str">
        <f t="shared" si="72"/>
        <v xml:space="preserve"> </v>
      </c>
      <c r="U375" s="27"/>
      <c r="V375" s="27"/>
      <c r="W375" s="27"/>
      <c r="X375" s="27"/>
      <c r="Y375" s="27"/>
      <c r="AE375" s="27"/>
      <c r="BD375" s="97"/>
      <c r="BE375" s="108"/>
      <c r="BF375" s="108"/>
      <c r="BG375" s="97"/>
      <c r="BH375" s="97"/>
      <c r="BI375" s="97"/>
      <c r="BJ375" s="97"/>
      <c r="BK375" s="110"/>
      <c r="BL375" s="97"/>
      <c r="BM375" s="97"/>
      <c r="BN375" s="97"/>
      <c r="BO375" s="144"/>
      <c r="BP375" s="143">
        <f t="shared" si="61"/>
        <v>0</v>
      </c>
      <c r="BQ375" s="144"/>
      <c r="BR375" s="143">
        <f t="shared" si="62"/>
        <v>0</v>
      </c>
      <c r="BS375" s="132"/>
      <c r="BT375" s="146">
        <f t="shared" si="63"/>
        <v>0</v>
      </c>
      <c r="BU375" s="145"/>
      <c r="BV375" s="143">
        <f t="shared" si="64"/>
        <v>0</v>
      </c>
      <c r="BW375" s="145"/>
      <c r="BX375" s="146">
        <f t="shared" si="65"/>
        <v>0</v>
      </c>
      <c r="BY375" s="145"/>
      <c r="BZ375" s="146">
        <f t="shared" si="66"/>
        <v>0</v>
      </c>
      <c r="CA375" s="145"/>
      <c r="CB375" s="146">
        <f t="shared" si="67"/>
        <v>0</v>
      </c>
      <c r="CC375" s="145"/>
      <c r="CD375" s="143">
        <f t="shared" si="68"/>
        <v>0</v>
      </c>
      <c r="CE375" s="145"/>
      <c r="CF375" s="143">
        <f t="shared" si="69"/>
        <v>0</v>
      </c>
      <c r="CG375" s="132"/>
      <c r="CH375" s="143">
        <f t="shared" si="70"/>
        <v>0</v>
      </c>
      <c r="CI375" s="132">
        <f t="shared" si="71"/>
        <v>0</v>
      </c>
      <c r="CJ375" s="143">
        <f t="shared" si="71"/>
        <v>0</v>
      </c>
    </row>
    <row r="376" spans="1:88" x14ac:dyDescent="0.3">
      <c r="A376" s="27"/>
      <c r="B376" s="27"/>
      <c r="C376" s="27"/>
      <c r="D376" s="27"/>
      <c r="E376" s="27"/>
      <c r="F376" s="27"/>
      <c r="G376" s="27"/>
      <c r="H376" s="27"/>
      <c r="I376" s="27"/>
      <c r="J376" s="27"/>
      <c r="K376" s="27"/>
      <c r="L376" s="27"/>
      <c r="N376" s="27"/>
      <c r="O376" s="27"/>
      <c r="P376" s="27"/>
      <c r="Q376" s="117" t="s">
        <v>956</v>
      </c>
      <c r="R376" s="27"/>
      <c r="S376" s="27"/>
      <c r="T376" s="141" t="str">
        <f t="shared" si="72"/>
        <v xml:space="preserve"> </v>
      </c>
      <c r="U376" s="27"/>
      <c r="V376" s="27"/>
      <c r="W376" s="27"/>
      <c r="X376" s="27"/>
      <c r="Y376" s="27"/>
      <c r="AE376" s="27"/>
      <c r="BD376" s="97"/>
      <c r="BE376" s="108"/>
      <c r="BF376" s="108"/>
      <c r="BG376" s="97"/>
      <c r="BH376" s="97"/>
      <c r="BI376" s="97"/>
      <c r="BJ376" s="97"/>
      <c r="BK376" s="110"/>
      <c r="BL376" s="97"/>
      <c r="BM376" s="97"/>
      <c r="BN376" s="97"/>
      <c r="BO376" s="144"/>
      <c r="BP376" s="143">
        <f t="shared" si="61"/>
        <v>0</v>
      </c>
      <c r="BQ376" s="144"/>
      <c r="BR376" s="143">
        <f t="shared" si="62"/>
        <v>0</v>
      </c>
      <c r="BS376" s="132"/>
      <c r="BT376" s="146">
        <f t="shared" si="63"/>
        <v>0</v>
      </c>
      <c r="BU376" s="145"/>
      <c r="BV376" s="143">
        <f t="shared" si="64"/>
        <v>0</v>
      </c>
      <c r="BW376" s="145"/>
      <c r="BX376" s="146">
        <f t="shared" si="65"/>
        <v>0</v>
      </c>
      <c r="BY376" s="145"/>
      <c r="BZ376" s="146">
        <f t="shared" si="66"/>
        <v>0</v>
      </c>
      <c r="CA376" s="145"/>
      <c r="CB376" s="146">
        <f t="shared" si="67"/>
        <v>0</v>
      </c>
      <c r="CC376" s="145"/>
      <c r="CD376" s="143">
        <f t="shared" si="68"/>
        <v>0</v>
      </c>
      <c r="CE376" s="145"/>
      <c r="CF376" s="143">
        <f t="shared" si="69"/>
        <v>0</v>
      </c>
      <c r="CG376" s="132"/>
      <c r="CH376" s="143">
        <f t="shared" si="70"/>
        <v>0</v>
      </c>
      <c r="CI376" s="132">
        <f t="shared" si="71"/>
        <v>0</v>
      </c>
      <c r="CJ376" s="143">
        <f t="shared" si="71"/>
        <v>0</v>
      </c>
    </row>
    <row r="377" spans="1:88" x14ac:dyDescent="0.3">
      <c r="A377" s="27"/>
      <c r="B377" s="27"/>
      <c r="C377" s="27"/>
      <c r="D377" s="27"/>
      <c r="E377" s="27"/>
      <c r="F377" s="27"/>
      <c r="G377" s="27"/>
      <c r="H377" s="27"/>
      <c r="I377" s="27"/>
      <c r="J377" s="27"/>
      <c r="K377" s="27"/>
      <c r="L377" s="27"/>
      <c r="N377" s="27"/>
      <c r="O377" s="27"/>
      <c r="P377" s="27"/>
      <c r="Q377" s="117" t="s">
        <v>957</v>
      </c>
      <c r="R377" s="27"/>
      <c r="S377" s="27"/>
      <c r="T377" s="141" t="str">
        <f t="shared" si="72"/>
        <v xml:space="preserve"> </v>
      </c>
      <c r="U377" s="27"/>
      <c r="V377" s="27"/>
      <c r="W377" s="27"/>
      <c r="X377" s="27"/>
      <c r="Y377" s="27"/>
      <c r="AE377" s="27"/>
      <c r="BD377" s="97"/>
      <c r="BE377" s="108"/>
      <c r="BF377" s="108"/>
      <c r="BG377" s="97"/>
      <c r="BH377" s="97"/>
      <c r="BI377" s="97"/>
      <c r="BJ377" s="97"/>
      <c r="BK377" s="110"/>
      <c r="BL377" s="97"/>
      <c r="BM377" s="97"/>
      <c r="BN377" s="97"/>
      <c r="BO377" s="142"/>
      <c r="BP377" s="143">
        <f t="shared" si="61"/>
        <v>0</v>
      </c>
      <c r="BQ377" s="142"/>
      <c r="BR377" s="143">
        <f t="shared" si="62"/>
        <v>0</v>
      </c>
      <c r="BS377" s="132"/>
      <c r="BT377" s="146">
        <f t="shared" si="63"/>
        <v>0</v>
      </c>
      <c r="BU377" s="132"/>
      <c r="BV377" s="143">
        <f t="shared" si="64"/>
        <v>0</v>
      </c>
      <c r="BW377" s="132"/>
      <c r="BX377" s="146">
        <f t="shared" si="65"/>
        <v>0</v>
      </c>
      <c r="BY377" s="132"/>
      <c r="BZ377" s="146">
        <f t="shared" si="66"/>
        <v>0</v>
      </c>
      <c r="CA377" s="132"/>
      <c r="CB377" s="146">
        <f t="shared" si="67"/>
        <v>0</v>
      </c>
      <c r="CC377" s="132"/>
      <c r="CD377" s="143">
        <f t="shared" si="68"/>
        <v>0</v>
      </c>
      <c r="CE377" s="132"/>
      <c r="CF377" s="143">
        <f t="shared" si="69"/>
        <v>0</v>
      </c>
      <c r="CG377" s="132"/>
      <c r="CH377" s="143">
        <f t="shared" si="70"/>
        <v>0</v>
      </c>
      <c r="CI377" s="132">
        <f t="shared" si="71"/>
        <v>0</v>
      </c>
      <c r="CJ377" s="143">
        <f t="shared" si="71"/>
        <v>0</v>
      </c>
    </row>
    <row r="378" spans="1:88" x14ac:dyDescent="0.3">
      <c r="A378" s="27"/>
      <c r="B378" s="27"/>
      <c r="C378" s="27"/>
      <c r="D378" s="27"/>
      <c r="E378" s="27"/>
      <c r="F378" s="27"/>
      <c r="G378" s="27"/>
      <c r="H378" s="27"/>
      <c r="I378" s="27"/>
      <c r="J378" s="27"/>
      <c r="K378" s="27"/>
      <c r="L378" s="27"/>
      <c r="N378" s="27"/>
      <c r="O378" s="27"/>
      <c r="P378" s="27"/>
      <c r="Q378" s="117" t="s">
        <v>958</v>
      </c>
      <c r="R378" s="27"/>
      <c r="S378" s="27"/>
      <c r="T378" s="141" t="str">
        <f t="shared" si="72"/>
        <v xml:space="preserve"> </v>
      </c>
      <c r="U378" s="27"/>
      <c r="V378" s="27"/>
      <c r="W378" s="27"/>
      <c r="X378" s="27"/>
      <c r="Y378" s="27"/>
      <c r="AE378" s="27"/>
      <c r="BD378" s="97"/>
      <c r="BE378" s="108"/>
      <c r="BF378" s="108"/>
      <c r="BG378" s="97"/>
      <c r="BH378" s="97"/>
      <c r="BI378" s="97"/>
      <c r="BJ378" s="97"/>
      <c r="BK378" s="110"/>
      <c r="BL378" s="97"/>
      <c r="BM378" s="97"/>
      <c r="BN378" s="97"/>
      <c r="BO378" s="142"/>
      <c r="BP378" s="143">
        <f t="shared" si="61"/>
        <v>0</v>
      </c>
      <c r="BQ378" s="142"/>
      <c r="BR378" s="143">
        <f t="shared" si="62"/>
        <v>0</v>
      </c>
      <c r="BS378" s="132"/>
      <c r="BT378" s="146">
        <f t="shared" si="63"/>
        <v>0</v>
      </c>
      <c r="BU378" s="132"/>
      <c r="BV378" s="143">
        <f t="shared" si="64"/>
        <v>0</v>
      </c>
      <c r="BW378" s="132"/>
      <c r="BX378" s="146">
        <f t="shared" si="65"/>
        <v>0</v>
      </c>
      <c r="BY378" s="132"/>
      <c r="BZ378" s="146">
        <f t="shared" si="66"/>
        <v>0</v>
      </c>
      <c r="CA378" s="132"/>
      <c r="CB378" s="146">
        <f t="shared" si="67"/>
        <v>0</v>
      </c>
      <c r="CC378" s="132"/>
      <c r="CD378" s="143">
        <f t="shared" si="68"/>
        <v>0</v>
      </c>
      <c r="CE378" s="132"/>
      <c r="CF378" s="143">
        <f t="shared" si="69"/>
        <v>0</v>
      </c>
      <c r="CG378" s="132"/>
      <c r="CH378" s="143">
        <f t="shared" si="70"/>
        <v>0</v>
      </c>
      <c r="CI378" s="132">
        <f t="shared" si="71"/>
        <v>0</v>
      </c>
      <c r="CJ378" s="143">
        <f t="shared" si="71"/>
        <v>0</v>
      </c>
    </row>
    <row r="379" spans="1:88" x14ac:dyDescent="0.3">
      <c r="A379" s="27"/>
      <c r="B379" s="27"/>
      <c r="C379" s="27"/>
      <c r="D379" s="27"/>
      <c r="E379" s="27"/>
      <c r="F379" s="27"/>
      <c r="G379" s="27"/>
      <c r="H379" s="27"/>
      <c r="I379" s="27"/>
      <c r="J379" s="27"/>
      <c r="K379" s="27"/>
      <c r="L379" s="27"/>
      <c r="N379" s="27"/>
      <c r="O379" s="27"/>
      <c r="P379" s="27"/>
      <c r="Q379" s="117" t="s">
        <v>959</v>
      </c>
      <c r="R379" s="27"/>
      <c r="S379" s="27"/>
      <c r="T379" s="141" t="str">
        <f t="shared" si="72"/>
        <v xml:space="preserve"> </v>
      </c>
      <c r="U379" s="27"/>
      <c r="V379" s="27"/>
      <c r="W379" s="27"/>
      <c r="X379" s="27"/>
      <c r="Y379" s="27"/>
      <c r="AE379" s="27"/>
      <c r="BD379" s="97"/>
      <c r="BE379" s="108"/>
      <c r="BF379" s="108"/>
      <c r="BG379" s="97"/>
      <c r="BH379" s="97"/>
      <c r="BI379" s="97"/>
      <c r="BJ379" s="97"/>
      <c r="BK379" s="110"/>
      <c r="BL379" s="97"/>
      <c r="BM379" s="97"/>
      <c r="BN379" s="97"/>
      <c r="BO379" s="142"/>
      <c r="BP379" s="143">
        <f t="shared" si="61"/>
        <v>0</v>
      </c>
      <c r="BQ379" s="142"/>
      <c r="BR379" s="143">
        <f t="shared" si="62"/>
        <v>0</v>
      </c>
      <c r="BS379" s="132"/>
      <c r="BT379" s="146">
        <f t="shared" si="63"/>
        <v>0</v>
      </c>
      <c r="BU379" s="132"/>
      <c r="BV379" s="143">
        <f t="shared" si="64"/>
        <v>0</v>
      </c>
      <c r="BW379" s="132"/>
      <c r="BX379" s="146">
        <f t="shared" si="65"/>
        <v>0</v>
      </c>
      <c r="BY379" s="132"/>
      <c r="BZ379" s="146">
        <f t="shared" si="66"/>
        <v>0</v>
      </c>
      <c r="CA379" s="132"/>
      <c r="CB379" s="146">
        <f t="shared" si="67"/>
        <v>0</v>
      </c>
      <c r="CC379" s="132"/>
      <c r="CD379" s="143">
        <f t="shared" si="68"/>
        <v>0</v>
      </c>
      <c r="CE379" s="132"/>
      <c r="CF379" s="143">
        <f t="shared" si="69"/>
        <v>0</v>
      </c>
      <c r="CG379" s="132"/>
      <c r="CH379" s="143">
        <f t="shared" si="70"/>
        <v>0</v>
      </c>
      <c r="CI379" s="132">
        <f t="shared" si="71"/>
        <v>0</v>
      </c>
      <c r="CJ379" s="143">
        <f t="shared" si="71"/>
        <v>0</v>
      </c>
    </row>
    <row r="380" spans="1:88" x14ac:dyDescent="0.3">
      <c r="A380" s="27"/>
      <c r="B380" s="27"/>
      <c r="C380" s="27"/>
      <c r="D380" s="27"/>
      <c r="E380" s="27"/>
      <c r="F380" s="27"/>
      <c r="G380" s="27"/>
      <c r="H380" s="27"/>
      <c r="I380" s="27"/>
      <c r="J380" s="27"/>
      <c r="K380" s="27"/>
      <c r="L380" s="27"/>
      <c r="N380" s="27"/>
      <c r="O380" s="27"/>
      <c r="P380" s="27"/>
      <c r="Q380" s="117" t="s">
        <v>960</v>
      </c>
      <c r="R380" s="27"/>
      <c r="S380" s="27"/>
      <c r="T380" s="141" t="str">
        <f t="shared" si="72"/>
        <v xml:space="preserve"> </v>
      </c>
      <c r="U380" s="27"/>
      <c r="V380" s="27"/>
      <c r="W380" s="27"/>
      <c r="X380" s="27"/>
      <c r="Y380" s="27"/>
      <c r="AE380" s="27"/>
      <c r="BD380" s="97"/>
      <c r="BE380" s="108"/>
      <c r="BF380" s="108"/>
      <c r="BG380" s="97"/>
      <c r="BH380" s="97"/>
      <c r="BI380" s="97"/>
      <c r="BJ380" s="97"/>
      <c r="BK380" s="110"/>
      <c r="BL380" s="97"/>
      <c r="BM380" s="97"/>
      <c r="BN380" s="97"/>
      <c r="BO380" s="142"/>
      <c r="BP380" s="143">
        <f t="shared" si="61"/>
        <v>0</v>
      </c>
      <c r="BQ380" s="142"/>
      <c r="BR380" s="143">
        <f t="shared" si="62"/>
        <v>0</v>
      </c>
      <c r="BS380" s="132"/>
      <c r="BT380" s="146">
        <f t="shared" si="63"/>
        <v>0</v>
      </c>
      <c r="BU380" s="132"/>
      <c r="BV380" s="143">
        <f t="shared" si="64"/>
        <v>0</v>
      </c>
      <c r="BW380" s="132"/>
      <c r="BX380" s="146">
        <f t="shared" si="65"/>
        <v>0</v>
      </c>
      <c r="BY380" s="132"/>
      <c r="BZ380" s="146">
        <f t="shared" si="66"/>
        <v>0</v>
      </c>
      <c r="CA380" s="132"/>
      <c r="CB380" s="146">
        <f t="shared" si="67"/>
        <v>0</v>
      </c>
      <c r="CC380" s="132"/>
      <c r="CD380" s="143">
        <f t="shared" si="68"/>
        <v>0</v>
      </c>
      <c r="CE380" s="132"/>
      <c r="CF380" s="143">
        <f t="shared" si="69"/>
        <v>0</v>
      </c>
      <c r="CG380" s="132"/>
      <c r="CH380" s="143">
        <f t="shared" si="70"/>
        <v>0</v>
      </c>
      <c r="CI380" s="132">
        <f t="shared" si="71"/>
        <v>0</v>
      </c>
      <c r="CJ380" s="143">
        <f t="shared" si="71"/>
        <v>0</v>
      </c>
    </row>
    <row r="381" spans="1:88" x14ac:dyDescent="0.3">
      <c r="A381" s="27"/>
      <c r="B381" s="27"/>
      <c r="C381" s="27"/>
      <c r="D381" s="27"/>
      <c r="E381" s="27"/>
      <c r="F381" s="27"/>
      <c r="G381" s="27"/>
      <c r="H381" s="27"/>
      <c r="I381" s="27"/>
      <c r="J381" s="27"/>
      <c r="K381" s="27"/>
      <c r="L381" s="27"/>
      <c r="N381" s="27"/>
      <c r="O381" s="27"/>
      <c r="P381" s="27"/>
      <c r="Q381" s="117" t="s">
        <v>961</v>
      </c>
      <c r="R381" s="27"/>
      <c r="S381" s="27"/>
      <c r="T381" s="141" t="str">
        <f t="shared" si="72"/>
        <v xml:space="preserve"> </v>
      </c>
      <c r="U381" s="27"/>
      <c r="V381" s="27"/>
      <c r="W381" s="27"/>
      <c r="X381" s="27"/>
      <c r="Y381" s="27"/>
      <c r="AE381" s="27"/>
      <c r="BD381" s="97"/>
      <c r="BE381" s="108"/>
      <c r="BF381" s="108"/>
      <c r="BG381" s="97"/>
      <c r="BH381" s="97"/>
      <c r="BI381" s="97"/>
      <c r="BJ381" s="97"/>
      <c r="BK381" s="110"/>
      <c r="BL381" s="97"/>
      <c r="BM381" s="97"/>
      <c r="BN381" s="97"/>
      <c r="BO381" s="142"/>
      <c r="BP381" s="143">
        <f t="shared" si="61"/>
        <v>0</v>
      </c>
      <c r="BQ381" s="142"/>
      <c r="BR381" s="143">
        <f t="shared" si="62"/>
        <v>0</v>
      </c>
      <c r="BS381" s="132"/>
      <c r="BT381" s="146">
        <f t="shared" si="63"/>
        <v>0</v>
      </c>
      <c r="BU381" s="132"/>
      <c r="BV381" s="143">
        <f t="shared" si="64"/>
        <v>0</v>
      </c>
      <c r="BW381" s="132"/>
      <c r="BX381" s="146">
        <f t="shared" si="65"/>
        <v>0</v>
      </c>
      <c r="BY381" s="132"/>
      <c r="BZ381" s="146">
        <f t="shared" si="66"/>
        <v>0</v>
      </c>
      <c r="CA381" s="132"/>
      <c r="CB381" s="146">
        <f t="shared" si="67"/>
        <v>0</v>
      </c>
      <c r="CC381" s="132"/>
      <c r="CD381" s="143">
        <f t="shared" si="68"/>
        <v>0</v>
      </c>
      <c r="CE381" s="132"/>
      <c r="CF381" s="143">
        <f t="shared" si="69"/>
        <v>0</v>
      </c>
      <c r="CG381" s="132"/>
      <c r="CH381" s="143">
        <f t="shared" si="70"/>
        <v>0</v>
      </c>
      <c r="CI381" s="132">
        <f t="shared" si="71"/>
        <v>0</v>
      </c>
      <c r="CJ381" s="143">
        <f t="shared" si="71"/>
        <v>0</v>
      </c>
    </row>
    <row r="382" spans="1:88" x14ac:dyDescent="0.3">
      <c r="A382" s="27"/>
      <c r="B382" s="27"/>
      <c r="C382" s="27"/>
      <c r="D382" s="27"/>
      <c r="E382" s="27"/>
      <c r="F382" s="27"/>
      <c r="G382" s="27"/>
      <c r="H382" s="27"/>
      <c r="I382" s="27"/>
      <c r="J382" s="27"/>
      <c r="K382" s="27"/>
      <c r="L382" s="27"/>
      <c r="N382" s="27"/>
      <c r="O382" s="27"/>
      <c r="P382" s="27"/>
      <c r="Q382" s="117" t="s">
        <v>962</v>
      </c>
      <c r="R382" s="27"/>
      <c r="S382" s="27"/>
      <c r="T382" s="141" t="str">
        <f t="shared" si="72"/>
        <v xml:space="preserve"> </v>
      </c>
      <c r="U382" s="27"/>
      <c r="V382" s="27"/>
      <c r="W382" s="27"/>
      <c r="X382" s="27"/>
      <c r="Y382" s="27"/>
      <c r="AE382" s="27"/>
      <c r="BD382" s="97"/>
      <c r="BE382" s="108"/>
      <c r="BF382" s="108"/>
      <c r="BG382" s="97"/>
      <c r="BH382" s="97"/>
      <c r="BI382" s="97"/>
      <c r="BJ382" s="97"/>
      <c r="BK382" s="110"/>
      <c r="BL382" s="97"/>
      <c r="BM382" s="97"/>
      <c r="BN382" s="97"/>
      <c r="BO382" s="142"/>
      <c r="BP382" s="143">
        <f t="shared" si="61"/>
        <v>0</v>
      </c>
      <c r="BQ382" s="142"/>
      <c r="BR382" s="143">
        <f t="shared" si="62"/>
        <v>0</v>
      </c>
      <c r="BS382" s="132"/>
      <c r="BT382" s="146">
        <f t="shared" si="63"/>
        <v>0</v>
      </c>
      <c r="BU382" s="132"/>
      <c r="BV382" s="143">
        <f t="shared" si="64"/>
        <v>0</v>
      </c>
      <c r="BW382" s="132"/>
      <c r="BX382" s="146">
        <f t="shared" si="65"/>
        <v>0</v>
      </c>
      <c r="BY382" s="132"/>
      <c r="BZ382" s="146">
        <f t="shared" si="66"/>
        <v>0</v>
      </c>
      <c r="CA382" s="132"/>
      <c r="CB382" s="146">
        <f t="shared" si="67"/>
        <v>0</v>
      </c>
      <c r="CC382" s="132"/>
      <c r="CD382" s="143">
        <f t="shared" si="68"/>
        <v>0</v>
      </c>
      <c r="CE382" s="132"/>
      <c r="CF382" s="143">
        <f t="shared" si="69"/>
        <v>0</v>
      </c>
      <c r="CG382" s="132"/>
      <c r="CH382" s="143">
        <f t="shared" si="70"/>
        <v>0</v>
      </c>
      <c r="CI382" s="132">
        <f t="shared" si="71"/>
        <v>0</v>
      </c>
      <c r="CJ382" s="143">
        <f t="shared" si="71"/>
        <v>0</v>
      </c>
    </row>
    <row r="383" spans="1:88" x14ac:dyDescent="0.3">
      <c r="A383" s="27"/>
      <c r="B383" s="27"/>
      <c r="C383" s="27"/>
      <c r="D383" s="27"/>
      <c r="E383" s="27"/>
      <c r="F383" s="27"/>
      <c r="G383" s="27"/>
      <c r="H383" s="27"/>
      <c r="I383" s="27"/>
      <c r="J383" s="27"/>
      <c r="K383" s="27"/>
      <c r="L383" s="27"/>
      <c r="N383" s="27"/>
      <c r="O383" s="27"/>
      <c r="P383" s="27"/>
      <c r="Q383" s="117" t="s">
        <v>963</v>
      </c>
      <c r="R383" s="27"/>
      <c r="S383" s="27"/>
      <c r="T383" s="141" t="str">
        <f t="shared" si="72"/>
        <v xml:space="preserve"> </v>
      </c>
      <c r="U383" s="27"/>
      <c r="V383" s="27"/>
      <c r="W383" s="27"/>
      <c r="X383" s="27"/>
      <c r="Y383" s="27"/>
      <c r="AE383" s="27"/>
      <c r="BD383" s="97"/>
      <c r="BE383" s="108"/>
      <c r="BF383" s="108"/>
      <c r="BG383" s="97"/>
      <c r="BH383" s="97"/>
      <c r="BI383" s="97"/>
      <c r="BJ383" s="97"/>
      <c r="BK383" s="110"/>
      <c r="BL383" s="97"/>
      <c r="BM383" s="97"/>
      <c r="BN383" s="97"/>
      <c r="BO383" s="142"/>
      <c r="BP383" s="143">
        <f t="shared" si="61"/>
        <v>0</v>
      </c>
      <c r="BQ383" s="142"/>
      <c r="BR383" s="143">
        <f t="shared" si="62"/>
        <v>0</v>
      </c>
      <c r="BS383" s="132"/>
      <c r="BT383" s="146">
        <f t="shared" si="63"/>
        <v>0</v>
      </c>
      <c r="BU383" s="132"/>
      <c r="BV383" s="143">
        <f t="shared" si="64"/>
        <v>0</v>
      </c>
      <c r="BW383" s="132"/>
      <c r="BX383" s="146">
        <f t="shared" si="65"/>
        <v>0</v>
      </c>
      <c r="BY383" s="132"/>
      <c r="BZ383" s="146">
        <f t="shared" si="66"/>
        <v>0</v>
      </c>
      <c r="CA383" s="132"/>
      <c r="CB383" s="146">
        <f t="shared" si="67"/>
        <v>0</v>
      </c>
      <c r="CC383" s="132"/>
      <c r="CD383" s="143">
        <f t="shared" si="68"/>
        <v>0</v>
      </c>
      <c r="CE383" s="132"/>
      <c r="CF383" s="143">
        <f t="shared" si="69"/>
        <v>0</v>
      </c>
      <c r="CG383" s="132"/>
      <c r="CH383" s="143">
        <f t="shared" si="70"/>
        <v>0</v>
      </c>
      <c r="CI383" s="132">
        <f t="shared" si="71"/>
        <v>0</v>
      </c>
      <c r="CJ383" s="143">
        <f t="shared" si="71"/>
        <v>0</v>
      </c>
    </row>
    <row r="384" spans="1:88" x14ac:dyDescent="0.3">
      <c r="A384" s="27"/>
      <c r="B384" s="27"/>
      <c r="C384" s="27"/>
      <c r="D384" s="27"/>
      <c r="E384" s="27"/>
      <c r="F384" s="27"/>
      <c r="G384" s="27"/>
      <c r="H384" s="27"/>
      <c r="I384" s="27"/>
      <c r="J384" s="27"/>
      <c r="K384" s="27"/>
      <c r="L384" s="27"/>
      <c r="N384" s="27"/>
      <c r="O384" s="27"/>
      <c r="P384" s="27"/>
      <c r="Q384" s="117" t="s">
        <v>964</v>
      </c>
      <c r="R384" s="27"/>
      <c r="S384" s="27"/>
      <c r="T384" s="141" t="str">
        <f t="shared" si="72"/>
        <v xml:space="preserve"> </v>
      </c>
      <c r="U384" s="27"/>
      <c r="V384" s="27"/>
      <c r="W384" s="27"/>
      <c r="X384" s="27"/>
      <c r="Y384" s="27"/>
      <c r="AE384" s="27"/>
      <c r="BD384" s="97"/>
      <c r="BE384" s="108"/>
      <c r="BF384" s="108"/>
      <c r="BG384" s="97"/>
      <c r="BH384" s="97"/>
      <c r="BI384" s="97"/>
      <c r="BJ384" s="97"/>
      <c r="BK384" s="110"/>
      <c r="BL384" s="97"/>
      <c r="BM384" s="97"/>
      <c r="BN384" s="97"/>
      <c r="BO384" s="142"/>
      <c r="BP384" s="143">
        <f t="shared" si="61"/>
        <v>0</v>
      </c>
      <c r="BQ384" s="142"/>
      <c r="BR384" s="143">
        <f t="shared" si="62"/>
        <v>0</v>
      </c>
      <c r="BS384" s="132"/>
      <c r="BT384" s="146">
        <f t="shared" si="63"/>
        <v>0</v>
      </c>
      <c r="BU384" s="132"/>
      <c r="BV384" s="143">
        <f t="shared" si="64"/>
        <v>0</v>
      </c>
      <c r="BW384" s="132"/>
      <c r="BX384" s="146">
        <f t="shared" si="65"/>
        <v>0</v>
      </c>
      <c r="BY384" s="132"/>
      <c r="BZ384" s="146">
        <f t="shared" si="66"/>
        <v>0</v>
      </c>
      <c r="CA384" s="132"/>
      <c r="CB384" s="146">
        <f t="shared" si="67"/>
        <v>0</v>
      </c>
      <c r="CC384" s="132"/>
      <c r="CD384" s="143">
        <f t="shared" si="68"/>
        <v>0</v>
      </c>
      <c r="CE384" s="132"/>
      <c r="CF384" s="143">
        <f t="shared" si="69"/>
        <v>0</v>
      </c>
      <c r="CG384" s="132"/>
      <c r="CH384" s="143">
        <f t="shared" si="70"/>
        <v>0</v>
      </c>
      <c r="CI384" s="132">
        <f t="shared" si="71"/>
        <v>0</v>
      </c>
      <c r="CJ384" s="143">
        <f t="shared" si="71"/>
        <v>0</v>
      </c>
    </row>
    <row r="385" spans="1:88" x14ac:dyDescent="0.3">
      <c r="A385" s="27"/>
      <c r="B385" s="27"/>
      <c r="C385" s="27"/>
      <c r="D385" s="27"/>
      <c r="E385" s="27"/>
      <c r="F385" s="27"/>
      <c r="G385" s="27"/>
      <c r="H385" s="27"/>
      <c r="I385" s="27"/>
      <c r="J385" s="27"/>
      <c r="K385" s="27"/>
      <c r="L385" s="27"/>
      <c r="N385" s="27"/>
      <c r="O385" s="27"/>
      <c r="P385" s="27"/>
      <c r="Q385" s="117" t="s">
        <v>965</v>
      </c>
      <c r="R385" s="27"/>
      <c r="S385" s="27"/>
      <c r="T385" s="141" t="str">
        <f t="shared" si="72"/>
        <v xml:space="preserve"> </v>
      </c>
      <c r="U385" s="27"/>
      <c r="V385" s="27"/>
      <c r="W385" s="27"/>
      <c r="X385" s="27"/>
      <c r="Y385" s="27"/>
      <c r="AE385" s="27"/>
      <c r="BD385" s="97"/>
      <c r="BE385" s="108"/>
      <c r="BF385" s="108"/>
      <c r="BG385" s="97"/>
      <c r="BH385" s="97"/>
      <c r="BI385" s="97"/>
      <c r="BJ385" s="97"/>
      <c r="BK385" s="110"/>
      <c r="BL385" s="97"/>
      <c r="BM385" s="97"/>
      <c r="BN385" s="97"/>
      <c r="BO385" s="142"/>
      <c r="BP385" s="143">
        <f t="shared" si="61"/>
        <v>0</v>
      </c>
      <c r="BQ385" s="142"/>
      <c r="BR385" s="143">
        <f t="shared" si="62"/>
        <v>0</v>
      </c>
      <c r="BS385" s="132"/>
      <c r="BT385" s="146">
        <f t="shared" si="63"/>
        <v>0</v>
      </c>
      <c r="BU385" s="132"/>
      <c r="BV385" s="143">
        <f t="shared" si="64"/>
        <v>0</v>
      </c>
      <c r="BW385" s="132"/>
      <c r="BX385" s="146">
        <f t="shared" si="65"/>
        <v>0</v>
      </c>
      <c r="BY385" s="132"/>
      <c r="BZ385" s="146">
        <f t="shared" si="66"/>
        <v>0</v>
      </c>
      <c r="CA385" s="132"/>
      <c r="CB385" s="146">
        <f t="shared" si="67"/>
        <v>0</v>
      </c>
      <c r="CC385" s="132"/>
      <c r="CD385" s="143">
        <f t="shared" si="68"/>
        <v>0</v>
      </c>
      <c r="CE385" s="132"/>
      <c r="CF385" s="143">
        <f t="shared" si="69"/>
        <v>0</v>
      </c>
      <c r="CG385" s="132"/>
      <c r="CH385" s="143">
        <f t="shared" si="70"/>
        <v>0</v>
      </c>
      <c r="CI385" s="132">
        <f t="shared" si="71"/>
        <v>0</v>
      </c>
      <c r="CJ385" s="143">
        <f t="shared" si="71"/>
        <v>0</v>
      </c>
    </row>
    <row r="386" spans="1:88" x14ac:dyDescent="0.3">
      <c r="A386" s="27"/>
      <c r="B386" s="27"/>
      <c r="C386" s="27"/>
      <c r="D386" s="27"/>
      <c r="E386" s="27"/>
      <c r="F386" s="27"/>
      <c r="G386" s="27"/>
      <c r="H386" s="27"/>
      <c r="I386" s="27"/>
      <c r="J386" s="27"/>
      <c r="K386" s="27"/>
      <c r="L386" s="27"/>
      <c r="N386" s="27"/>
      <c r="O386" s="27"/>
      <c r="P386" s="27"/>
      <c r="Q386" s="117" t="s">
        <v>401</v>
      </c>
      <c r="R386" s="27"/>
      <c r="S386" s="27"/>
      <c r="T386" s="141" t="str">
        <f t="shared" si="72"/>
        <v xml:space="preserve"> </v>
      </c>
      <c r="U386" s="27"/>
      <c r="V386" s="27"/>
      <c r="W386" s="27"/>
      <c r="X386" s="27"/>
      <c r="Y386" s="27"/>
      <c r="AE386" s="27"/>
      <c r="BD386" s="97"/>
      <c r="BE386" s="108"/>
      <c r="BF386" s="108"/>
      <c r="BG386" s="97"/>
      <c r="BH386" s="97"/>
      <c r="BI386" s="97"/>
      <c r="BJ386" s="97"/>
      <c r="BK386" s="110"/>
      <c r="BL386" s="97"/>
      <c r="BM386" s="97"/>
      <c r="BN386" s="97"/>
      <c r="BO386" s="142"/>
      <c r="BP386" s="143">
        <f t="shared" si="61"/>
        <v>0</v>
      </c>
      <c r="BQ386" s="142"/>
      <c r="BR386" s="143">
        <f t="shared" si="62"/>
        <v>0</v>
      </c>
      <c r="BS386" s="132"/>
      <c r="BT386" s="146">
        <f t="shared" si="63"/>
        <v>0</v>
      </c>
      <c r="BU386" s="132"/>
      <c r="BV386" s="143">
        <f t="shared" si="64"/>
        <v>0</v>
      </c>
      <c r="BW386" s="132"/>
      <c r="BX386" s="146">
        <f t="shared" si="65"/>
        <v>0</v>
      </c>
      <c r="BY386" s="132"/>
      <c r="BZ386" s="146">
        <f t="shared" si="66"/>
        <v>0</v>
      </c>
      <c r="CA386" s="132"/>
      <c r="CB386" s="146">
        <f t="shared" si="67"/>
        <v>0</v>
      </c>
      <c r="CC386" s="132"/>
      <c r="CD386" s="143">
        <f t="shared" si="68"/>
        <v>0</v>
      </c>
      <c r="CE386" s="132"/>
      <c r="CF386" s="143">
        <f t="shared" si="69"/>
        <v>0</v>
      </c>
      <c r="CG386" s="132"/>
      <c r="CH386" s="143">
        <f t="shared" si="70"/>
        <v>0</v>
      </c>
      <c r="CI386" s="132">
        <f t="shared" si="71"/>
        <v>0</v>
      </c>
      <c r="CJ386" s="143">
        <f t="shared" si="71"/>
        <v>0</v>
      </c>
    </row>
    <row r="387" spans="1:88" x14ac:dyDescent="0.3">
      <c r="A387" s="27"/>
      <c r="B387" s="27"/>
      <c r="C387" s="27"/>
      <c r="D387" s="27"/>
      <c r="E387" s="27"/>
      <c r="F387" s="27"/>
      <c r="G387" s="27"/>
      <c r="H387" s="27"/>
      <c r="I387" s="27"/>
      <c r="J387" s="27"/>
      <c r="K387" s="27"/>
      <c r="L387" s="27"/>
      <c r="N387" s="27"/>
      <c r="O387" s="27"/>
      <c r="P387" s="27"/>
      <c r="Q387" s="117" t="s">
        <v>966</v>
      </c>
      <c r="R387" s="27"/>
      <c r="S387" s="27"/>
      <c r="T387" s="141" t="str">
        <f t="shared" si="72"/>
        <v xml:space="preserve"> </v>
      </c>
      <c r="U387" s="27"/>
      <c r="V387" s="27"/>
      <c r="W387" s="27"/>
      <c r="X387" s="27"/>
      <c r="Y387" s="27"/>
      <c r="AE387" s="27"/>
      <c r="BD387" s="97"/>
      <c r="BE387" s="108"/>
      <c r="BF387" s="108"/>
      <c r="BG387" s="97"/>
      <c r="BH387" s="97"/>
      <c r="BI387" s="97"/>
      <c r="BJ387" s="97"/>
      <c r="BK387" s="110"/>
      <c r="BL387" s="97"/>
      <c r="BM387" s="97"/>
      <c r="BN387" s="97"/>
      <c r="BO387" s="142"/>
      <c r="BP387" s="143">
        <f t="shared" si="61"/>
        <v>0</v>
      </c>
      <c r="BQ387" s="142"/>
      <c r="BR387" s="143">
        <f t="shared" si="62"/>
        <v>0</v>
      </c>
      <c r="BS387" s="132"/>
      <c r="BT387" s="146">
        <f t="shared" si="63"/>
        <v>0</v>
      </c>
      <c r="BU387" s="132"/>
      <c r="BV387" s="143">
        <f t="shared" si="64"/>
        <v>0</v>
      </c>
      <c r="BW387" s="132"/>
      <c r="BX387" s="146">
        <f t="shared" si="65"/>
        <v>0</v>
      </c>
      <c r="BY387" s="132"/>
      <c r="BZ387" s="146">
        <f t="shared" si="66"/>
        <v>0</v>
      </c>
      <c r="CA387" s="132"/>
      <c r="CB387" s="146">
        <f t="shared" si="67"/>
        <v>0</v>
      </c>
      <c r="CC387" s="132"/>
      <c r="CD387" s="143">
        <f t="shared" si="68"/>
        <v>0</v>
      </c>
      <c r="CE387" s="132"/>
      <c r="CF387" s="143">
        <f t="shared" si="69"/>
        <v>0</v>
      </c>
      <c r="CG387" s="132"/>
      <c r="CH387" s="143">
        <f t="shared" si="70"/>
        <v>0</v>
      </c>
      <c r="CI387" s="132">
        <f t="shared" si="71"/>
        <v>0</v>
      </c>
      <c r="CJ387" s="143">
        <f t="shared" si="71"/>
        <v>0</v>
      </c>
    </row>
    <row r="388" spans="1:88" x14ac:dyDescent="0.3">
      <c r="A388" s="27"/>
      <c r="B388" s="27"/>
      <c r="C388" s="27"/>
      <c r="D388" s="27"/>
      <c r="E388" s="27"/>
      <c r="F388" s="27"/>
      <c r="G388" s="27"/>
      <c r="H388" s="27"/>
      <c r="I388" s="27"/>
      <c r="J388" s="27"/>
      <c r="K388" s="27"/>
      <c r="L388" s="27"/>
      <c r="N388" s="27"/>
      <c r="O388" s="27"/>
      <c r="P388" s="27"/>
      <c r="Q388" s="117" t="s">
        <v>967</v>
      </c>
      <c r="R388" s="27"/>
      <c r="S388" s="27"/>
      <c r="T388" s="141" t="str">
        <f t="shared" si="72"/>
        <v xml:space="preserve"> </v>
      </c>
      <c r="U388" s="27"/>
      <c r="V388" s="27"/>
      <c r="W388" s="27"/>
      <c r="X388" s="27"/>
      <c r="Y388" s="27"/>
      <c r="AE388" s="27"/>
      <c r="BD388" s="97"/>
      <c r="BE388" s="108"/>
      <c r="BF388" s="108"/>
      <c r="BG388" s="97"/>
      <c r="BH388" s="97"/>
      <c r="BI388" s="97"/>
      <c r="BJ388" s="97"/>
      <c r="BK388" s="110"/>
      <c r="BL388" s="97"/>
      <c r="BM388" s="97"/>
      <c r="BN388" s="97"/>
      <c r="BO388" s="142"/>
      <c r="BP388" s="143">
        <f t="shared" si="61"/>
        <v>0</v>
      </c>
      <c r="BQ388" s="142"/>
      <c r="BR388" s="143">
        <f t="shared" si="62"/>
        <v>0</v>
      </c>
      <c r="BS388" s="132"/>
      <c r="BT388" s="146">
        <f t="shared" si="63"/>
        <v>0</v>
      </c>
      <c r="BU388" s="132"/>
      <c r="BV388" s="143">
        <f t="shared" si="64"/>
        <v>0</v>
      </c>
      <c r="BW388" s="132"/>
      <c r="BX388" s="146">
        <f t="shared" si="65"/>
        <v>0</v>
      </c>
      <c r="BY388" s="132"/>
      <c r="BZ388" s="146">
        <f t="shared" si="66"/>
        <v>0</v>
      </c>
      <c r="CA388" s="132"/>
      <c r="CB388" s="146">
        <f t="shared" si="67"/>
        <v>0</v>
      </c>
      <c r="CC388" s="132"/>
      <c r="CD388" s="143">
        <f t="shared" si="68"/>
        <v>0</v>
      </c>
      <c r="CE388" s="132"/>
      <c r="CF388" s="143">
        <f t="shared" si="69"/>
        <v>0</v>
      </c>
      <c r="CG388" s="132"/>
      <c r="CH388" s="143">
        <f t="shared" si="70"/>
        <v>0</v>
      </c>
      <c r="CI388" s="132">
        <f t="shared" si="71"/>
        <v>0</v>
      </c>
      <c r="CJ388" s="143">
        <f t="shared" si="71"/>
        <v>0</v>
      </c>
    </row>
    <row r="389" spans="1:88" x14ac:dyDescent="0.3">
      <c r="A389" s="27"/>
      <c r="B389" s="27"/>
      <c r="C389" s="27"/>
      <c r="D389" s="27"/>
      <c r="E389" s="27"/>
      <c r="F389" s="27"/>
      <c r="G389" s="27"/>
      <c r="H389" s="27"/>
      <c r="I389" s="27"/>
      <c r="J389" s="27"/>
      <c r="K389" s="27"/>
      <c r="L389" s="27"/>
      <c r="N389" s="27"/>
      <c r="O389" s="27"/>
      <c r="P389" s="27"/>
      <c r="Q389" s="117" t="s">
        <v>968</v>
      </c>
      <c r="R389" s="27"/>
      <c r="S389" s="27"/>
      <c r="T389" s="141" t="str">
        <f t="shared" si="72"/>
        <v xml:space="preserve"> </v>
      </c>
      <c r="U389" s="27"/>
      <c r="V389" s="27"/>
      <c r="W389" s="27"/>
      <c r="X389" s="27"/>
      <c r="Y389" s="27"/>
      <c r="AE389" s="27"/>
      <c r="BD389" s="97"/>
      <c r="BE389" s="108"/>
      <c r="BF389" s="108"/>
      <c r="BG389" s="97"/>
      <c r="BH389" s="97"/>
      <c r="BI389" s="97"/>
      <c r="BJ389" s="97"/>
      <c r="BK389" s="110"/>
      <c r="BL389" s="97"/>
      <c r="BM389" s="97"/>
      <c r="BN389" s="97"/>
      <c r="BO389" s="142"/>
      <c r="BP389" s="143">
        <f t="shared" si="61"/>
        <v>0</v>
      </c>
      <c r="BQ389" s="142"/>
      <c r="BR389" s="143">
        <f t="shared" si="62"/>
        <v>0</v>
      </c>
      <c r="BS389" s="132"/>
      <c r="BT389" s="146">
        <f t="shared" si="63"/>
        <v>0</v>
      </c>
      <c r="BU389" s="132"/>
      <c r="BV389" s="143">
        <f t="shared" si="64"/>
        <v>0</v>
      </c>
      <c r="BW389" s="132"/>
      <c r="BX389" s="146">
        <f t="shared" si="65"/>
        <v>0</v>
      </c>
      <c r="BY389" s="132"/>
      <c r="BZ389" s="146">
        <f t="shared" si="66"/>
        <v>0</v>
      </c>
      <c r="CA389" s="132"/>
      <c r="CB389" s="146">
        <f t="shared" si="67"/>
        <v>0</v>
      </c>
      <c r="CC389" s="132"/>
      <c r="CD389" s="143">
        <f t="shared" si="68"/>
        <v>0</v>
      </c>
      <c r="CE389" s="132"/>
      <c r="CF389" s="143">
        <f t="shared" si="69"/>
        <v>0</v>
      </c>
      <c r="CG389" s="132"/>
      <c r="CH389" s="143">
        <f t="shared" si="70"/>
        <v>0</v>
      </c>
      <c r="CI389" s="132">
        <f t="shared" si="71"/>
        <v>0</v>
      </c>
      <c r="CJ389" s="143">
        <f t="shared" si="71"/>
        <v>0</v>
      </c>
    </row>
    <row r="390" spans="1:88" x14ac:dyDescent="0.3">
      <c r="A390" s="27"/>
      <c r="B390" s="27"/>
      <c r="C390" s="27"/>
      <c r="D390" s="27"/>
      <c r="E390" s="27"/>
      <c r="F390" s="27"/>
      <c r="G390" s="27"/>
      <c r="H390" s="27"/>
      <c r="I390" s="27"/>
      <c r="J390" s="27"/>
      <c r="K390" s="27"/>
      <c r="L390" s="27"/>
      <c r="N390" s="27"/>
      <c r="O390" s="27"/>
      <c r="P390" s="27"/>
      <c r="Q390" s="117" t="s">
        <v>969</v>
      </c>
      <c r="R390" s="27"/>
      <c r="S390" s="27"/>
      <c r="T390" s="141" t="str">
        <f t="shared" si="72"/>
        <v xml:space="preserve"> </v>
      </c>
      <c r="U390" s="27"/>
      <c r="V390" s="27"/>
      <c r="W390" s="27"/>
      <c r="X390" s="27"/>
      <c r="Y390" s="27"/>
      <c r="AE390" s="27"/>
      <c r="BD390" s="97"/>
      <c r="BE390" s="108"/>
      <c r="BF390" s="108"/>
      <c r="BG390" s="97"/>
      <c r="BH390" s="97"/>
      <c r="BI390" s="97"/>
      <c r="BJ390" s="97"/>
      <c r="BK390" s="110"/>
      <c r="BL390" s="97"/>
      <c r="BM390" s="97"/>
      <c r="BN390" s="97"/>
      <c r="BO390" s="142"/>
      <c r="BP390" s="143">
        <f t="shared" si="61"/>
        <v>0</v>
      </c>
      <c r="BQ390" s="142"/>
      <c r="BR390" s="143">
        <f t="shared" si="62"/>
        <v>0</v>
      </c>
      <c r="BS390" s="132"/>
      <c r="BT390" s="146">
        <f t="shared" si="63"/>
        <v>0</v>
      </c>
      <c r="BU390" s="132"/>
      <c r="BV390" s="143">
        <f t="shared" si="64"/>
        <v>0</v>
      </c>
      <c r="BW390" s="132"/>
      <c r="BX390" s="146">
        <f t="shared" si="65"/>
        <v>0</v>
      </c>
      <c r="BY390" s="132"/>
      <c r="BZ390" s="146">
        <f t="shared" si="66"/>
        <v>0</v>
      </c>
      <c r="CA390" s="132"/>
      <c r="CB390" s="146">
        <f t="shared" si="67"/>
        <v>0</v>
      </c>
      <c r="CC390" s="132"/>
      <c r="CD390" s="143">
        <f t="shared" si="68"/>
        <v>0</v>
      </c>
      <c r="CE390" s="132"/>
      <c r="CF390" s="143">
        <f t="shared" si="69"/>
        <v>0</v>
      </c>
      <c r="CG390" s="132"/>
      <c r="CH390" s="143">
        <f t="shared" si="70"/>
        <v>0</v>
      </c>
      <c r="CI390" s="132">
        <f t="shared" si="71"/>
        <v>0</v>
      </c>
      <c r="CJ390" s="143">
        <f t="shared" si="71"/>
        <v>0</v>
      </c>
    </row>
    <row r="391" spans="1:88" x14ac:dyDescent="0.3">
      <c r="A391" s="27"/>
      <c r="B391" s="27"/>
      <c r="C391" s="27"/>
      <c r="D391" s="27"/>
      <c r="E391" s="27"/>
      <c r="F391" s="27"/>
      <c r="G391" s="27"/>
      <c r="H391" s="27"/>
      <c r="I391" s="27"/>
      <c r="J391" s="27"/>
      <c r="K391" s="27"/>
      <c r="L391" s="27"/>
      <c r="N391" s="27"/>
      <c r="O391" s="27"/>
      <c r="P391" s="27"/>
      <c r="Q391" s="117" t="s">
        <v>970</v>
      </c>
      <c r="R391" s="27"/>
      <c r="S391" s="27"/>
      <c r="T391" s="141" t="str">
        <f t="shared" si="72"/>
        <v xml:space="preserve"> </v>
      </c>
      <c r="U391" s="27"/>
      <c r="V391" s="27"/>
      <c r="W391" s="27"/>
      <c r="X391" s="27"/>
      <c r="Y391" s="27"/>
      <c r="AE391" s="27"/>
      <c r="BD391" s="97"/>
      <c r="BE391" s="108"/>
      <c r="BF391" s="108"/>
      <c r="BG391" s="97"/>
      <c r="BH391" s="97"/>
      <c r="BI391" s="97"/>
      <c r="BJ391" s="97"/>
      <c r="BK391" s="110"/>
      <c r="BL391" s="97"/>
      <c r="BM391" s="97"/>
      <c r="BN391" s="97"/>
      <c r="BO391" s="147"/>
      <c r="BP391" s="143">
        <f t="shared" si="61"/>
        <v>0</v>
      </c>
      <c r="BQ391" s="147"/>
      <c r="BR391" s="143">
        <f t="shared" si="62"/>
        <v>0</v>
      </c>
      <c r="BS391" s="132"/>
      <c r="BT391" s="146">
        <f t="shared" si="63"/>
        <v>0</v>
      </c>
      <c r="BU391" s="66"/>
      <c r="BV391" s="143">
        <f t="shared" si="64"/>
        <v>0</v>
      </c>
      <c r="BW391" s="66"/>
      <c r="BX391" s="146">
        <f t="shared" si="65"/>
        <v>0</v>
      </c>
      <c r="BY391" s="66"/>
      <c r="BZ391" s="146">
        <f t="shared" si="66"/>
        <v>0</v>
      </c>
      <c r="CA391" s="66"/>
      <c r="CB391" s="146">
        <f t="shared" si="67"/>
        <v>0</v>
      </c>
      <c r="CC391" s="66"/>
      <c r="CD391" s="143">
        <f t="shared" si="68"/>
        <v>0</v>
      </c>
      <c r="CE391" s="66"/>
      <c r="CF391" s="143">
        <f t="shared" si="69"/>
        <v>0</v>
      </c>
      <c r="CG391" s="132"/>
      <c r="CH391" s="143">
        <f t="shared" si="70"/>
        <v>0</v>
      </c>
      <c r="CI391" s="132">
        <f t="shared" si="71"/>
        <v>0</v>
      </c>
      <c r="CJ391" s="143">
        <f t="shared" si="71"/>
        <v>0</v>
      </c>
    </row>
    <row r="392" spans="1:88" x14ac:dyDescent="0.3">
      <c r="A392" s="27"/>
      <c r="B392" s="27"/>
      <c r="C392" s="27"/>
      <c r="D392" s="27"/>
      <c r="E392" s="27"/>
      <c r="F392" s="27"/>
      <c r="G392" s="27"/>
      <c r="H392" s="27"/>
      <c r="I392" s="27"/>
      <c r="J392" s="27"/>
      <c r="K392" s="27"/>
      <c r="L392" s="27"/>
      <c r="N392" s="27"/>
      <c r="O392" s="27"/>
      <c r="P392" s="27"/>
      <c r="Q392" s="117" t="s">
        <v>971</v>
      </c>
      <c r="R392" s="27"/>
      <c r="S392" s="27"/>
      <c r="T392" s="141" t="str">
        <f t="shared" si="72"/>
        <v xml:space="preserve"> </v>
      </c>
      <c r="U392" s="27"/>
      <c r="V392" s="27"/>
      <c r="W392" s="27"/>
      <c r="X392" s="27"/>
      <c r="Y392" s="27"/>
      <c r="AE392" s="27"/>
      <c r="BD392" s="97"/>
      <c r="BE392" s="108"/>
      <c r="BF392" s="108"/>
      <c r="BG392" s="97"/>
      <c r="BH392" s="97"/>
      <c r="BI392" s="97"/>
      <c r="BJ392" s="97"/>
      <c r="BK392" s="110"/>
      <c r="BL392" s="97"/>
      <c r="BM392" s="97"/>
      <c r="BN392" s="97"/>
      <c r="BO392" s="142"/>
      <c r="BP392" s="143">
        <f t="shared" si="61"/>
        <v>0</v>
      </c>
      <c r="BQ392" s="142"/>
      <c r="BR392" s="143">
        <f t="shared" si="62"/>
        <v>0</v>
      </c>
      <c r="BS392" s="132"/>
      <c r="BT392" s="146">
        <f t="shared" si="63"/>
        <v>0</v>
      </c>
      <c r="BU392" s="132"/>
      <c r="BV392" s="143">
        <f t="shared" si="64"/>
        <v>0</v>
      </c>
      <c r="BW392" s="132"/>
      <c r="BX392" s="146">
        <f t="shared" si="65"/>
        <v>0</v>
      </c>
      <c r="BY392" s="132"/>
      <c r="BZ392" s="146">
        <f t="shared" si="66"/>
        <v>0</v>
      </c>
      <c r="CA392" s="132"/>
      <c r="CB392" s="146">
        <f t="shared" si="67"/>
        <v>0</v>
      </c>
      <c r="CC392" s="132"/>
      <c r="CD392" s="143">
        <f t="shared" si="68"/>
        <v>0</v>
      </c>
      <c r="CE392" s="132"/>
      <c r="CF392" s="143">
        <f t="shared" si="69"/>
        <v>0</v>
      </c>
      <c r="CG392" s="132"/>
      <c r="CH392" s="143">
        <f t="shared" si="70"/>
        <v>0</v>
      </c>
      <c r="CI392" s="132">
        <f t="shared" si="71"/>
        <v>0</v>
      </c>
      <c r="CJ392" s="143">
        <f t="shared" si="71"/>
        <v>0</v>
      </c>
    </row>
    <row r="393" spans="1:88" x14ac:dyDescent="0.3">
      <c r="A393" s="27"/>
      <c r="B393" s="27"/>
      <c r="C393" s="27"/>
      <c r="D393" s="27"/>
      <c r="E393" s="27"/>
      <c r="F393" s="27"/>
      <c r="G393" s="27"/>
      <c r="H393" s="27"/>
      <c r="I393" s="27"/>
      <c r="J393" s="27"/>
      <c r="K393" s="27"/>
      <c r="L393" s="27"/>
      <c r="N393" s="27"/>
      <c r="O393" s="27"/>
      <c r="P393" s="27"/>
      <c r="Q393" s="117" t="s">
        <v>972</v>
      </c>
      <c r="R393" s="27"/>
      <c r="S393" s="27"/>
      <c r="T393" s="141" t="str">
        <f t="shared" si="72"/>
        <v xml:space="preserve"> </v>
      </c>
      <c r="U393" s="27"/>
      <c r="V393" s="27"/>
      <c r="W393" s="27"/>
      <c r="X393" s="27"/>
      <c r="Y393" s="27"/>
      <c r="AE393" s="27"/>
      <c r="BD393" s="97"/>
      <c r="BE393" s="108"/>
      <c r="BF393" s="108"/>
      <c r="BG393" s="97"/>
      <c r="BH393" s="97"/>
      <c r="BI393" s="97"/>
      <c r="BJ393" s="97"/>
      <c r="BK393" s="110"/>
      <c r="BL393" s="97"/>
      <c r="BM393" s="97"/>
      <c r="BN393" s="97"/>
      <c r="BO393" s="142"/>
      <c r="BP393" s="143">
        <f t="shared" si="61"/>
        <v>0</v>
      </c>
      <c r="BQ393" s="142"/>
      <c r="BR393" s="143">
        <f t="shared" si="62"/>
        <v>0</v>
      </c>
      <c r="BS393" s="132"/>
      <c r="BT393" s="146">
        <f t="shared" si="63"/>
        <v>0</v>
      </c>
      <c r="BU393" s="132"/>
      <c r="BV393" s="143">
        <f t="shared" si="64"/>
        <v>0</v>
      </c>
      <c r="BW393" s="132"/>
      <c r="BX393" s="146">
        <f t="shared" si="65"/>
        <v>0</v>
      </c>
      <c r="BY393" s="132"/>
      <c r="BZ393" s="146">
        <f t="shared" si="66"/>
        <v>0</v>
      </c>
      <c r="CA393" s="132"/>
      <c r="CB393" s="146">
        <f t="shared" si="67"/>
        <v>0</v>
      </c>
      <c r="CC393" s="132"/>
      <c r="CD393" s="143">
        <f t="shared" si="68"/>
        <v>0</v>
      </c>
      <c r="CE393" s="132"/>
      <c r="CF393" s="143">
        <f t="shared" si="69"/>
        <v>0</v>
      </c>
      <c r="CG393" s="132"/>
      <c r="CH393" s="143">
        <f t="shared" si="70"/>
        <v>0</v>
      </c>
      <c r="CI393" s="132">
        <f t="shared" si="71"/>
        <v>0</v>
      </c>
      <c r="CJ393" s="143">
        <f t="shared" si="71"/>
        <v>0</v>
      </c>
    </row>
    <row r="394" spans="1:88" ht="27.6" x14ac:dyDescent="0.3">
      <c r="A394" s="27"/>
      <c r="B394" s="27"/>
      <c r="C394" s="27"/>
      <c r="D394" s="27"/>
      <c r="E394" s="27"/>
      <c r="F394" s="27"/>
      <c r="G394" s="27"/>
      <c r="H394" s="27"/>
      <c r="I394" s="27"/>
      <c r="J394" s="27"/>
      <c r="K394" s="27"/>
      <c r="L394" s="27"/>
      <c r="N394" s="27"/>
      <c r="O394" s="27"/>
      <c r="P394" s="27"/>
      <c r="Q394" s="117" t="s">
        <v>973</v>
      </c>
      <c r="R394" s="27"/>
      <c r="S394" s="27"/>
      <c r="T394" s="141" t="str">
        <f t="shared" si="72"/>
        <v xml:space="preserve"> </v>
      </c>
      <c r="U394" s="27"/>
      <c r="V394" s="27"/>
      <c r="W394" s="27"/>
      <c r="X394" s="27"/>
      <c r="Y394" s="27"/>
      <c r="AE394" s="27"/>
      <c r="BD394" s="97"/>
      <c r="BE394" s="108"/>
      <c r="BF394" s="108"/>
      <c r="BG394" s="97"/>
      <c r="BH394" s="97"/>
      <c r="BI394" s="97"/>
      <c r="BJ394" s="97"/>
      <c r="BK394" s="110"/>
      <c r="BL394" s="97"/>
      <c r="BM394" s="97"/>
      <c r="BN394" s="97"/>
      <c r="BO394" s="142"/>
      <c r="BP394" s="143">
        <f t="shared" ref="BP394:BP457" si="73">BO394*AX394</f>
        <v>0</v>
      </c>
      <c r="BQ394" s="142"/>
      <c r="BR394" s="143">
        <f t="shared" ref="BR394:BR457" si="74">BQ394*AX394</f>
        <v>0</v>
      </c>
      <c r="BS394" s="132"/>
      <c r="BT394" s="146">
        <f t="shared" ref="BT394:BT457" si="75">BS394*AX394</f>
        <v>0</v>
      </c>
      <c r="BU394" s="132"/>
      <c r="BV394" s="143">
        <f t="shared" ref="BV394:BV457" si="76">BU394*AX394</f>
        <v>0</v>
      </c>
      <c r="BW394" s="132"/>
      <c r="BX394" s="146">
        <f t="shared" ref="BX394:BX457" si="77">BW394*AX394</f>
        <v>0</v>
      </c>
      <c r="BY394" s="132"/>
      <c r="BZ394" s="146">
        <f t="shared" ref="BZ394:BZ457" si="78">BY394*AX394</f>
        <v>0</v>
      </c>
      <c r="CA394" s="132"/>
      <c r="CB394" s="146">
        <f t="shared" ref="CB394:CB457" si="79">CA394*AX394</f>
        <v>0</v>
      </c>
      <c r="CC394" s="132"/>
      <c r="CD394" s="143">
        <f t="shared" ref="CD394:CD457" si="80">CC394*AX394</f>
        <v>0</v>
      </c>
      <c r="CE394" s="132"/>
      <c r="CF394" s="143">
        <f t="shared" ref="CF394:CF457" si="81">CE394*AX394</f>
        <v>0</v>
      </c>
      <c r="CG394" s="132"/>
      <c r="CH394" s="143">
        <f t="shared" ref="CH394:CH457" si="82">CG394*AX394</f>
        <v>0</v>
      </c>
      <c r="CI394" s="132">
        <f t="shared" ref="CI394:CJ457" si="83">SUM(BO394,BQ394,BS394,BU394,BW394,BY394,CA394,CC394,CE394,CG394)</f>
        <v>0</v>
      </c>
      <c r="CJ394" s="143">
        <f t="shared" si="83"/>
        <v>0</v>
      </c>
    </row>
    <row r="395" spans="1:88" ht="27.6" x14ac:dyDescent="0.3">
      <c r="A395" s="27"/>
      <c r="B395" s="27"/>
      <c r="C395" s="27"/>
      <c r="D395" s="27"/>
      <c r="E395" s="27"/>
      <c r="F395" s="27"/>
      <c r="G395" s="27"/>
      <c r="H395" s="27"/>
      <c r="I395" s="27"/>
      <c r="J395" s="27"/>
      <c r="K395" s="27"/>
      <c r="L395" s="27"/>
      <c r="N395" s="27"/>
      <c r="O395" s="27"/>
      <c r="P395" s="27"/>
      <c r="Q395" s="117" t="s">
        <v>974</v>
      </c>
      <c r="R395" s="27"/>
      <c r="S395" s="27"/>
      <c r="T395" s="141" t="str">
        <f t="shared" si="72"/>
        <v xml:space="preserve"> </v>
      </c>
      <c r="U395" s="27"/>
      <c r="V395" s="27"/>
      <c r="W395" s="27"/>
      <c r="X395" s="27"/>
      <c r="Y395" s="27"/>
      <c r="AE395" s="27"/>
      <c r="BD395" s="97"/>
      <c r="BE395" s="108"/>
      <c r="BF395" s="108"/>
      <c r="BG395" s="97"/>
      <c r="BH395" s="97"/>
      <c r="BI395" s="97"/>
      <c r="BJ395" s="97"/>
      <c r="BK395" s="110"/>
      <c r="BL395" s="97"/>
      <c r="BM395" s="97"/>
      <c r="BN395" s="97"/>
      <c r="BO395" s="142"/>
      <c r="BP395" s="143">
        <f t="shared" si="73"/>
        <v>0</v>
      </c>
      <c r="BQ395" s="142"/>
      <c r="BR395" s="143">
        <f t="shared" si="74"/>
        <v>0</v>
      </c>
      <c r="BS395" s="132"/>
      <c r="BT395" s="146">
        <f t="shared" si="75"/>
        <v>0</v>
      </c>
      <c r="BU395" s="132"/>
      <c r="BV395" s="143">
        <f t="shared" si="76"/>
        <v>0</v>
      </c>
      <c r="BW395" s="132"/>
      <c r="BX395" s="146">
        <f t="shared" si="77"/>
        <v>0</v>
      </c>
      <c r="BY395" s="132"/>
      <c r="BZ395" s="146">
        <f t="shared" si="78"/>
        <v>0</v>
      </c>
      <c r="CA395" s="132"/>
      <c r="CB395" s="146">
        <f t="shared" si="79"/>
        <v>0</v>
      </c>
      <c r="CC395" s="132"/>
      <c r="CD395" s="143">
        <f t="shared" si="80"/>
        <v>0</v>
      </c>
      <c r="CE395" s="132"/>
      <c r="CF395" s="143">
        <f t="shared" si="81"/>
        <v>0</v>
      </c>
      <c r="CG395" s="132"/>
      <c r="CH395" s="143">
        <f t="shared" si="82"/>
        <v>0</v>
      </c>
      <c r="CI395" s="132">
        <f t="shared" si="83"/>
        <v>0</v>
      </c>
      <c r="CJ395" s="143">
        <f t="shared" si="83"/>
        <v>0</v>
      </c>
    </row>
    <row r="396" spans="1:88" ht="27.6" x14ac:dyDescent="0.3">
      <c r="A396" s="27"/>
      <c r="B396" s="27"/>
      <c r="C396" s="27"/>
      <c r="D396" s="27"/>
      <c r="E396" s="27"/>
      <c r="F396" s="27"/>
      <c r="G396" s="27"/>
      <c r="H396" s="27"/>
      <c r="I396" s="27"/>
      <c r="J396" s="27"/>
      <c r="K396" s="27"/>
      <c r="L396" s="27"/>
      <c r="N396" s="27"/>
      <c r="O396" s="27"/>
      <c r="P396" s="27"/>
      <c r="Q396" s="117" t="s">
        <v>975</v>
      </c>
      <c r="R396" s="27"/>
      <c r="S396" s="27"/>
      <c r="T396" s="141" t="str">
        <f t="shared" si="72"/>
        <v xml:space="preserve"> </v>
      </c>
      <c r="U396" s="27"/>
      <c r="V396" s="27"/>
      <c r="W396" s="27"/>
      <c r="X396" s="27"/>
      <c r="Y396" s="27"/>
      <c r="AE396" s="27"/>
      <c r="BD396" s="97"/>
      <c r="BE396" s="108"/>
      <c r="BF396" s="108"/>
      <c r="BG396" s="97"/>
      <c r="BH396" s="97"/>
      <c r="BI396" s="97"/>
      <c r="BJ396" s="97"/>
      <c r="BK396" s="110"/>
      <c r="BL396" s="97"/>
      <c r="BM396" s="97"/>
      <c r="BN396" s="97"/>
      <c r="BO396" s="142"/>
      <c r="BP396" s="143">
        <f t="shared" si="73"/>
        <v>0</v>
      </c>
      <c r="BQ396" s="142"/>
      <c r="BR396" s="143">
        <f t="shared" si="74"/>
        <v>0</v>
      </c>
      <c r="BS396" s="132"/>
      <c r="BT396" s="146">
        <f t="shared" si="75"/>
        <v>0</v>
      </c>
      <c r="BU396" s="132"/>
      <c r="BV396" s="143">
        <f t="shared" si="76"/>
        <v>0</v>
      </c>
      <c r="BW396" s="132"/>
      <c r="BX396" s="146">
        <f t="shared" si="77"/>
        <v>0</v>
      </c>
      <c r="BY396" s="132"/>
      <c r="BZ396" s="146">
        <f t="shared" si="78"/>
        <v>0</v>
      </c>
      <c r="CA396" s="132"/>
      <c r="CB396" s="146">
        <f t="shared" si="79"/>
        <v>0</v>
      </c>
      <c r="CC396" s="132"/>
      <c r="CD396" s="143">
        <f t="shared" si="80"/>
        <v>0</v>
      </c>
      <c r="CE396" s="132"/>
      <c r="CF396" s="143">
        <f t="shared" si="81"/>
        <v>0</v>
      </c>
      <c r="CG396" s="132"/>
      <c r="CH396" s="143">
        <f t="shared" si="82"/>
        <v>0</v>
      </c>
      <c r="CI396" s="132">
        <f t="shared" si="83"/>
        <v>0</v>
      </c>
      <c r="CJ396" s="143">
        <f t="shared" si="83"/>
        <v>0</v>
      </c>
    </row>
    <row r="397" spans="1:88" x14ac:dyDescent="0.3">
      <c r="A397" s="27"/>
      <c r="B397" s="27"/>
      <c r="C397" s="27"/>
      <c r="D397" s="27"/>
      <c r="E397" s="27"/>
      <c r="F397" s="27"/>
      <c r="G397" s="27"/>
      <c r="H397" s="27"/>
      <c r="I397" s="27"/>
      <c r="J397" s="27"/>
      <c r="K397" s="27"/>
      <c r="L397" s="27"/>
      <c r="N397" s="27"/>
      <c r="O397" s="27"/>
      <c r="P397" s="27"/>
      <c r="Q397" s="117" t="s">
        <v>976</v>
      </c>
      <c r="R397" s="27"/>
      <c r="S397" s="27"/>
      <c r="T397" s="141" t="str">
        <f t="shared" si="72"/>
        <v xml:space="preserve"> </v>
      </c>
      <c r="U397" s="27"/>
      <c r="V397" s="27"/>
      <c r="W397" s="27"/>
      <c r="X397" s="27"/>
      <c r="Y397" s="27"/>
      <c r="AE397" s="27"/>
      <c r="BD397" s="97"/>
      <c r="BE397" s="108"/>
      <c r="BF397" s="108"/>
      <c r="BG397" s="97"/>
      <c r="BH397" s="97"/>
      <c r="BI397" s="97"/>
      <c r="BJ397" s="97"/>
      <c r="BK397" s="110"/>
      <c r="BL397" s="97"/>
      <c r="BM397" s="97"/>
      <c r="BN397" s="97"/>
      <c r="BO397" s="142"/>
      <c r="BP397" s="143">
        <f t="shared" si="73"/>
        <v>0</v>
      </c>
      <c r="BQ397" s="142"/>
      <c r="BR397" s="143">
        <f t="shared" si="74"/>
        <v>0</v>
      </c>
      <c r="BS397" s="132"/>
      <c r="BT397" s="146">
        <f t="shared" si="75"/>
        <v>0</v>
      </c>
      <c r="BU397" s="132"/>
      <c r="BV397" s="143">
        <f t="shared" si="76"/>
        <v>0</v>
      </c>
      <c r="BW397" s="132"/>
      <c r="BX397" s="146">
        <f t="shared" si="77"/>
        <v>0</v>
      </c>
      <c r="BY397" s="132"/>
      <c r="BZ397" s="146">
        <f t="shared" si="78"/>
        <v>0</v>
      </c>
      <c r="CA397" s="132"/>
      <c r="CB397" s="146">
        <f t="shared" si="79"/>
        <v>0</v>
      </c>
      <c r="CC397" s="132"/>
      <c r="CD397" s="143">
        <f t="shared" si="80"/>
        <v>0</v>
      </c>
      <c r="CE397" s="132"/>
      <c r="CF397" s="143">
        <f t="shared" si="81"/>
        <v>0</v>
      </c>
      <c r="CG397" s="132"/>
      <c r="CH397" s="143">
        <f t="shared" si="82"/>
        <v>0</v>
      </c>
      <c r="CI397" s="132">
        <f t="shared" si="83"/>
        <v>0</v>
      </c>
      <c r="CJ397" s="143">
        <f t="shared" si="83"/>
        <v>0</v>
      </c>
    </row>
    <row r="398" spans="1:88" x14ac:dyDescent="0.3">
      <c r="A398" s="27"/>
      <c r="B398" s="27"/>
      <c r="C398" s="27"/>
      <c r="D398" s="27"/>
      <c r="E398" s="27"/>
      <c r="F398" s="27"/>
      <c r="G398" s="27"/>
      <c r="H398" s="27"/>
      <c r="I398" s="27"/>
      <c r="J398" s="27"/>
      <c r="K398" s="27"/>
      <c r="L398" s="27"/>
      <c r="N398" s="27"/>
      <c r="O398" s="27"/>
      <c r="P398" s="27"/>
      <c r="Q398" s="117" t="s">
        <v>977</v>
      </c>
      <c r="R398" s="27"/>
      <c r="S398" s="27"/>
      <c r="T398" s="141" t="str">
        <f t="shared" si="72"/>
        <v xml:space="preserve"> </v>
      </c>
      <c r="U398" s="27"/>
      <c r="V398" s="27"/>
      <c r="W398" s="27"/>
      <c r="X398" s="27"/>
      <c r="Y398" s="27"/>
      <c r="AE398" s="27"/>
      <c r="BD398" s="97"/>
      <c r="BE398" s="108"/>
      <c r="BF398" s="108"/>
      <c r="BG398" s="97"/>
      <c r="BH398" s="97"/>
      <c r="BI398" s="97"/>
      <c r="BJ398" s="97"/>
      <c r="BK398" s="110"/>
      <c r="BL398" s="97"/>
      <c r="BM398" s="97"/>
      <c r="BN398" s="97"/>
      <c r="BO398" s="142"/>
      <c r="BP398" s="143">
        <f t="shared" si="73"/>
        <v>0</v>
      </c>
      <c r="BQ398" s="142"/>
      <c r="BR398" s="143">
        <f t="shared" si="74"/>
        <v>0</v>
      </c>
      <c r="BS398" s="132"/>
      <c r="BT398" s="146">
        <f t="shared" si="75"/>
        <v>0</v>
      </c>
      <c r="BU398" s="132"/>
      <c r="BV398" s="143">
        <f t="shared" si="76"/>
        <v>0</v>
      </c>
      <c r="BW398" s="132"/>
      <c r="BX398" s="146">
        <f t="shared" si="77"/>
        <v>0</v>
      </c>
      <c r="BY398" s="132"/>
      <c r="BZ398" s="146">
        <f t="shared" si="78"/>
        <v>0</v>
      </c>
      <c r="CA398" s="132"/>
      <c r="CB398" s="146">
        <f t="shared" si="79"/>
        <v>0</v>
      </c>
      <c r="CC398" s="132"/>
      <c r="CD398" s="143">
        <f t="shared" si="80"/>
        <v>0</v>
      </c>
      <c r="CE398" s="132"/>
      <c r="CF398" s="143">
        <f t="shared" si="81"/>
        <v>0</v>
      </c>
      <c r="CG398" s="132"/>
      <c r="CH398" s="143">
        <f t="shared" si="82"/>
        <v>0</v>
      </c>
      <c r="CI398" s="132">
        <f t="shared" si="83"/>
        <v>0</v>
      </c>
      <c r="CJ398" s="143">
        <f t="shared" si="83"/>
        <v>0</v>
      </c>
    </row>
    <row r="399" spans="1:88" x14ac:dyDescent="0.3">
      <c r="A399" s="27"/>
      <c r="B399" s="27"/>
      <c r="C399" s="27"/>
      <c r="D399" s="27"/>
      <c r="E399" s="27"/>
      <c r="F399" s="27"/>
      <c r="G399" s="27"/>
      <c r="H399" s="27"/>
      <c r="I399" s="27"/>
      <c r="J399" s="27"/>
      <c r="K399" s="27"/>
      <c r="L399" s="27"/>
      <c r="N399" s="27"/>
      <c r="O399" s="27"/>
      <c r="P399" s="27"/>
      <c r="Q399" s="117" t="s">
        <v>408</v>
      </c>
      <c r="R399" s="27"/>
      <c r="S399" s="27"/>
      <c r="T399" s="141" t="str">
        <f t="shared" si="72"/>
        <v xml:space="preserve"> </v>
      </c>
      <c r="U399" s="27"/>
      <c r="V399" s="27"/>
      <c r="W399" s="27"/>
      <c r="X399" s="27"/>
      <c r="Y399" s="27"/>
      <c r="AE399" s="27"/>
      <c r="BD399" s="97"/>
      <c r="BE399" s="108"/>
      <c r="BF399" s="108"/>
      <c r="BG399" s="97"/>
      <c r="BH399" s="97"/>
      <c r="BI399" s="97"/>
      <c r="BJ399" s="97"/>
      <c r="BK399" s="110"/>
      <c r="BL399" s="97"/>
      <c r="BM399" s="97"/>
      <c r="BN399" s="97"/>
      <c r="BO399" s="142"/>
      <c r="BP399" s="143">
        <f t="shared" si="73"/>
        <v>0</v>
      </c>
      <c r="BQ399" s="142"/>
      <c r="BR399" s="143">
        <f t="shared" si="74"/>
        <v>0</v>
      </c>
      <c r="BS399" s="132"/>
      <c r="BT399" s="146">
        <f t="shared" si="75"/>
        <v>0</v>
      </c>
      <c r="BU399" s="132"/>
      <c r="BV399" s="143">
        <f t="shared" si="76"/>
        <v>0</v>
      </c>
      <c r="BW399" s="132"/>
      <c r="BX399" s="146">
        <f t="shared" si="77"/>
        <v>0</v>
      </c>
      <c r="BY399" s="132"/>
      <c r="BZ399" s="146">
        <f t="shared" si="78"/>
        <v>0</v>
      </c>
      <c r="CA399" s="132"/>
      <c r="CB399" s="146">
        <f t="shared" si="79"/>
        <v>0</v>
      </c>
      <c r="CC399" s="132"/>
      <c r="CD399" s="143">
        <f t="shared" si="80"/>
        <v>0</v>
      </c>
      <c r="CE399" s="132"/>
      <c r="CF399" s="143">
        <f t="shared" si="81"/>
        <v>0</v>
      </c>
      <c r="CG399" s="132"/>
      <c r="CH399" s="143">
        <f t="shared" si="82"/>
        <v>0</v>
      </c>
      <c r="CI399" s="132">
        <f t="shared" si="83"/>
        <v>0</v>
      </c>
      <c r="CJ399" s="143">
        <f t="shared" si="83"/>
        <v>0</v>
      </c>
    </row>
    <row r="400" spans="1:88" x14ac:dyDescent="0.3">
      <c r="A400" s="27"/>
      <c r="B400" s="27"/>
      <c r="C400" s="27"/>
      <c r="D400" s="27"/>
      <c r="E400" s="27"/>
      <c r="F400" s="27"/>
      <c r="G400" s="27"/>
      <c r="H400" s="27"/>
      <c r="I400" s="27"/>
      <c r="J400" s="27"/>
      <c r="K400" s="27"/>
      <c r="L400" s="27"/>
      <c r="N400" s="27"/>
      <c r="O400" s="27"/>
      <c r="P400" s="27"/>
      <c r="Q400" s="117" t="s">
        <v>978</v>
      </c>
      <c r="R400" s="27"/>
      <c r="S400" s="27"/>
      <c r="T400" s="141" t="str">
        <f t="shared" si="72"/>
        <v xml:space="preserve"> </v>
      </c>
      <c r="U400" s="27"/>
      <c r="V400" s="27"/>
      <c r="W400" s="27"/>
      <c r="X400" s="27"/>
      <c r="Y400" s="27"/>
      <c r="AE400" s="27"/>
      <c r="BD400" s="97"/>
      <c r="BE400" s="108"/>
      <c r="BF400" s="108"/>
      <c r="BG400" s="97"/>
      <c r="BH400" s="97"/>
      <c r="BI400" s="97"/>
      <c r="BJ400" s="97"/>
      <c r="BK400" s="110"/>
      <c r="BL400" s="97"/>
      <c r="BM400" s="97"/>
      <c r="BN400" s="97"/>
      <c r="BO400" s="142"/>
      <c r="BP400" s="143">
        <f t="shared" si="73"/>
        <v>0</v>
      </c>
      <c r="BQ400" s="142"/>
      <c r="BR400" s="143">
        <f t="shared" si="74"/>
        <v>0</v>
      </c>
      <c r="BS400" s="132"/>
      <c r="BT400" s="146">
        <f t="shared" si="75"/>
        <v>0</v>
      </c>
      <c r="BU400" s="132"/>
      <c r="BV400" s="143">
        <f t="shared" si="76"/>
        <v>0</v>
      </c>
      <c r="BW400" s="132"/>
      <c r="BX400" s="146">
        <f t="shared" si="77"/>
        <v>0</v>
      </c>
      <c r="BY400" s="132"/>
      <c r="BZ400" s="146">
        <f t="shared" si="78"/>
        <v>0</v>
      </c>
      <c r="CA400" s="132"/>
      <c r="CB400" s="146">
        <f t="shared" si="79"/>
        <v>0</v>
      </c>
      <c r="CC400" s="132"/>
      <c r="CD400" s="143">
        <f t="shared" si="80"/>
        <v>0</v>
      </c>
      <c r="CE400" s="132"/>
      <c r="CF400" s="143">
        <f t="shared" si="81"/>
        <v>0</v>
      </c>
      <c r="CG400" s="132"/>
      <c r="CH400" s="143">
        <f t="shared" si="82"/>
        <v>0</v>
      </c>
      <c r="CI400" s="132">
        <f t="shared" si="83"/>
        <v>0</v>
      </c>
      <c r="CJ400" s="143">
        <f t="shared" si="83"/>
        <v>0</v>
      </c>
    </row>
    <row r="401" spans="1:88" x14ac:dyDescent="0.3">
      <c r="A401" s="27"/>
      <c r="B401" s="27"/>
      <c r="C401" s="27"/>
      <c r="D401" s="27"/>
      <c r="E401" s="27"/>
      <c r="F401" s="27"/>
      <c r="G401" s="27"/>
      <c r="H401" s="27"/>
      <c r="I401" s="27"/>
      <c r="J401" s="27"/>
      <c r="K401" s="27"/>
      <c r="L401" s="27"/>
      <c r="N401" s="27"/>
      <c r="O401" s="27"/>
      <c r="P401" s="27"/>
      <c r="Q401" s="117" t="s">
        <v>979</v>
      </c>
      <c r="R401" s="27"/>
      <c r="S401" s="27"/>
      <c r="T401" s="141" t="str">
        <f t="shared" si="72"/>
        <v xml:space="preserve"> </v>
      </c>
      <c r="U401" s="27"/>
      <c r="V401" s="27"/>
      <c r="W401" s="27"/>
      <c r="X401" s="27"/>
      <c r="Y401" s="27"/>
      <c r="AE401" s="27"/>
      <c r="BD401" s="97"/>
      <c r="BE401" s="108"/>
      <c r="BF401" s="108"/>
      <c r="BG401" s="97"/>
      <c r="BH401" s="97"/>
      <c r="BI401" s="97"/>
      <c r="BJ401" s="97"/>
      <c r="BK401" s="110"/>
      <c r="BL401" s="97"/>
      <c r="BM401" s="97"/>
      <c r="BN401" s="97"/>
      <c r="BO401" s="142"/>
      <c r="BP401" s="143">
        <f t="shared" si="73"/>
        <v>0</v>
      </c>
      <c r="BQ401" s="142"/>
      <c r="BR401" s="143">
        <f t="shared" si="74"/>
        <v>0</v>
      </c>
      <c r="BS401" s="132"/>
      <c r="BT401" s="146">
        <f t="shared" si="75"/>
        <v>0</v>
      </c>
      <c r="BU401" s="132"/>
      <c r="BV401" s="143">
        <f t="shared" si="76"/>
        <v>0</v>
      </c>
      <c r="BW401" s="132"/>
      <c r="BX401" s="146">
        <f t="shared" si="77"/>
        <v>0</v>
      </c>
      <c r="BY401" s="132"/>
      <c r="BZ401" s="146">
        <f t="shared" si="78"/>
        <v>0</v>
      </c>
      <c r="CA401" s="132"/>
      <c r="CB401" s="146">
        <f t="shared" si="79"/>
        <v>0</v>
      </c>
      <c r="CC401" s="132"/>
      <c r="CD401" s="143">
        <f t="shared" si="80"/>
        <v>0</v>
      </c>
      <c r="CE401" s="132"/>
      <c r="CF401" s="143">
        <f t="shared" si="81"/>
        <v>0</v>
      </c>
      <c r="CG401" s="132"/>
      <c r="CH401" s="143">
        <f t="shared" si="82"/>
        <v>0</v>
      </c>
      <c r="CI401" s="132">
        <f t="shared" si="83"/>
        <v>0</v>
      </c>
      <c r="CJ401" s="143">
        <f t="shared" si="83"/>
        <v>0</v>
      </c>
    </row>
    <row r="402" spans="1:88" x14ac:dyDescent="0.3">
      <c r="A402" s="27"/>
      <c r="B402" s="27"/>
      <c r="C402" s="27"/>
      <c r="D402" s="27"/>
      <c r="E402" s="27"/>
      <c r="F402" s="27"/>
      <c r="G402" s="27"/>
      <c r="H402" s="27"/>
      <c r="I402" s="27"/>
      <c r="J402" s="27"/>
      <c r="K402" s="27"/>
      <c r="L402" s="27"/>
      <c r="N402" s="27"/>
      <c r="O402" s="27"/>
      <c r="P402" s="27"/>
      <c r="Q402" s="117" t="s">
        <v>416</v>
      </c>
      <c r="R402" s="27"/>
      <c r="S402" s="27"/>
      <c r="T402" s="141" t="str">
        <f t="shared" si="72"/>
        <v xml:space="preserve"> </v>
      </c>
      <c r="U402" s="27"/>
      <c r="V402" s="27"/>
      <c r="W402" s="27"/>
      <c r="X402" s="27"/>
      <c r="Y402" s="27"/>
      <c r="AE402" s="27"/>
      <c r="BD402" s="97"/>
      <c r="BE402" s="108"/>
      <c r="BF402" s="108"/>
      <c r="BG402" s="97"/>
      <c r="BH402" s="97"/>
      <c r="BI402" s="97"/>
      <c r="BJ402" s="97"/>
      <c r="BK402" s="110"/>
      <c r="BL402" s="97"/>
      <c r="BM402" s="97"/>
      <c r="BN402" s="97"/>
      <c r="BO402" s="142"/>
      <c r="BP402" s="143">
        <f t="shared" si="73"/>
        <v>0</v>
      </c>
      <c r="BQ402" s="142"/>
      <c r="BR402" s="143">
        <f t="shared" si="74"/>
        <v>0</v>
      </c>
      <c r="BS402" s="132"/>
      <c r="BT402" s="146">
        <f t="shared" si="75"/>
        <v>0</v>
      </c>
      <c r="BU402" s="132"/>
      <c r="BV402" s="143">
        <f t="shared" si="76"/>
        <v>0</v>
      </c>
      <c r="BW402" s="132"/>
      <c r="BX402" s="146">
        <f t="shared" si="77"/>
        <v>0</v>
      </c>
      <c r="BY402" s="132"/>
      <c r="BZ402" s="146">
        <f t="shared" si="78"/>
        <v>0</v>
      </c>
      <c r="CA402" s="132"/>
      <c r="CB402" s="146">
        <f t="shared" si="79"/>
        <v>0</v>
      </c>
      <c r="CC402" s="132"/>
      <c r="CD402" s="143">
        <f t="shared" si="80"/>
        <v>0</v>
      </c>
      <c r="CE402" s="132"/>
      <c r="CF402" s="143">
        <f t="shared" si="81"/>
        <v>0</v>
      </c>
      <c r="CG402" s="132"/>
      <c r="CH402" s="143">
        <f t="shared" si="82"/>
        <v>0</v>
      </c>
      <c r="CI402" s="132">
        <f t="shared" si="83"/>
        <v>0</v>
      </c>
      <c r="CJ402" s="143">
        <f t="shared" si="83"/>
        <v>0</v>
      </c>
    </row>
    <row r="403" spans="1:88" x14ac:dyDescent="0.3">
      <c r="A403" s="27"/>
      <c r="B403" s="27"/>
      <c r="C403" s="27"/>
      <c r="D403" s="27"/>
      <c r="E403" s="27"/>
      <c r="F403" s="27"/>
      <c r="G403" s="27"/>
      <c r="H403" s="27"/>
      <c r="I403" s="27"/>
      <c r="J403" s="27"/>
      <c r="K403" s="27"/>
      <c r="L403" s="27"/>
      <c r="N403" s="27"/>
      <c r="O403" s="27"/>
      <c r="P403" s="27"/>
      <c r="Q403" s="117" t="s">
        <v>980</v>
      </c>
      <c r="R403" s="27"/>
      <c r="S403" s="27"/>
      <c r="T403" s="141" t="str">
        <f t="shared" si="72"/>
        <v xml:space="preserve"> </v>
      </c>
      <c r="U403" s="27"/>
      <c r="V403" s="27"/>
      <c r="W403" s="27"/>
      <c r="X403" s="27"/>
      <c r="Y403" s="27"/>
      <c r="AE403" s="27"/>
      <c r="BD403" s="97"/>
      <c r="BE403" s="108"/>
      <c r="BF403" s="108"/>
      <c r="BG403" s="97"/>
      <c r="BH403" s="97"/>
      <c r="BI403" s="97"/>
      <c r="BJ403" s="97"/>
      <c r="BK403" s="110"/>
      <c r="BL403" s="97"/>
      <c r="BM403" s="97"/>
      <c r="BN403" s="97"/>
      <c r="BO403" s="142"/>
      <c r="BP403" s="143">
        <f t="shared" si="73"/>
        <v>0</v>
      </c>
      <c r="BQ403" s="142"/>
      <c r="BR403" s="143">
        <f t="shared" si="74"/>
        <v>0</v>
      </c>
      <c r="BS403" s="132"/>
      <c r="BT403" s="146">
        <f t="shared" si="75"/>
        <v>0</v>
      </c>
      <c r="BU403" s="132"/>
      <c r="BV403" s="143">
        <f t="shared" si="76"/>
        <v>0</v>
      </c>
      <c r="BW403" s="132"/>
      <c r="BX403" s="146">
        <f t="shared" si="77"/>
        <v>0</v>
      </c>
      <c r="BY403" s="132"/>
      <c r="BZ403" s="146">
        <f t="shared" si="78"/>
        <v>0</v>
      </c>
      <c r="CA403" s="132"/>
      <c r="CB403" s="146">
        <f t="shared" si="79"/>
        <v>0</v>
      </c>
      <c r="CC403" s="132"/>
      <c r="CD403" s="143">
        <f t="shared" si="80"/>
        <v>0</v>
      </c>
      <c r="CE403" s="132"/>
      <c r="CF403" s="143">
        <f t="shared" si="81"/>
        <v>0</v>
      </c>
      <c r="CG403" s="132"/>
      <c r="CH403" s="143">
        <f t="shared" si="82"/>
        <v>0</v>
      </c>
      <c r="CI403" s="132">
        <f t="shared" si="83"/>
        <v>0</v>
      </c>
      <c r="CJ403" s="143">
        <f t="shared" si="83"/>
        <v>0</v>
      </c>
    </row>
    <row r="404" spans="1:88" x14ac:dyDescent="0.3">
      <c r="A404" s="27"/>
      <c r="B404" s="27"/>
      <c r="C404" s="27"/>
      <c r="D404" s="27"/>
      <c r="E404" s="27"/>
      <c r="F404" s="27"/>
      <c r="G404" s="27"/>
      <c r="H404" s="27"/>
      <c r="I404" s="27"/>
      <c r="J404" s="27"/>
      <c r="K404" s="27"/>
      <c r="L404" s="27"/>
      <c r="N404" s="27"/>
      <c r="O404" s="27"/>
      <c r="P404" s="27"/>
      <c r="Q404" s="117" t="s">
        <v>981</v>
      </c>
      <c r="R404" s="27"/>
      <c r="S404" s="27"/>
      <c r="T404" s="141" t="str">
        <f t="shared" si="72"/>
        <v xml:space="preserve"> </v>
      </c>
      <c r="U404" s="27"/>
      <c r="V404" s="27"/>
      <c r="W404" s="27"/>
      <c r="X404" s="27"/>
      <c r="Y404" s="27"/>
      <c r="AE404" s="27"/>
      <c r="BD404" s="97"/>
      <c r="BE404" s="108"/>
      <c r="BF404" s="108"/>
      <c r="BG404" s="97"/>
      <c r="BH404" s="97"/>
      <c r="BI404" s="97"/>
      <c r="BJ404" s="97"/>
      <c r="BK404" s="110"/>
      <c r="BL404" s="97"/>
      <c r="BM404" s="97"/>
      <c r="BN404" s="97"/>
      <c r="BO404" s="142"/>
      <c r="BP404" s="143">
        <f t="shared" si="73"/>
        <v>0</v>
      </c>
      <c r="BQ404" s="142"/>
      <c r="BR404" s="143">
        <f t="shared" si="74"/>
        <v>0</v>
      </c>
      <c r="BS404" s="132"/>
      <c r="BT404" s="146">
        <f t="shared" si="75"/>
        <v>0</v>
      </c>
      <c r="BU404" s="132"/>
      <c r="BV404" s="143">
        <f t="shared" si="76"/>
        <v>0</v>
      </c>
      <c r="BW404" s="132"/>
      <c r="BX404" s="146">
        <f t="shared" si="77"/>
        <v>0</v>
      </c>
      <c r="BY404" s="132"/>
      <c r="BZ404" s="146">
        <f t="shared" si="78"/>
        <v>0</v>
      </c>
      <c r="CA404" s="132"/>
      <c r="CB404" s="146">
        <f t="shared" si="79"/>
        <v>0</v>
      </c>
      <c r="CC404" s="132"/>
      <c r="CD404" s="143">
        <f t="shared" si="80"/>
        <v>0</v>
      </c>
      <c r="CE404" s="132"/>
      <c r="CF404" s="143">
        <f t="shared" si="81"/>
        <v>0</v>
      </c>
      <c r="CG404" s="132"/>
      <c r="CH404" s="143">
        <f t="shared" si="82"/>
        <v>0</v>
      </c>
      <c r="CI404" s="132">
        <f t="shared" si="83"/>
        <v>0</v>
      </c>
      <c r="CJ404" s="143">
        <f t="shared" si="83"/>
        <v>0</v>
      </c>
    </row>
    <row r="405" spans="1:88" x14ac:dyDescent="0.3">
      <c r="A405" s="27"/>
      <c r="B405" s="27"/>
      <c r="C405" s="27"/>
      <c r="D405" s="27"/>
      <c r="E405" s="27"/>
      <c r="F405" s="27"/>
      <c r="G405" s="27"/>
      <c r="H405" s="27"/>
      <c r="I405" s="27"/>
      <c r="J405" s="27"/>
      <c r="K405" s="27"/>
      <c r="L405" s="27"/>
      <c r="N405" s="27"/>
      <c r="O405" s="27"/>
      <c r="P405" s="27"/>
      <c r="Q405" s="117" t="s">
        <v>982</v>
      </c>
      <c r="R405" s="27"/>
      <c r="S405" s="27"/>
      <c r="T405" s="141" t="str">
        <f t="shared" si="72"/>
        <v xml:space="preserve"> </v>
      </c>
      <c r="U405" s="27"/>
      <c r="V405" s="27"/>
      <c r="W405" s="27"/>
      <c r="X405" s="27"/>
      <c r="Y405" s="27"/>
      <c r="AE405" s="27"/>
      <c r="BD405" s="97"/>
      <c r="BE405" s="108"/>
      <c r="BF405" s="108"/>
      <c r="BG405" s="97"/>
      <c r="BH405" s="97"/>
      <c r="BI405" s="97"/>
      <c r="BJ405" s="97"/>
      <c r="BK405" s="110"/>
      <c r="BL405" s="97"/>
      <c r="BM405" s="97"/>
      <c r="BN405" s="97"/>
      <c r="BO405" s="142"/>
      <c r="BP405" s="143">
        <f t="shared" si="73"/>
        <v>0</v>
      </c>
      <c r="BQ405" s="142"/>
      <c r="BR405" s="143">
        <f t="shared" si="74"/>
        <v>0</v>
      </c>
      <c r="BS405" s="132"/>
      <c r="BT405" s="146">
        <f t="shared" si="75"/>
        <v>0</v>
      </c>
      <c r="BU405" s="132"/>
      <c r="BV405" s="143">
        <f t="shared" si="76"/>
        <v>0</v>
      </c>
      <c r="BW405" s="132"/>
      <c r="BX405" s="146">
        <f t="shared" si="77"/>
        <v>0</v>
      </c>
      <c r="BY405" s="132"/>
      <c r="BZ405" s="146">
        <f t="shared" si="78"/>
        <v>0</v>
      </c>
      <c r="CA405" s="132"/>
      <c r="CB405" s="146">
        <f t="shared" si="79"/>
        <v>0</v>
      </c>
      <c r="CC405" s="132"/>
      <c r="CD405" s="143">
        <f t="shared" si="80"/>
        <v>0</v>
      </c>
      <c r="CE405" s="132"/>
      <c r="CF405" s="143">
        <f t="shared" si="81"/>
        <v>0</v>
      </c>
      <c r="CG405" s="132"/>
      <c r="CH405" s="143">
        <f t="shared" si="82"/>
        <v>0</v>
      </c>
      <c r="CI405" s="132">
        <f t="shared" si="83"/>
        <v>0</v>
      </c>
      <c r="CJ405" s="143">
        <f t="shared" si="83"/>
        <v>0</v>
      </c>
    </row>
    <row r="406" spans="1:88" x14ac:dyDescent="0.3">
      <c r="A406" s="27"/>
      <c r="B406" s="27"/>
      <c r="C406" s="27"/>
      <c r="D406" s="27"/>
      <c r="E406" s="27"/>
      <c r="F406" s="27"/>
      <c r="G406" s="27"/>
      <c r="H406" s="27"/>
      <c r="I406" s="27"/>
      <c r="J406" s="27"/>
      <c r="K406" s="27"/>
      <c r="L406" s="27"/>
      <c r="N406" s="27"/>
      <c r="O406" s="27"/>
      <c r="P406" s="27"/>
      <c r="Q406" s="117" t="s">
        <v>983</v>
      </c>
      <c r="R406" s="27"/>
      <c r="S406" s="27"/>
      <c r="T406" s="141" t="str">
        <f t="shared" si="72"/>
        <v xml:space="preserve"> </v>
      </c>
      <c r="U406" s="27"/>
      <c r="V406" s="27"/>
      <c r="W406" s="27"/>
      <c r="X406" s="27"/>
      <c r="Y406" s="27"/>
      <c r="AE406" s="27"/>
      <c r="BD406" s="97"/>
      <c r="BE406" s="108"/>
      <c r="BF406" s="108"/>
      <c r="BG406" s="97"/>
      <c r="BH406" s="97"/>
      <c r="BI406" s="97"/>
      <c r="BJ406" s="97"/>
      <c r="BK406" s="110"/>
      <c r="BL406" s="97"/>
      <c r="BM406" s="97"/>
      <c r="BN406" s="97"/>
      <c r="BO406" s="142"/>
      <c r="BP406" s="143">
        <f t="shared" si="73"/>
        <v>0</v>
      </c>
      <c r="BQ406" s="142"/>
      <c r="BR406" s="143">
        <f t="shared" si="74"/>
        <v>0</v>
      </c>
      <c r="BS406" s="132"/>
      <c r="BT406" s="146">
        <f t="shared" si="75"/>
        <v>0</v>
      </c>
      <c r="BU406" s="132"/>
      <c r="BV406" s="143">
        <f t="shared" si="76"/>
        <v>0</v>
      </c>
      <c r="BW406" s="132"/>
      <c r="BX406" s="146">
        <f t="shared" si="77"/>
        <v>0</v>
      </c>
      <c r="BY406" s="132"/>
      <c r="BZ406" s="146">
        <f t="shared" si="78"/>
        <v>0</v>
      </c>
      <c r="CA406" s="132"/>
      <c r="CB406" s="146">
        <f t="shared" si="79"/>
        <v>0</v>
      </c>
      <c r="CC406" s="132"/>
      <c r="CD406" s="143">
        <f t="shared" si="80"/>
        <v>0</v>
      </c>
      <c r="CE406" s="132"/>
      <c r="CF406" s="143">
        <f t="shared" si="81"/>
        <v>0</v>
      </c>
      <c r="CG406" s="132"/>
      <c r="CH406" s="143">
        <f t="shared" si="82"/>
        <v>0</v>
      </c>
      <c r="CI406" s="132">
        <f t="shared" si="83"/>
        <v>0</v>
      </c>
      <c r="CJ406" s="143">
        <f t="shared" si="83"/>
        <v>0</v>
      </c>
    </row>
    <row r="407" spans="1:88" x14ac:dyDescent="0.3">
      <c r="A407" s="27"/>
      <c r="B407" s="27"/>
      <c r="C407" s="27"/>
      <c r="D407" s="27"/>
      <c r="E407" s="27"/>
      <c r="F407" s="27"/>
      <c r="G407" s="27"/>
      <c r="H407" s="27"/>
      <c r="I407" s="27"/>
      <c r="J407" s="27"/>
      <c r="K407" s="27"/>
      <c r="L407" s="27"/>
      <c r="N407" s="27"/>
      <c r="O407" s="27"/>
      <c r="P407" s="27"/>
      <c r="Q407" s="117" t="s">
        <v>984</v>
      </c>
      <c r="R407" s="27"/>
      <c r="S407" s="27"/>
      <c r="T407" s="141" t="str">
        <f t="shared" si="72"/>
        <v xml:space="preserve"> </v>
      </c>
      <c r="U407" s="27"/>
      <c r="V407" s="27"/>
      <c r="W407" s="27"/>
      <c r="X407" s="27"/>
      <c r="Y407" s="27"/>
      <c r="AE407" s="27"/>
      <c r="BD407" s="97"/>
      <c r="BE407" s="108"/>
      <c r="BF407" s="108"/>
      <c r="BG407" s="97"/>
      <c r="BH407" s="97"/>
      <c r="BI407" s="97"/>
      <c r="BJ407" s="97"/>
      <c r="BK407" s="110"/>
      <c r="BL407" s="97"/>
      <c r="BM407" s="97"/>
      <c r="BN407" s="97"/>
      <c r="BO407" s="142"/>
      <c r="BP407" s="143">
        <f t="shared" si="73"/>
        <v>0</v>
      </c>
      <c r="BQ407" s="142"/>
      <c r="BR407" s="143">
        <f t="shared" si="74"/>
        <v>0</v>
      </c>
      <c r="BS407" s="132"/>
      <c r="BT407" s="146">
        <f t="shared" si="75"/>
        <v>0</v>
      </c>
      <c r="BU407" s="132"/>
      <c r="BV407" s="143">
        <f t="shared" si="76"/>
        <v>0</v>
      </c>
      <c r="BW407" s="132"/>
      <c r="BX407" s="146">
        <f t="shared" si="77"/>
        <v>0</v>
      </c>
      <c r="BY407" s="132"/>
      <c r="BZ407" s="146">
        <f t="shared" si="78"/>
        <v>0</v>
      </c>
      <c r="CA407" s="132"/>
      <c r="CB407" s="146">
        <f t="shared" si="79"/>
        <v>0</v>
      </c>
      <c r="CC407" s="132"/>
      <c r="CD407" s="143">
        <f t="shared" si="80"/>
        <v>0</v>
      </c>
      <c r="CE407" s="132"/>
      <c r="CF407" s="143">
        <f t="shared" si="81"/>
        <v>0</v>
      </c>
      <c r="CG407" s="132"/>
      <c r="CH407" s="143">
        <f t="shared" si="82"/>
        <v>0</v>
      </c>
      <c r="CI407" s="132">
        <f t="shared" si="83"/>
        <v>0</v>
      </c>
      <c r="CJ407" s="143">
        <f t="shared" si="83"/>
        <v>0</v>
      </c>
    </row>
    <row r="408" spans="1:88" x14ac:dyDescent="0.3">
      <c r="A408" s="27"/>
      <c r="B408" s="27"/>
      <c r="C408" s="27"/>
      <c r="D408" s="27"/>
      <c r="E408" s="27"/>
      <c r="F408" s="27"/>
      <c r="G408" s="27"/>
      <c r="H408" s="27"/>
      <c r="I408" s="27"/>
      <c r="J408" s="27"/>
      <c r="K408" s="27"/>
      <c r="L408" s="27"/>
      <c r="N408" s="27"/>
      <c r="O408" s="27"/>
      <c r="P408" s="27"/>
      <c r="Q408" s="117" t="s">
        <v>985</v>
      </c>
      <c r="R408" s="27"/>
      <c r="S408" s="27"/>
      <c r="T408" s="141" t="str">
        <f t="shared" si="72"/>
        <v xml:space="preserve"> </v>
      </c>
      <c r="U408" s="27"/>
      <c r="V408" s="27"/>
      <c r="W408" s="27"/>
      <c r="X408" s="27"/>
      <c r="Y408" s="27"/>
      <c r="AE408" s="27"/>
      <c r="BD408" s="97"/>
      <c r="BE408" s="108"/>
      <c r="BF408" s="108"/>
      <c r="BG408" s="97"/>
      <c r="BH408" s="97"/>
      <c r="BI408" s="97"/>
      <c r="BJ408" s="97"/>
      <c r="BK408" s="110"/>
      <c r="BL408" s="97"/>
      <c r="BM408" s="97"/>
      <c r="BN408" s="97"/>
      <c r="BO408" s="142"/>
      <c r="BP408" s="143">
        <f t="shared" si="73"/>
        <v>0</v>
      </c>
      <c r="BQ408" s="142"/>
      <c r="BR408" s="143">
        <f t="shared" si="74"/>
        <v>0</v>
      </c>
      <c r="BS408" s="132"/>
      <c r="BT408" s="146">
        <f t="shared" si="75"/>
        <v>0</v>
      </c>
      <c r="BU408" s="132"/>
      <c r="BV408" s="143">
        <f t="shared" si="76"/>
        <v>0</v>
      </c>
      <c r="BW408" s="132"/>
      <c r="BX408" s="146">
        <f t="shared" si="77"/>
        <v>0</v>
      </c>
      <c r="BY408" s="132"/>
      <c r="BZ408" s="146">
        <f t="shared" si="78"/>
        <v>0</v>
      </c>
      <c r="CA408" s="132"/>
      <c r="CB408" s="146">
        <f t="shared" si="79"/>
        <v>0</v>
      </c>
      <c r="CC408" s="132"/>
      <c r="CD408" s="143">
        <f t="shared" si="80"/>
        <v>0</v>
      </c>
      <c r="CE408" s="132"/>
      <c r="CF408" s="143">
        <f t="shared" si="81"/>
        <v>0</v>
      </c>
      <c r="CG408" s="132"/>
      <c r="CH408" s="143">
        <f t="shared" si="82"/>
        <v>0</v>
      </c>
      <c r="CI408" s="132">
        <f t="shared" si="83"/>
        <v>0</v>
      </c>
      <c r="CJ408" s="143">
        <f t="shared" si="83"/>
        <v>0</v>
      </c>
    </row>
    <row r="409" spans="1:88" x14ac:dyDescent="0.3">
      <c r="A409" s="27"/>
      <c r="B409" s="27"/>
      <c r="C409" s="27"/>
      <c r="D409" s="27"/>
      <c r="E409" s="27"/>
      <c r="F409" s="27"/>
      <c r="G409" s="27"/>
      <c r="H409" s="27"/>
      <c r="I409" s="27"/>
      <c r="J409" s="27"/>
      <c r="K409" s="27"/>
      <c r="L409" s="27"/>
      <c r="N409" s="27"/>
      <c r="O409" s="27"/>
      <c r="P409" s="27"/>
      <c r="Q409" s="117" t="s">
        <v>423</v>
      </c>
      <c r="R409" s="27"/>
      <c r="S409" s="27"/>
      <c r="T409" s="141" t="str">
        <f t="shared" si="72"/>
        <v xml:space="preserve"> </v>
      </c>
      <c r="U409" s="27"/>
      <c r="V409" s="27"/>
      <c r="W409" s="27"/>
      <c r="X409" s="27"/>
      <c r="Y409" s="27"/>
      <c r="AE409" s="27"/>
      <c r="BD409" s="97"/>
      <c r="BE409" s="108"/>
      <c r="BF409" s="108"/>
      <c r="BG409" s="97"/>
      <c r="BH409" s="97"/>
      <c r="BI409" s="97"/>
      <c r="BJ409" s="97"/>
      <c r="BK409" s="110"/>
      <c r="BL409" s="97"/>
      <c r="BM409" s="97"/>
      <c r="BN409" s="97"/>
      <c r="BO409" s="142"/>
      <c r="BP409" s="143">
        <f t="shared" si="73"/>
        <v>0</v>
      </c>
      <c r="BQ409" s="142"/>
      <c r="BR409" s="143">
        <f t="shared" si="74"/>
        <v>0</v>
      </c>
      <c r="BS409" s="132"/>
      <c r="BT409" s="146">
        <f t="shared" si="75"/>
        <v>0</v>
      </c>
      <c r="BU409" s="132"/>
      <c r="BV409" s="143">
        <f t="shared" si="76"/>
        <v>0</v>
      </c>
      <c r="BW409" s="132"/>
      <c r="BX409" s="146">
        <f t="shared" si="77"/>
        <v>0</v>
      </c>
      <c r="BY409" s="132"/>
      <c r="BZ409" s="146">
        <f t="shared" si="78"/>
        <v>0</v>
      </c>
      <c r="CA409" s="132"/>
      <c r="CB409" s="146">
        <f t="shared" si="79"/>
        <v>0</v>
      </c>
      <c r="CC409" s="132"/>
      <c r="CD409" s="143">
        <f t="shared" si="80"/>
        <v>0</v>
      </c>
      <c r="CE409" s="132"/>
      <c r="CF409" s="143">
        <f t="shared" si="81"/>
        <v>0</v>
      </c>
      <c r="CG409" s="132"/>
      <c r="CH409" s="143">
        <f t="shared" si="82"/>
        <v>0</v>
      </c>
      <c r="CI409" s="132">
        <f t="shared" si="83"/>
        <v>0</v>
      </c>
      <c r="CJ409" s="143">
        <f t="shared" si="83"/>
        <v>0</v>
      </c>
    </row>
    <row r="410" spans="1:88" x14ac:dyDescent="0.3">
      <c r="A410" s="27"/>
      <c r="B410" s="27"/>
      <c r="C410" s="27"/>
      <c r="D410" s="27"/>
      <c r="E410" s="27"/>
      <c r="F410" s="27"/>
      <c r="G410" s="27"/>
      <c r="H410" s="27"/>
      <c r="I410" s="27"/>
      <c r="J410" s="27"/>
      <c r="K410" s="27"/>
      <c r="L410" s="27"/>
      <c r="N410" s="27"/>
      <c r="O410" s="27"/>
      <c r="P410" s="27"/>
      <c r="Q410" s="117" t="s">
        <v>986</v>
      </c>
      <c r="R410" s="27"/>
      <c r="S410" s="27"/>
      <c r="T410" s="141" t="str">
        <f t="shared" si="72"/>
        <v xml:space="preserve"> </v>
      </c>
      <c r="U410" s="27"/>
      <c r="V410" s="27"/>
      <c r="W410" s="27"/>
      <c r="X410" s="27"/>
      <c r="Y410" s="27"/>
      <c r="AE410" s="27"/>
      <c r="BD410" s="97"/>
      <c r="BE410" s="108"/>
      <c r="BF410" s="108"/>
      <c r="BG410" s="97"/>
      <c r="BH410" s="97"/>
      <c r="BI410" s="97"/>
      <c r="BJ410" s="97"/>
      <c r="BK410" s="110"/>
      <c r="BL410" s="97"/>
      <c r="BM410" s="97"/>
      <c r="BN410" s="97"/>
      <c r="BO410" s="142"/>
      <c r="BP410" s="143">
        <f t="shared" si="73"/>
        <v>0</v>
      </c>
      <c r="BQ410" s="142"/>
      <c r="BR410" s="143">
        <f t="shared" si="74"/>
        <v>0</v>
      </c>
      <c r="BS410" s="132"/>
      <c r="BT410" s="146">
        <f t="shared" si="75"/>
        <v>0</v>
      </c>
      <c r="BU410" s="132"/>
      <c r="BV410" s="143">
        <f t="shared" si="76"/>
        <v>0</v>
      </c>
      <c r="BW410" s="132"/>
      <c r="BX410" s="146">
        <f t="shared" si="77"/>
        <v>0</v>
      </c>
      <c r="BY410" s="132"/>
      <c r="BZ410" s="146">
        <f t="shared" si="78"/>
        <v>0</v>
      </c>
      <c r="CA410" s="132"/>
      <c r="CB410" s="146">
        <f t="shared" si="79"/>
        <v>0</v>
      </c>
      <c r="CC410" s="132"/>
      <c r="CD410" s="143">
        <f t="shared" si="80"/>
        <v>0</v>
      </c>
      <c r="CE410" s="132"/>
      <c r="CF410" s="143">
        <f t="shared" si="81"/>
        <v>0</v>
      </c>
      <c r="CG410" s="132"/>
      <c r="CH410" s="143">
        <f t="shared" si="82"/>
        <v>0</v>
      </c>
      <c r="CI410" s="132">
        <f t="shared" si="83"/>
        <v>0</v>
      </c>
      <c r="CJ410" s="143">
        <f t="shared" si="83"/>
        <v>0</v>
      </c>
    </row>
    <row r="411" spans="1:88" x14ac:dyDescent="0.3">
      <c r="A411" s="27"/>
      <c r="B411" s="27"/>
      <c r="C411" s="27"/>
      <c r="D411" s="27"/>
      <c r="E411" s="27"/>
      <c r="F411" s="27"/>
      <c r="G411" s="27"/>
      <c r="H411" s="27"/>
      <c r="I411" s="27"/>
      <c r="J411" s="27"/>
      <c r="K411" s="27"/>
      <c r="L411" s="27"/>
      <c r="N411" s="27"/>
      <c r="O411" s="27"/>
      <c r="P411" s="27"/>
      <c r="Q411" s="117" t="s">
        <v>987</v>
      </c>
      <c r="R411" s="27"/>
      <c r="S411" s="27"/>
      <c r="T411" s="141" t="str">
        <f t="shared" si="72"/>
        <v xml:space="preserve"> </v>
      </c>
      <c r="U411" s="27"/>
      <c r="V411" s="27"/>
      <c r="W411" s="27"/>
      <c r="X411" s="27"/>
      <c r="Y411" s="27"/>
      <c r="AE411" s="27"/>
      <c r="BD411" s="97"/>
      <c r="BE411" s="108"/>
      <c r="BF411" s="108"/>
      <c r="BG411" s="97"/>
      <c r="BH411" s="97"/>
      <c r="BI411" s="97"/>
      <c r="BJ411" s="97"/>
      <c r="BK411" s="110"/>
      <c r="BL411" s="97"/>
      <c r="BM411" s="97"/>
      <c r="BN411" s="97"/>
      <c r="BO411" s="142"/>
      <c r="BP411" s="143">
        <f t="shared" si="73"/>
        <v>0</v>
      </c>
      <c r="BQ411" s="142"/>
      <c r="BR411" s="143">
        <f t="shared" si="74"/>
        <v>0</v>
      </c>
      <c r="BS411" s="132"/>
      <c r="BT411" s="146">
        <f t="shared" si="75"/>
        <v>0</v>
      </c>
      <c r="BU411" s="132"/>
      <c r="BV411" s="143">
        <f t="shared" si="76"/>
        <v>0</v>
      </c>
      <c r="BW411" s="132"/>
      <c r="BX411" s="146">
        <f t="shared" si="77"/>
        <v>0</v>
      </c>
      <c r="BY411" s="132"/>
      <c r="BZ411" s="146">
        <f t="shared" si="78"/>
        <v>0</v>
      </c>
      <c r="CA411" s="132"/>
      <c r="CB411" s="146">
        <f t="shared" si="79"/>
        <v>0</v>
      </c>
      <c r="CC411" s="132"/>
      <c r="CD411" s="143">
        <f t="shared" si="80"/>
        <v>0</v>
      </c>
      <c r="CE411" s="132"/>
      <c r="CF411" s="143">
        <f t="shared" si="81"/>
        <v>0</v>
      </c>
      <c r="CG411" s="132"/>
      <c r="CH411" s="143">
        <f t="shared" si="82"/>
        <v>0</v>
      </c>
      <c r="CI411" s="132">
        <f t="shared" si="83"/>
        <v>0</v>
      </c>
      <c r="CJ411" s="143">
        <f t="shared" si="83"/>
        <v>0</v>
      </c>
    </row>
    <row r="412" spans="1:88" x14ac:dyDescent="0.3">
      <c r="A412" s="27"/>
      <c r="B412" s="27"/>
      <c r="C412" s="27"/>
      <c r="D412" s="27"/>
      <c r="E412" s="27"/>
      <c r="F412" s="27"/>
      <c r="G412" s="27"/>
      <c r="H412" s="27"/>
      <c r="I412" s="27"/>
      <c r="J412" s="27"/>
      <c r="K412" s="27"/>
      <c r="L412" s="27"/>
      <c r="N412" s="27"/>
      <c r="O412" s="27"/>
      <c r="P412" s="27"/>
      <c r="Q412" s="117" t="s">
        <v>988</v>
      </c>
      <c r="R412" s="27"/>
      <c r="S412" s="27"/>
      <c r="T412" s="141" t="str">
        <f t="shared" si="72"/>
        <v xml:space="preserve"> </v>
      </c>
      <c r="U412" s="27"/>
      <c r="V412" s="27"/>
      <c r="W412" s="27"/>
      <c r="X412" s="27"/>
      <c r="Y412" s="27"/>
      <c r="AE412" s="27"/>
      <c r="BD412" s="97"/>
      <c r="BE412" s="108"/>
      <c r="BF412" s="108"/>
      <c r="BG412" s="97"/>
      <c r="BH412" s="97"/>
      <c r="BI412" s="97"/>
      <c r="BJ412" s="97"/>
      <c r="BK412" s="110"/>
      <c r="BL412" s="97"/>
      <c r="BM412" s="97"/>
      <c r="BN412" s="97"/>
      <c r="BO412" s="142"/>
      <c r="BP412" s="143">
        <f t="shared" si="73"/>
        <v>0</v>
      </c>
      <c r="BQ412" s="142"/>
      <c r="BR412" s="143">
        <f t="shared" si="74"/>
        <v>0</v>
      </c>
      <c r="BS412" s="132"/>
      <c r="BT412" s="146">
        <f t="shared" si="75"/>
        <v>0</v>
      </c>
      <c r="BU412" s="132"/>
      <c r="BV412" s="143">
        <f t="shared" si="76"/>
        <v>0</v>
      </c>
      <c r="BW412" s="132"/>
      <c r="BX412" s="146">
        <f t="shared" si="77"/>
        <v>0</v>
      </c>
      <c r="BY412" s="132"/>
      <c r="BZ412" s="146">
        <f t="shared" si="78"/>
        <v>0</v>
      </c>
      <c r="CA412" s="132"/>
      <c r="CB412" s="146">
        <f t="shared" si="79"/>
        <v>0</v>
      </c>
      <c r="CC412" s="132"/>
      <c r="CD412" s="143">
        <f t="shared" si="80"/>
        <v>0</v>
      </c>
      <c r="CE412" s="132"/>
      <c r="CF412" s="143">
        <f t="shared" si="81"/>
        <v>0</v>
      </c>
      <c r="CG412" s="132"/>
      <c r="CH412" s="143">
        <f t="shared" si="82"/>
        <v>0</v>
      </c>
      <c r="CI412" s="132">
        <f t="shared" si="83"/>
        <v>0</v>
      </c>
      <c r="CJ412" s="143">
        <f t="shared" si="83"/>
        <v>0</v>
      </c>
    </row>
    <row r="413" spans="1:88" x14ac:dyDescent="0.3">
      <c r="A413" s="27"/>
      <c r="B413" s="27"/>
      <c r="C413" s="27"/>
      <c r="D413" s="27"/>
      <c r="E413" s="27"/>
      <c r="F413" s="27"/>
      <c r="G413" s="27"/>
      <c r="H413" s="27"/>
      <c r="I413" s="27"/>
      <c r="J413" s="27"/>
      <c r="K413" s="27"/>
      <c r="L413" s="27"/>
      <c r="N413" s="27"/>
      <c r="O413" s="27"/>
      <c r="P413" s="27"/>
      <c r="Q413" s="117" t="s">
        <v>989</v>
      </c>
      <c r="R413" s="27"/>
      <c r="S413" s="27"/>
      <c r="T413" s="141" t="str">
        <f t="shared" si="72"/>
        <v xml:space="preserve"> </v>
      </c>
      <c r="U413" s="27"/>
      <c r="V413" s="27"/>
      <c r="W413" s="27"/>
      <c r="X413" s="27"/>
      <c r="Y413" s="27"/>
      <c r="AE413" s="27"/>
      <c r="BD413" s="97"/>
      <c r="BE413" s="108"/>
      <c r="BF413" s="108"/>
      <c r="BG413" s="97"/>
      <c r="BH413" s="97"/>
      <c r="BI413" s="97"/>
      <c r="BJ413" s="97"/>
      <c r="BK413" s="110"/>
      <c r="BL413" s="97"/>
      <c r="BM413" s="97"/>
      <c r="BN413" s="97"/>
      <c r="BO413" s="142"/>
      <c r="BP413" s="143">
        <f t="shared" si="73"/>
        <v>0</v>
      </c>
      <c r="BQ413" s="142"/>
      <c r="BR413" s="143">
        <f t="shared" si="74"/>
        <v>0</v>
      </c>
      <c r="BS413" s="132"/>
      <c r="BT413" s="146">
        <f t="shared" si="75"/>
        <v>0</v>
      </c>
      <c r="BU413" s="132"/>
      <c r="BV413" s="143">
        <f t="shared" si="76"/>
        <v>0</v>
      </c>
      <c r="BW413" s="132"/>
      <c r="BX413" s="146">
        <f t="shared" si="77"/>
        <v>0</v>
      </c>
      <c r="BY413" s="132"/>
      <c r="BZ413" s="146">
        <f t="shared" si="78"/>
        <v>0</v>
      </c>
      <c r="CA413" s="132"/>
      <c r="CB413" s="146">
        <f t="shared" si="79"/>
        <v>0</v>
      </c>
      <c r="CC413" s="132"/>
      <c r="CD413" s="143">
        <f t="shared" si="80"/>
        <v>0</v>
      </c>
      <c r="CE413" s="132"/>
      <c r="CF413" s="143">
        <f t="shared" si="81"/>
        <v>0</v>
      </c>
      <c r="CG413" s="132"/>
      <c r="CH413" s="143">
        <f t="shared" si="82"/>
        <v>0</v>
      </c>
      <c r="CI413" s="132">
        <f t="shared" si="83"/>
        <v>0</v>
      </c>
      <c r="CJ413" s="143">
        <f t="shared" si="83"/>
        <v>0</v>
      </c>
    </row>
    <row r="414" spans="1:88" x14ac:dyDescent="0.3">
      <c r="A414" s="27"/>
      <c r="B414" s="27"/>
      <c r="C414" s="27"/>
      <c r="D414" s="27"/>
      <c r="E414" s="27"/>
      <c r="F414" s="27"/>
      <c r="G414" s="27"/>
      <c r="H414" s="27"/>
      <c r="I414" s="27"/>
      <c r="J414" s="27"/>
      <c r="K414" s="27"/>
      <c r="L414" s="27"/>
      <c r="N414" s="27"/>
      <c r="O414" s="27"/>
      <c r="P414" s="27"/>
      <c r="Q414" s="117" t="s">
        <v>990</v>
      </c>
      <c r="R414" s="27"/>
      <c r="S414" s="27"/>
      <c r="T414" s="27"/>
      <c r="U414" s="27"/>
      <c r="V414" s="27"/>
      <c r="W414" s="27"/>
      <c r="X414" s="27"/>
      <c r="Y414" s="27"/>
      <c r="AE414" s="27"/>
      <c r="BD414" s="97"/>
      <c r="BE414" s="108"/>
      <c r="BF414" s="108"/>
      <c r="BG414" s="97"/>
      <c r="BH414" s="97"/>
      <c r="BI414" s="97"/>
      <c r="BJ414" s="97"/>
      <c r="BK414" s="110"/>
      <c r="BL414" s="97"/>
      <c r="BM414" s="97"/>
      <c r="BN414" s="97"/>
      <c r="BO414" s="142"/>
      <c r="BP414" s="143">
        <f t="shared" si="73"/>
        <v>0</v>
      </c>
      <c r="BQ414" s="142"/>
      <c r="BR414" s="143">
        <f t="shared" si="74"/>
        <v>0</v>
      </c>
      <c r="BS414" s="132"/>
      <c r="BT414" s="146">
        <f t="shared" si="75"/>
        <v>0</v>
      </c>
      <c r="BU414" s="132"/>
      <c r="BV414" s="143">
        <f t="shared" si="76"/>
        <v>0</v>
      </c>
      <c r="BW414" s="132"/>
      <c r="BX414" s="146">
        <f t="shared" si="77"/>
        <v>0</v>
      </c>
      <c r="BY414" s="132"/>
      <c r="BZ414" s="146">
        <f t="shared" si="78"/>
        <v>0</v>
      </c>
      <c r="CA414" s="132"/>
      <c r="CB414" s="146">
        <f t="shared" si="79"/>
        <v>0</v>
      </c>
      <c r="CC414" s="132"/>
      <c r="CD414" s="143">
        <f t="shared" si="80"/>
        <v>0</v>
      </c>
      <c r="CE414" s="132"/>
      <c r="CF414" s="143">
        <f t="shared" si="81"/>
        <v>0</v>
      </c>
      <c r="CG414" s="132"/>
      <c r="CH414" s="143">
        <f t="shared" si="82"/>
        <v>0</v>
      </c>
      <c r="CI414" s="132">
        <f t="shared" si="83"/>
        <v>0</v>
      </c>
      <c r="CJ414" s="143">
        <f t="shared" si="83"/>
        <v>0</v>
      </c>
    </row>
    <row r="415" spans="1:88" x14ac:dyDescent="0.3">
      <c r="A415" s="27"/>
      <c r="B415" s="27"/>
      <c r="C415" s="27"/>
      <c r="D415" s="27"/>
      <c r="E415" s="27"/>
      <c r="F415" s="27"/>
      <c r="G415" s="27"/>
      <c r="H415" s="27"/>
      <c r="I415" s="27"/>
      <c r="J415" s="27"/>
      <c r="K415" s="27"/>
      <c r="L415" s="27"/>
      <c r="N415" s="27"/>
      <c r="O415" s="27"/>
      <c r="P415" s="27"/>
      <c r="Q415" s="117" t="s">
        <v>991</v>
      </c>
      <c r="R415" s="27"/>
      <c r="S415" s="27"/>
      <c r="T415" s="27"/>
      <c r="U415" s="27"/>
      <c r="V415" s="27"/>
      <c r="W415" s="27"/>
      <c r="X415" s="27"/>
      <c r="Y415" s="27"/>
      <c r="AE415" s="27"/>
      <c r="BD415" s="97"/>
      <c r="BE415" s="108"/>
      <c r="BF415" s="108"/>
      <c r="BG415" s="97"/>
      <c r="BH415" s="97"/>
      <c r="BI415" s="97"/>
      <c r="BJ415" s="97"/>
      <c r="BK415" s="110"/>
      <c r="BL415" s="97"/>
      <c r="BM415" s="97"/>
      <c r="BN415" s="97"/>
      <c r="BO415" s="142"/>
      <c r="BP415" s="143">
        <f t="shared" si="73"/>
        <v>0</v>
      </c>
      <c r="BQ415" s="142"/>
      <c r="BR415" s="143">
        <f t="shared" si="74"/>
        <v>0</v>
      </c>
      <c r="BS415" s="132"/>
      <c r="BT415" s="146">
        <f t="shared" si="75"/>
        <v>0</v>
      </c>
      <c r="BU415" s="132"/>
      <c r="BV415" s="143">
        <f t="shared" si="76"/>
        <v>0</v>
      </c>
      <c r="BW415" s="132"/>
      <c r="BX415" s="146">
        <f t="shared" si="77"/>
        <v>0</v>
      </c>
      <c r="BY415" s="132"/>
      <c r="BZ415" s="146">
        <f t="shared" si="78"/>
        <v>0</v>
      </c>
      <c r="CA415" s="132"/>
      <c r="CB415" s="146">
        <f t="shared" si="79"/>
        <v>0</v>
      </c>
      <c r="CC415" s="132"/>
      <c r="CD415" s="143">
        <f t="shared" si="80"/>
        <v>0</v>
      </c>
      <c r="CE415" s="132"/>
      <c r="CF415" s="143">
        <f t="shared" si="81"/>
        <v>0</v>
      </c>
      <c r="CG415" s="132"/>
      <c r="CH415" s="143">
        <f t="shared" si="82"/>
        <v>0</v>
      </c>
      <c r="CI415" s="132">
        <f t="shared" si="83"/>
        <v>0</v>
      </c>
      <c r="CJ415" s="143">
        <f t="shared" si="83"/>
        <v>0</v>
      </c>
    </row>
    <row r="416" spans="1:88" x14ac:dyDescent="0.3">
      <c r="A416" s="27"/>
      <c r="B416" s="27"/>
      <c r="C416" s="27"/>
      <c r="D416" s="27"/>
      <c r="E416" s="27"/>
      <c r="F416" s="27"/>
      <c r="G416" s="27"/>
      <c r="H416" s="27"/>
      <c r="I416" s="27"/>
      <c r="J416" s="27"/>
      <c r="K416" s="27"/>
      <c r="L416" s="27"/>
      <c r="N416" s="27"/>
      <c r="O416" s="27"/>
      <c r="P416" s="27"/>
      <c r="Q416" s="117" t="s">
        <v>992</v>
      </c>
      <c r="R416" s="27"/>
      <c r="S416" s="27"/>
      <c r="T416" s="27"/>
      <c r="U416" s="27"/>
      <c r="V416" s="27"/>
      <c r="W416" s="27"/>
      <c r="X416" s="27"/>
      <c r="Y416" s="27"/>
      <c r="AE416" s="27"/>
      <c r="BD416" s="97"/>
      <c r="BE416" s="108"/>
      <c r="BF416" s="108"/>
      <c r="BG416" s="97"/>
      <c r="BH416" s="97"/>
      <c r="BI416" s="97"/>
      <c r="BJ416" s="97"/>
      <c r="BK416" s="110"/>
      <c r="BL416" s="97"/>
      <c r="BM416" s="97"/>
      <c r="BN416" s="97"/>
      <c r="BO416" s="142"/>
      <c r="BP416" s="143">
        <f t="shared" si="73"/>
        <v>0</v>
      </c>
      <c r="BQ416" s="142"/>
      <c r="BR416" s="143">
        <f t="shared" si="74"/>
        <v>0</v>
      </c>
      <c r="BS416" s="132"/>
      <c r="BT416" s="146">
        <f t="shared" si="75"/>
        <v>0</v>
      </c>
      <c r="BU416" s="132"/>
      <c r="BV416" s="143">
        <f t="shared" si="76"/>
        <v>0</v>
      </c>
      <c r="BW416" s="132"/>
      <c r="BX416" s="146">
        <f t="shared" si="77"/>
        <v>0</v>
      </c>
      <c r="BY416" s="132"/>
      <c r="BZ416" s="146">
        <f t="shared" si="78"/>
        <v>0</v>
      </c>
      <c r="CA416" s="132"/>
      <c r="CB416" s="146">
        <f t="shared" si="79"/>
        <v>0</v>
      </c>
      <c r="CC416" s="132"/>
      <c r="CD416" s="143">
        <f t="shared" si="80"/>
        <v>0</v>
      </c>
      <c r="CE416" s="132"/>
      <c r="CF416" s="143">
        <f t="shared" si="81"/>
        <v>0</v>
      </c>
      <c r="CG416" s="132"/>
      <c r="CH416" s="143">
        <f t="shared" si="82"/>
        <v>0</v>
      </c>
      <c r="CI416" s="132">
        <f t="shared" si="83"/>
        <v>0</v>
      </c>
      <c r="CJ416" s="143">
        <f t="shared" si="83"/>
        <v>0</v>
      </c>
    </row>
    <row r="417" spans="1:88" x14ac:dyDescent="0.3">
      <c r="A417" s="27"/>
      <c r="B417" s="27"/>
      <c r="C417" s="27"/>
      <c r="D417" s="27"/>
      <c r="E417" s="27"/>
      <c r="F417" s="27"/>
      <c r="G417" s="27"/>
      <c r="H417" s="27"/>
      <c r="I417" s="27"/>
      <c r="J417" s="27"/>
      <c r="K417" s="27"/>
      <c r="L417" s="27"/>
      <c r="N417" s="27"/>
      <c r="O417" s="27"/>
      <c r="P417" s="27"/>
      <c r="Q417" s="117" t="s">
        <v>993</v>
      </c>
      <c r="R417" s="27"/>
      <c r="S417" s="27"/>
      <c r="T417" s="27"/>
      <c r="U417" s="27"/>
      <c r="V417" s="27"/>
      <c r="W417" s="27"/>
      <c r="X417" s="27"/>
      <c r="Y417" s="27"/>
      <c r="AE417" s="27"/>
      <c r="BD417" s="97"/>
      <c r="BE417" s="108"/>
      <c r="BF417" s="108"/>
      <c r="BG417" s="97"/>
      <c r="BH417" s="97"/>
      <c r="BI417" s="97"/>
      <c r="BJ417" s="97"/>
      <c r="BK417" s="110"/>
      <c r="BL417" s="97"/>
      <c r="BM417" s="97"/>
      <c r="BN417" s="97"/>
      <c r="BO417" s="142"/>
      <c r="BP417" s="143">
        <f t="shared" si="73"/>
        <v>0</v>
      </c>
      <c r="BQ417" s="142"/>
      <c r="BR417" s="143">
        <f t="shared" si="74"/>
        <v>0</v>
      </c>
      <c r="BS417" s="132"/>
      <c r="BT417" s="146">
        <f t="shared" si="75"/>
        <v>0</v>
      </c>
      <c r="BU417" s="132"/>
      <c r="BV417" s="143">
        <f t="shared" si="76"/>
        <v>0</v>
      </c>
      <c r="BW417" s="132"/>
      <c r="BX417" s="146">
        <f t="shared" si="77"/>
        <v>0</v>
      </c>
      <c r="BY417" s="132"/>
      <c r="BZ417" s="146">
        <f t="shared" si="78"/>
        <v>0</v>
      </c>
      <c r="CA417" s="132"/>
      <c r="CB417" s="146">
        <f t="shared" si="79"/>
        <v>0</v>
      </c>
      <c r="CC417" s="132"/>
      <c r="CD417" s="143">
        <f t="shared" si="80"/>
        <v>0</v>
      </c>
      <c r="CE417" s="132"/>
      <c r="CF417" s="143">
        <f t="shared" si="81"/>
        <v>0</v>
      </c>
      <c r="CG417" s="132"/>
      <c r="CH417" s="143">
        <f t="shared" si="82"/>
        <v>0</v>
      </c>
      <c r="CI417" s="132">
        <f t="shared" si="83"/>
        <v>0</v>
      </c>
      <c r="CJ417" s="143">
        <f t="shared" si="83"/>
        <v>0</v>
      </c>
    </row>
    <row r="418" spans="1:88" x14ac:dyDescent="0.3">
      <c r="A418" s="27"/>
      <c r="B418" s="27"/>
      <c r="C418" s="27"/>
      <c r="D418" s="27"/>
      <c r="E418" s="27"/>
      <c r="F418" s="27"/>
      <c r="G418" s="27"/>
      <c r="H418" s="27"/>
      <c r="I418" s="27"/>
      <c r="J418" s="27"/>
      <c r="K418" s="27"/>
      <c r="L418" s="27"/>
      <c r="N418" s="27"/>
      <c r="O418" s="27"/>
      <c r="P418" s="27"/>
      <c r="Q418" s="117" t="s">
        <v>994</v>
      </c>
      <c r="R418" s="27"/>
      <c r="S418" s="27"/>
      <c r="T418" s="27"/>
      <c r="U418" s="27"/>
      <c r="V418" s="27"/>
      <c r="W418" s="27"/>
      <c r="X418" s="27"/>
      <c r="Y418" s="27"/>
      <c r="AE418" s="27"/>
      <c r="BD418" s="97"/>
      <c r="BE418" s="108"/>
      <c r="BF418" s="108"/>
      <c r="BG418" s="97"/>
      <c r="BH418" s="97"/>
      <c r="BI418" s="97"/>
      <c r="BJ418" s="97"/>
      <c r="BK418" s="110"/>
      <c r="BL418" s="97"/>
      <c r="BM418" s="97"/>
      <c r="BN418" s="97"/>
      <c r="BO418" s="142"/>
      <c r="BP418" s="143">
        <f t="shared" si="73"/>
        <v>0</v>
      </c>
      <c r="BQ418" s="142"/>
      <c r="BR418" s="143">
        <f t="shared" si="74"/>
        <v>0</v>
      </c>
      <c r="BS418" s="132"/>
      <c r="BT418" s="146">
        <f t="shared" si="75"/>
        <v>0</v>
      </c>
      <c r="BU418" s="132"/>
      <c r="BV418" s="143">
        <f t="shared" si="76"/>
        <v>0</v>
      </c>
      <c r="BW418" s="132"/>
      <c r="BX418" s="146">
        <f t="shared" si="77"/>
        <v>0</v>
      </c>
      <c r="BY418" s="132"/>
      <c r="BZ418" s="146">
        <f t="shared" si="78"/>
        <v>0</v>
      </c>
      <c r="CA418" s="132"/>
      <c r="CB418" s="146">
        <f t="shared" si="79"/>
        <v>0</v>
      </c>
      <c r="CC418" s="132"/>
      <c r="CD418" s="143">
        <f t="shared" si="80"/>
        <v>0</v>
      </c>
      <c r="CE418" s="132"/>
      <c r="CF418" s="143">
        <f t="shared" si="81"/>
        <v>0</v>
      </c>
      <c r="CG418" s="132"/>
      <c r="CH418" s="143">
        <f t="shared" si="82"/>
        <v>0</v>
      </c>
      <c r="CI418" s="132">
        <f t="shared" si="83"/>
        <v>0</v>
      </c>
      <c r="CJ418" s="143">
        <f t="shared" si="83"/>
        <v>0</v>
      </c>
    </row>
    <row r="419" spans="1:88" x14ac:dyDescent="0.3">
      <c r="A419" s="27"/>
      <c r="B419" s="27"/>
      <c r="C419" s="27"/>
      <c r="D419" s="27"/>
      <c r="E419" s="27"/>
      <c r="F419" s="27"/>
      <c r="G419" s="27"/>
      <c r="H419" s="27"/>
      <c r="I419" s="27"/>
      <c r="J419" s="27"/>
      <c r="K419" s="27"/>
      <c r="L419" s="27"/>
      <c r="N419" s="27"/>
      <c r="O419" s="27"/>
      <c r="P419" s="27"/>
      <c r="Q419" s="117" t="s">
        <v>995</v>
      </c>
      <c r="R419" s="27"/>
      <c r="S419" s="27"/>
      <c r="T419" s="27"/>
      <c r="U419" s="27"/>
      <c r="V419" s="27"/>
      <c r="W419" s="27"/>
      <c r="X419" s="27"/>
      <c r="Y419" s="27"/>
      <c r="AE419" s="27"/>
      <c r="BD419" s="97"/>
      <c r="BE419" s="108"/>
      <c r="BF419" s="108"/>
      <c r="BG419" s="97"/>
      <c r="BH419" s="97"/>
      <c r="BI419" s="97"/>
      <c r="BJ419" s="97"/>
      <c r="BK419" s="110"/>
      <c r="BL419" s="97"/>
      <c r="BM419" s="97"/>
      <c r="BN419" s="97"/>
      <c r="BO419" s="142"/>
      <c r="BP419" s="143">
        <f t="shared" si="73"/>
        <v>0</v>
      </c>
      <c r="BQ419" s="142"/>
      <c r="BR419" s="143">
        <f t="shared" si="74"/>
        <v>0</v>
      </c>
      <c r="BS419" s="132"/>
      <c r="BT419" s="146">
        <f t="shared" si="75"/>
        <v>0</v>
      </c>
      <c r="BU419" s="132"/>
      <c r="BV419" s="143">
        <f t="shared" si="76"/>
        <v>0</v>
      </c>
      <c r="BW419" s="132"/>
      <c r="BX419" s="146">
        <f t="shared" si="77"/>
        <v>0</v>
      </c>
      <c r="BY419" s="132"/>
      <c r="BZ419" s="146">
        <f t="shared" si="78"/>
        <v>0</v>
      </c>
      <c r="CA419" s="132"/>
      <c r="CB419" s="146">
        <f t="shared" si="79"/>
        <v>0</v>
      </c>
      <c r="CC419" s="132"/>
      <c r="CD419" s="143">
        <f t="shared" si="80"/>
        <v>0</v>
      </c>
      <c r="CE419" s="132"/>
      <c r="CF419" s="143">
        <f t="shared" si="81"/>
        <v>0</v>
      </c>
      <c r="CG419" s="132"/>
      <c r="CH419" s="143">
        <f t="shared" si="82"/>
        <v>0</v>
      </c>
      <c r="CI419" s="132">
        <f t="shared" si="83"/>
        <v>0</v>
      </c>
      <c r="CJ419" s="143">
        <f t="shared" si="83"/>
        <v>0</v>
      </c>
    </row>
    <row r="420" spans="1:88" x14ac:dyDescent="0.3">
      <c r="A420" s="27"/>
      <c r="B420" s="27"/>
      <c r="C420" s="27"/>
      <c r="D420" s="27"/>
      <c r="E420" s="27"/>
      <c r="F420" s="27"/>
      <c r="G420" s="27"/>
      <c r="H420" s="27"/>
      <c r="I420" s="27"/>
      <c r="J420" s="27"/>
      <c r="K420" s="27"/>
      <c r="L420" s="27"/>
      <c r="N420" s="27"/>
      <c r="O420" s="27"/>
      <c r="P420" s="27"/>
      <c r="Q420" s="117" t="s">
        <v>996</v>
      </c>
      <c r="R420" s="27"/>
      <c r="S420" s="27"/>
      <c r="T420" s="27"/>
      <c r="U420" s="27"/>
      <c r="V420" s="27"/>
      <c r="W420" s="27"/>
      <c r="X420" s="27"/>
      <c r="Y420" s="27"/>
      <c r="AE420" s="27"/>
      <c r="BD420" s="97"/>
      <c r="BE420" s="108"/>
      <c r="BF420" s="108"/>
      <c r="BG420" s="97"/>
      <c r="BH420" s="97"/>
      <c r="BI420" s="97"/>
      <c r="BJ420" s="97"/>
      <c r="BK420" s="110"/>
      <c r="BL420" s="97"/>
      <c r="BM420" s="97"/>
      <c r="BN420" s="97"/>
      <c r="BO420" s="142"/>
      <c r="BP420" s="143">
        <f t="shared" si="73"/>
        <v>0</v>
      </c>
      <c r="BQ420" s="142"/>
      <c r="BR420" s="143">
        <f t="shared" si="74"/>
        <v>0</v>
      </c>
      <c r="BS420" s="132"/>
      <c r="BT420" s="146">
        <f t="shared" si="75"/>
        <v>0</v>
      </c>
      <c r="BU420" s="132"/>
      <c r="BV420" s="143">
        <f t="shared" si="76"/>
        <v>0</v>
      </c>
      <c r="BW420" s="132"/>
      <c r="BX420" s="146">
        <f t="shared" si="77"/>
        <v>0</v>
      </c>
      <c r="BY420" s="132"/>
      <c r="BZ420" s="146">
        <f t="shared" si="78"/>
        <v>0</v>
      </c>
      <c r="CA420" s="132"/>
      <c r="CB420" s="146">
        <f t="shared" si="79"/>
        <v>0</v>
      </c>
      <c r="CC420" s="132"/>
      <c r="CD420" s="143">
        <f t="shared" si="80"/>
        <v>0</v>
      </c>
      <c r="CE420" s="132"/>
      <c r="CF420" s="143">
        <f t="shared" si="81"/>
        <v>0</v>
      </c>
      <c r="CG420" s="132"/>
      <c r="CH420" s="143">
        <f t="shared" si="82"/>
        <v>0</v>
      </c>
      <c r="CI420" s="132">
        <f t="shared" si="83"/>
        <v>0</v>
      </c>
      <c r="CJ420" s="143">
        <f t="shared" si="83"/>
        <v>0</v>
      </c>
    </row>
    <row r="421" spans="1:88" x14ac:dyDescent="0.3">
      <c r="A421" s="27"/>
      <c r="B421" s="27"/>
      <c r="C421" s="27"/>
      <c r="D421" s="27"/>
      <c r="E421" s="27"/>
      <c r="F421" s="27"/>
      <c r="G421" s="27"/>
      <c r="H421" s="27"/>
      <c r="I421" s="27"/>
      <c r="J421" s="27"/>
      <c r="K421" s="27"/>
      <c r="L421" s="27"/>
      <c r="N421" s="27"/>
      <c r="O421" s="27"/>
      <c r="P421" s="27"/>
      <c r="Q421" s="117" t="s">
        <v>997</v>
      </c>
      <c r="R421" s="27"/>
      <c r="S421" s="27"/>
      <c r="T421" s="27"/>
      <c r="U421" s="27"/>
      <c r="V421" s="27"/>
      <c r="W421" s="27"/>
      <c r="X421" s="27"/>
      <c r="Y421" s="27"/>
      <c r="AE421" s="27"/>
      <c r="BD421" s="97"/>
      <c r="BE421" s="108"/>
      <c r="BF421" s="108"/>
      <c r="BG421" s="97"/>
      <c r="BH421" s="97"/>
      <c r="BI421" s="97"/>
      <c r="BJ421" s="97"/>
      <c r="BK421" s="110"/>
      <c r="BL421" s="97"/>
      <c r="BM421" s="97"/>
      <c r="BN421" s="97"/>
      <c r="BO421" s="142"/>
      <c r="BP421" s="143">
        <f t="shared" si="73"/>
        <v>0</v>
      </c>
      <c r="BQ421" s="142"/>
      <c r="BR421" s="143">
        <f t="shared" si="74"/>
        <v>0</v>
      </c>
      <c r="BS421" s="132"/>
      <c r="BT421" s="146">
        <f t="shared" si="75"/>
        <v>0</v>
      </c>
      <c r="BU421" s="132"/>
      <c r="BV421" s="143">
        <f t="shared" si="76"/>
        <v>0</v>
      </c>
      <c r="BW421" s="132"/>
      <c r="BX421" s="146">
        <f t="shared" si="77"/>
        <v>0</v>
      </c>
      <c r="BY421" s="132"/>
      <c r="BZ421" s="146">
        <f t="shared" si="78"/>
        <v>0</v>
      </c>
      <c r="CA421" s="132"/>
      <c r="CB421" s="146">
        <f t="shared" si="79"/>
        <v>0</v>
      </c>
      <c r="CC421" s="132"/>
      <c r="CD421" s="143">
        <f t="shared" si="80"/>
        <v>0</v>
      </c>
      <c r="CE421" s="132"/>
      <c r="CF421" s="143">
        <f t="shared" si="81"/>
        <v>0</v>
      </c>
      <c r="CG421" s="132"/>
      <c r="CH421" s="143">
        <f t="shared" si="82"/>
        <v>0</v>
      </c>
      <c r="CI421" s="132">
        <f t="shared" si="83"/>
        <v>0</v>
      </c>
      <c r="CJ421" s="143">
        <f t="shared" si="83"/>
        <v>0</v>
      </c>
    </row>
    <row r="422" spans="1:88" x14ac:dyDescent="0.3">
      <c r="A422" s="27"/>
      <c r="B422" s="27"/>
      <c r="C422" s="27"/>
      <c r="D422" s="27"/>
      <c r="E422" s="27"/>
      <c r="F422" s="27"/>
      <c r="G422" s="27"/>
      <c r="H422" s="27"/>
      <c r="I422" s="27"/>
      <c r="J422" s="27"/>
      <c r="K422" s="27"/>
      <c r="L422" s="27"/>
      <c r="N422" s="27"/>
      <c r="O422" s="27"/>
      <c r="P422" s="27"/>
      <c r="Q422" s="117" t="s">
        <v>998</v>
      </c>
      <c r="R422" s="27"/>
      <c r="S422" s="27"/>
      <c r="T422" s="27"/>
      <c r="U422" s="27"/>
      <c r="V422" s="27"/>
      <c r="W422" s="27"/>
      <c r="X422" s="27"/>
      <c r="Y422" s="27"/>
      <c r="AE422" s="27"/>
      <c r="BD422" s="97"/>
      <c r="BE422" s="108"/>
      <c r="BF422" s="108"/>
      <c r="BG422" s="97"/>
      <c r="BH422" s="97"/>
      <c r="BI422" s="97"/>
      <c r="BJ422" s="97"/>
      <c r="BK422" s="110"/>
      <c r="BL422" s="97"/>
      <c r="BM422" s="97"/>
      <c r="BN422" s="97"/>
      <c r="BO422" s="142"/>
      <c r="BP422" s="143">
        <f t="shared" si="73"/>
        <v>0</v>
      </c>
      <c r="BQ422" s="142"/>
      <c r="BR422" s="143">
        <f t="shared" si="74"/>
        <v>0</v>
      </c>
      <c r="BS422" s="132"/>
      <c r="BT422" s="146">
        <f t="shared" si="75"/>
        <v>0</v>
      </c>
      <c r="BU422" s="132"/>
      <c r="BV422" s="143">
        <f t="shared" si="76"/>
        <v>0</v>
      </c>
      <c r="BW422" s="132"/>
      <c r="BX422" s="146">
        <f t="shared" si="77"/>
        <v>0</v>
      </c>
      <c r="BY422" s="132"/>
      <c r="BZ422" s="146">
        <f t="shared" si="78"/>
        <v>0</v>
      </c>
      <c r="CA422" s="132"/>
      <c r="CB422" s="146">
        <f t="shared" si="79"/>
        <v>0</v>
      </c>
      <c r="CC422" s="132"/>
      <c r="CD422" s="143">
        <f t="shared" si="80"/>
        <v>0</v>
      </c>
      <c r="CE422" s="132"/>
      <c r="CF422" s="143">
        <f t="shared" si="81"/>
        <v>0</v>
      </c>
      <c r="CG422" s="132"/>
      <c r="CH422" s="143">
        <f t="shared" si="82"/>
        <v>0</v>
      </c>
      <c r="CI422" s="132">
        <f t="shared" si="83"/>
        <v>0</v>
      </c>
      <c r="CJ422" s="143">
        <f t="shared" si="83"/>
        <v>0</v>
      </c>
    </row>
    <row r="423" spans="1:88" x14ac:dyDescent="0.3">
      <c r="A423" s="27"/>
      <c r="B423" s="27"/>
      <c r="C423" s="27"/>
      <c r="D423" s="27"/>
      <c r="E423" s="27"/>
      <c r="F423" s="27"/>
      <c r="G423" s="27"/>
      <c r="H423" s="27"/>
      <c r="I423" s="27"/>
      <c r="J423" s="27"/>
      <c r="K423" s="27"/>
      <c r="L423" s="27"/>
      <c r="N423" s="27"/>
      <c r="O423" s="27"/>
      <c r="P423" s="27"/>
      <c r="Q423" s="117" t="s">
        <v>999</v>
      </c>
      <c r="R423" s="27"/>
      <c r="S423" s="27"/>
      <c r="T423" s="27"/>
      <c r="U423" s="27"/>
      <c r="V423" s="27"/>
      <c r="W423" s="27"/>
      <c r="X423" s="27"/>
      <c r="Y423" s="27"/>
      <c r="AE423" s="27"/>
      <c r="BD423" s="97"/>
      <c r="BE423" s="108"/>
      <c r="BF423" s="108"/>
      <c r="BG423" s="97"/>
      <c r="BH423" s="97"/>
      <c r="BI423" s="97"/>
      <c r="BJ423" s="97"/>
      <c r="BK423" s="110"/>
      <c r="BL423" s="97"/>
      <c r="BM423" s="97"/>
      <c r="BN423" s="97"/>
      <c r="BO423" s="142"/>
      <c r="BP423" s="143">
        <f t="shared" si="73"/>
        <v>0</v>
      </c>
      <c r="BQ423" s="142"/>
      <c r="BR423" s="143">
        <f t="shared" si="74"/>
        <v>0</v>
      </c>
      <c r="BS423" s="132"/>
      <c r="BT423" s="146">
        <f t="shared" si="75"/>
        <v>0</v>
      </c>
      <c r="BU423" s="132"/>
      <c r="BV423" s="143">
        <f t="shared" si="76"/>
        <v>0</v>
      </c>
      <c r="BW423" s="132"/>
      <c r="BX423" s="146">
        <f t="shared" si="77"/>
        <v>0</v>
      </c>
      <c r="BY423" s="132"/>
      <c r="BZ423" s="146">
        <f t="shared" si="78"/>
        <v>0</v>
      </c>
      <c r="CA423" s="132"/>
      <c r="CB423" s="146">
        <f t="shared" si="79"/>
        <v>0</v>
      </c>
      <c r="CC423" s="132"/>
      <c r="CD423" s="143">
        <f t="shared" si="80"/>
        <v>0</v>
      </c>
      <c r="CE423" s="132"/>
      <c r="CF423" s="143">
        <f t="shared" si="81"/>
        <v>0</v>
      </c>
      <c r="CG423" s="132"/>
      <c r="CH423" s="143">
        <f t="shared" si="82"/>
        <v>0</v>
      </c>
      <c r="CI423" s="132">
        <f t="shared" si="83"/>
        <v>0</v>
      </c>
      <c r="CJ423" s="143">
        <f t="shared" si="83"/>
        <v>0</v>
      </c>
    </row>
    <row r="424" spans="1:88" x14ac:dyDescent="0.3">
      <c r="A424" s="27"/>
      <c r="B424" s="27"/>
      <c r="C424" s="27"/>
      <c r="D424" s="27"/>
      <c r="E424" s="27"/>
      <c r="F424" s="27"/>
      <c r="G424" s="27"/>
      <c r="H424" s="27"/>
      <c r="I424" s="27"/>
      <c r="J424" s="27"/>
      <c r="K424" s="27"/>
      <c r="L424" s="27"/>
      <c r="N424" s="27"/>
      <c r="O424" s="27"/>
      <c r="P424" s="27"/>
      <c r="Q424" s="117" t="s">
        <v>1000</v>
      </c>
      <c r="R424" s="27"/>
      <c r="S424" s="27"/>
      <c r="T424" s="27"/>
      <c r="U424" s="27"/>
      <c r="V424" s="27"/>
      <c r="W424" s="27"/>
      <c r="X424" s="27"/>
      <c r="Y424" s="27"/>
      <c r="AE424" s="27"/>
      <c r="BD424" s="97"/>
      <c r="BE424" s="108"/>
      <c r="BF424" s="108"/>
      <c r="BG424" s="97"/>
      <c r="BH424" s="97"/>
      <c r="BI424" s="97"/>
      <c r="BJ424" s="97"/>
      <c r="BK424" s="110"/>
      <c r="BL424" s="97"/>
      <c r="BM424" s="97"/>
      <c r="BN424" s="97"/>
      <c r="BO424" s="142"/>
      <c r="BP424" s="143">
        <f t="shared" si="73"/>
        <v>0</v>
      </c>
      <c r="BQ424" s="142"/>
      <c r="BR424" s="143">
        <f t="shared" si="74"/>
        <v>0</v>
      </c>
      <c r="BS424" s="132"/>
      <c r="BT424" s="146">
        <f t="shared" si="75"/>
        <v>0</v>
      </c>
      <c r="BU424" s="132"/>
      <c r="BV424" s="143">
        <f t="shared" si="76"/>
        <v>0</v>
      </c>
      <c r="BW424" s="132"/>
      <c r="BX424" s="146">
        <f t="shared" si="77"/>
        <v>0</v>
      </c>
      <c r="BY424" s="132"/>
      <c r="BZ424" s="146">
        <f t="shared" si="78"/>
        <v>0</v>
      </c>
      <c r="CA424" s="132"/>
      <c r="CB424" s="146">
        <f t="shared" si="79"/>
        <v>0</v>
      </c>
      <c r="CC424" s="132"/>
      <c r="CD424" s="143">
        <f t="shared" si="80"/>
        <v>0</v>
      </c>
      <c r="CE424" s="132"/>
      <c r="CF424" s="143">
        <f t="shared" si="81"/>
        <v>0</v>
      </c>
      <c r="CG424" s="132"/>
      <c r="CH424" s="143">
        <f t="shared" si="82"/>
        <v>0</v>
      </c>
      <c r="CI424" s="132">
        <f t="shared" si="83"/>
        <v>0</v>
      </c>
      <c r="CJ424" s="143">
        <f t="shared" si="83"/>
        <v>0</v>
      </c>
    </row>
    <row r="425" spans="1:88" x14ac:dyDescent="0.3">
      <c r="A425" s="27"/>
      <c r="B425" s="27"/>
      <c r="C425" s="27"/>
      <c r="D425" s="27"/>
      <c r="E425" s="27"/>
      <c r="F425" s="27"/>
      <c r="G425" s="27"/>
      <c r="H425" s="27"/>
      <c r="I425" s="27"/>
      <c r="J425" s="27"/>
      <c r="K425" s="27"/>
      <c r="L425" s="27"/>
      <c r="N425" s="27"/>
      <c r="O425" s="27"/>
      <c r="P425" s="27"/>
      <c r="Q425" s="117" t="s">
        <v>1001</v>
      </c>
      <c r="R425" s="27"/>
      <c r="S425" s="27"/>
      <c r="T425" s="27"/>
      <c r="U425" s="27"/>
      <c r="V425" s="27"/>
      <c r="W425" s="27"/>
      <c r="X425" s="27"/>
      <c r="Y425" s="27"/>
      <c r="AE425" s="27"/>
      <c r="BD425" s="97"/>
      <c r="BE425" s="108"/>
      <c r="BF425" s="108"/>
      <c r="BG425" s="97"/>
      <c r="BH425" s="97"/>
      <c r="BI425" s="97"/>
      <c r="BJ425" s="97"/>
      <c r="BK425" s="110"/>
      <c r="BL425" s="97"/>
      <c r="BM425" s="97"/>
      <c r="BN425" s="97"/>
      <c r="BO425" s="142"/>
      <c r="BP425" s="143">
        <f t="shared" si="73"/>
        <v>0</v>
      </c>
      <c r="BQ425" s="142"/>
      <c r="BR425" s="143">
        <f t="shared" si="74"/>
        <v>0</v>
      </c>
      <c r="BS425" s="132"/>
      <c r="BT425" s="146">
        <f t="shared" si="75"/>
        <v>0</v>
      </c>
      <c r="BU425" s="132"/>
      <c r="BV425" s="143">
        <f t="shared" si="76"/>
        <v>0</v>
      </c>
      <c r="BW425" s="132"/>
      <c r="BX425" s="146">
        <f t="shared" si="77"/>
        <v>0</v>
      </c>
      <c r="BY425" s="132"/>
      <c r="BZ425" s="146">
        <f t="shared" si="78"/>
        <v>0</v>
      </c>
      <c r="CA425" s="132"/>
      <c r="CB425" s="146">
        <f t="shared" si="79"/>
        <v>0</v>
      </c>
      <c r="CC425" s="132"/>
      <c r="CD425" s="143">
        <f t="shared" si="80"/>
        <v>0</v>
      </c>
      <c r="CE425" s="132"/>
      <c r="CF425" s="143">
        <f t="shared" si="81"/>
        <v>0</v>
      </c>
      <c r="CG425" s="132"/>
      <c r="CH425" s="143">
        <f t="shared" si="82"/>
        <v>0</v>
      </c>
      <c r="CI425" s="132">
        <f t="shared" si="83"/>
        <v>0</v>
      </c>
      <c r="CJ425" s="143">
        <f t="shared" si="83"/>
        <v>0</v>
      </c>
    </row>
    <row r="426" spans="1:88" x14ac:dyDescent="0.3">
      <c r="A426" s="27"/>
      <c r="B426" s="27"/>
      <c r="C426" s="27"/>
      <c r="D426" s="27"/>
      <c r="E426" s="27"/>
      <c r="F426" s="27"/>
      <c r="G426" s="27"/>
      <c r="H426" s="27"/>
      <c r="I426" s="27"/>
      <c r="J426" s="27"/>
      <c r="K426" s="27"/>
      <c r="L426" s="27"/>
      <c r="N426" s="27"/>
      <c r="O426" s="27"/>
      <c r="P426" s="27"/>
      <c r="Q426" s="117" t="s">
        <v>1002</v>
      </c>
      <c r="R426" s="27"/>
      <c r="S426" s="27"/>
      <c r="T426" s="27"/>
      <c r="U426" s="27"/>
      <c r="V426" s="27"/>
      <c r="W426" s="27"/>
      <c r="X426" s="27"/>
      <c r="Y426" s="27"/>
      <c r="AE426" s="27"/>
      <c r="BD426" s="97"/>
      <c r="BE426" s="108"/>
      <c r="BF426" s="108"/>
      <c r="BG426" s="97"/>
      <c r="BH426" s="97"/>
      <c r="BI426" s="97"/>
      <c r="BJ426" s="97"/>
      <c r="BK426" s="110"/>
      <c r="BL426" s="97"/>
      <c r="BM426" s="97"/>
      <c r="BN426" s="97"/>
      <c r="BO426" s="142"/>
      <c r="BP426" s="143">
        <f t="shared" si="73"/>
        <v>0</v>
      </c>
      <c r="BQ426" s="142"/>
      <c r="BR426" s="143">
        <f t="shared" si="74"/>
        <v>0</v>
      </c>
      <c r="BS426" s="132"/>
      <c r="BT426" s="146">
        <f t="shared" si="75"/>
        <v>0</v>
      </c>
      <c r="BU426" s="132"/>
      <c r="BV426" s="143">
        <f t="shared" si="76"/>
        <v>0</v>
      </c>
      <c r="BW426" s="132"/>
      <c r="BX426" s="146">
        <f t="shared" si="77"/>
        <v>0</v>
      </c>
      <c r="BY426" s="132"/>
      <c r="BZ426" s="146">
        <f t="shared" si="78"/>
        <v>0</v>
      </c>
      <c r="CA426" s="132"/>
      <c r="CB426" s="146">
        <f t="shared" si="79"/>
        <v>0</v>
      </c>
      <c r="CC426" s="132"/>
      <c r="CD426" s="143">
        <f t="shared" si="80"/>
        <v>0</v>
      </c>
      <c r="CE426" s="132"/>
      <c r="CF426" s="143">
        <f t="shared" si="81"/>
        <v>0</v>
      </c>
      <c r="CG426" s="132"/>
      <c r="CH426" s="143">
        <f t="shared" si="82"/>
        <v>0</v>
      </c>
      <c r="CI426" s="132">
        <f t="shared" si="83"/>
        <v>0</v>
      </c>
      <c r="CJ426" s="143">
        <f t="shared" si="83"/>
        <v>0</v>
      </c>
    </row>
    <row r="427" spans="1:88" x14ac:dyDescent="0.3">
      <c r="A427" s="27"/>
      <c r="B427" s="27"/>
      <c r="C427" s="27"/>
      <c r="D427" s="27"/>
      <c r="E427" s="27"/>
      <c r="F427" s="27"/>
      <c r="G427" s="27"/>
      <c r="H427" s="27"/>
      <c r="I427" s="27"/>
      <c r="J427" s="27"/>
      <c r="K427" s="27"/>
      <c r="L427" s="27"/>
      <c r="N427" s="27"/>
      <c r="O427" s="27"/>
      <c r="P427" s="27"/>
      <c r="Q427" s="117" t="s">
        <v>1003</v>
      </c>
      <c r="R427" s="27"/>
      <c r="S427" s="27"/>
      <c r="T427" s="27"/>
      <c r="U427" s="27"/>
      <c r="V427" s="27"/>
      <c r="W427" s="27"/>
      <c r="X427" s="27"/>
      <c r="Y427" s="27"/>
      <c r="AE427" s="27"/>
      <c r="BD427" s="97"/>
      <c r="BE427" s="108"/>
      <c r="BF427" s="108"/>
      <c r="BG427" s="97"/>
      <c r="BH427" s="97"/>
      <c r="BI427" s="97"/>
      <c r="BJ427" s="97"/>
      <c r="BK427" s="110"/>
      <c r="BL427" s="97"/>
      <c r="BM427" s="97"/>
      <c r="BN427" s="97"/>
      <c r="BO427" s="142"/>
      <c r="BP427" s="143">
        <f t="shared" si="73"/>
        <v>0</v>
      </c>
      <c r="BQ427" s="142"/>
      <c r="BR427" s="143">
        <f t="shared" si="74"/>
        <v>0</v>
      </c>
      <c r="BS427" s="132"/>
      <c r="BT427" s="146">
        <f t="shared" si="75"/>
        <v>0</v>
      </c>
      <c r="BU427" s="132"/>
      <c r="BV427" s="143">
        <f t="shared" si="76"/>
        <v>0</v>
      </c>
      <c r="BW427" s="132"/>
      <c r="BX427" s="146">
        <f t="shared" si="77"/>
        <v>0</v>
      </c>
      <c r="BY427" s="132"/>
      <c r="BZ427" s="146">
        <f t="shared" si="78"/>
        <v>0</v>
      </c>
      <c r="CA427" s="132"/>
      <c r="CB427" s="146">
        <f t="shared" si="79"/>
        <v>0</v>
      </c>
      <c r="CC427" s="132"/>
      <c r="CD427" s="143">
        <f t="shared" si="80"/>
        <v>0</v>
      </c>
      <c r="CE427" s="132"/>
      <c r="CF427" s="143">
        <f t="shared" si="81"/>
        <v>0</v>
      </c>
      <c r="CG427" s="132"/>
      <c r="CH427" s="143">
        <f t="shared" si="82"/>
        <v>0</v>
      </c>
      <c r="CI427" s="132">
        <f t="shared" si="83"/>
        <v>0</v>
      </c>
      <c r="CJ427" s="143">
        <f t="shared" si="83"/>
        <v>0</v>
      </c>
    </row>
    <row r="428" spans="1:88" x14ac:dyDescent="0.3">
      <c r="A428" s="27"/>
      <c r="B428" s="27"/>
      <c r="C428" s="27"/>
      <c r="D428" s="27"/>
      <c r="E428" s="27"/>
      <c r="F428" s="27"/>
      <c r="G428" s="27"/>
      <c r="H428" s="27"/>
      <c r="I428" s="27"/>
      <c r="J428" s="27"/>
      <c r="K428" s="27"/>
      <c r="L428" s="27"/>
      <c r="N428" s="27"/>
      <c r="O428" s="27"/>
      <c r="P428" s="27"/>
      <c r="Q428" s="117" t="s">
        <v>1004</v>
      </c>
      <c r="R428" s="27"/>
      <c r="S428" s="27"/>
      <c r="T428" s="27"/>
      <c r="U428" s="27"/>
      <c r="V428" s="27"/>
      <c r="W428" s="27"/>
      <c r="X428" s="27"/>
      <c r="Y428" s="27"/>
      <c r="AE428" s="27"/>
      <c r="BD428" s="97"/>
      <c r="BE428" s="108"/>
      <c r="BF428" s="108"/>
      <c r="BG428" s="97"/>
      <c r="BH428" s="97"/>
      <c r="BI428" s="97"/>
      <c r="BJ428" s="97"/>
      <c r="BK428" s="110"/>
      <c r="BL428" s="97"/>
      <c r="BM428" s="97"/>
      <c r="BN428" s="97"/>
      <c r="BO428" s="142"/>
      <c r="BP428" s="143">
        <f t="shared" si="73"/>
        <v>0</v>
      </c>
      <c r="BQ428" s="142"/>
      <c r="BR428" s="143">
        <f t="shared" si="74"/>
        <v>0</v>
      </c>
      <c r="BS428" s="132"/>
      <c r="BT428" s="146">
        <f t="shared" si="75"/>
        <v>0</v>
      </c>
      <c r="BU428" s="132"/>
      <c r="BV428" s="143">
        <f t="shared" si="76"/>
        <v>0</v>
      </c>
      <c r="BW428" s="132"/>
      <c r="BX428" s="146">
        <f t="shared" si="77"/>
        <v>0</v>
      </c>
      <c r="BY428" s="132"/>
      <c r="BZ428" s="146">
        <f t="shared" si="78"/>
        <v>0</v>
      </c>
      <c r="CA428" s="132"/>
      <c r="CB428" s="146">
        <f t="shared" si="79"/>
        <v>0</v>
      </c>
      <c r="CC428" s="132"/>
      <c r="CD428" s="143">
        <f t="shared" si="80"/>
        <v>0</v>
      </c>
      <c r="CE428" s="132"/>
      <c r="CF428" s="143">
        <f t="shared" si="81"/>
        <v>0</v>
      </c>
      <c r="CG428" s="132"/>
      <c r="CH428" s="143">
        <f t="shared" si="82"/>
        <v>0</v>
      </c>
      <c r="CI428" s="132">
        <f t="shared" si="83"/>
        <v>0</v>
      </c>
      <c r="CJ428" s="143">
        <f t="shared" si="83"/>
        <v>0</v>
      </c>
    </row>
    <row r="429" spans="1:88" x14ac:dyDescent="0.3">
      <c r="A429" s="27"/>
      <c r="B429" s="27"/>
      <c r="C429" s="27"/>
      <c r="D429" s="27"/>
      <c r="E429" s="27"/>
      <c r="F429" s="27"/>
      <c r="G429" s="27"/>
      <c r="H429" s="27"/>
      <c r="I429" s="27"/>
      <c r="J429" s="27"/>
      <c r="K429" s="27"/>
      <c r="L429" s="27"/>
      <c r="N429" s="27"/>
      <c r="O429" s="27"/>
      <c r="P429" s="27"/>
      <c r="Q429" s="117" t="s">
        <v>1005</v>
      </c>
      <c r="R429" s="27"/>
      <c r="S429" s="27"/>
      <c r="T429" s="27"/>
      <c r="U429" s="27"/>
      <c r="V429" s="27"/>
      <c r="W429" s="27"/>
      <c r="X429" s="27"/>
      <c r="Y429" s="27"/>
      <c r="AE429" s="27"/>
      <c r="BD429" s="97"/>
      <c r="BE429" s="108"/>
      <c r="BF429" s="108"/>
      <c r="BG429" s="97"/>
      <c r="BH429" s="97"/>
      <c r="BI429" s="97"/>
      <c r="BJ429" s="97"/>
      <c r="BK429" s="110"/>
      <c r="BL429" s="97"/>
      <c r="BM429" s="97"/>
      <c r="BN429" s="97"/>
      <c r="BO429" s="142"/>
      <c r="BP429" s="143">
        <f t="shared" si="73"/>
        <v>0</v>
      </c>
      <c r="BQ429" s="142"/>
      <c r="BR429" s="143">
        <f t="shared" si="74"/>
        <v>0</v>
      </c>
      <c r="BS429" s="132"/>
      <c r="BT429" s="146">
        <f t="shared" si="75"/>
        <v>0</v>
      </c>
      <c r="BU429" s="132"/>
      <c r="BV429" s="143">
        <f t="shared" si="76"/>
        <v>0</v>
      </c>
      <c r="BW429" s="132"/>
      <c r="BX429" s="146">
        <f t="shared" si="77"/>
        <v>0</v>
      </c>
      <c r="BY429" s="132"/>
      <c r="BZ429" s="146">
        <f t="shared" si="78"/>
        <v>0</v>
      </c>
      <c r="CA429" s="132"/>
      <c r="CB429" s="146">
        <f t="shared" si="79"/>
        <v>0</v>
      </c>
      <c r="CC429" s="132"/>
      <c r="CD429" s="143">
        <f t="shared" si="80"/>
        <v>0</v>
      </c>
      <c r="CE429" s="132"/>
      <c r="CF429" s="143">
        <f t="shared" si="81"/>
        <v>0</v>
      </c>
      <c r="CG429" s="132"/>
      <c r="CH429" s="143">
        <f t="shared" si="82"/>
        <v>0</v>
      </c>
      <c r="CI429" s="132">
        <f t="shared" si="83"/>
        <v>0</v>
      </c>
      <c r="CJ429" s="143">
        <f t="shared" si="83"/>
        <v>0</v>
      </c>
    </row>
    <row r="430" spans="1:88" x14ac:dyDescent="0.3">
      <c r="A430" s="27"/>
      <c r="B430" s="27"/>
      <c r="C430" s="27"/>
      <c r="D430" s="27"/>
      <c r="E430" s="27"/>
      <c r="F430" s="27"/>
      <c r="G430" s="27"/>
      <c r="H430" s="27"/>
      <c r="I430" s="27"/>
      <c r="J430" s="27"/>
      <c r="K430" s="27"/>
      <c r="L430" s="27"/>
      <c r="N430" s="27"/>
      <c r="O430" s="27"/>
      <c r="P430" s="27"/>
      <c r="Q430" s="117" t="s">
        <v>1006</v>
      </c>
      <c r="R430" s="27"/>
      <c r="S430" s="27"/>
      <c r="T430" s="27"/>
      <c r="U430" s="27"/>
      <c r="V430" s="27"/>
      <c r="W430" s="27"/>
      <c r="X430" s="27"/>
      <c r="Y430" s="27"/>
      <c r="AE430" s="27"/>
      <c r="BD430" s="97"/>
      <c r="BE430" s="108"/>
      <c r="BF430" s="108"/>
      <c r="BG430" s="97"/>
      <c r="BH430" s="97"/>
      <c r="BI430" s="97"/>
      <c r="BJ430" s="97"/>
      <c r="BK430" s="110"/>
      <c r="BL430" s="97"/>
      <c r="BM430" s="97"/>
      <c r="BN430" s="97"/>
      <c r="BO430" s="142"/>
      <c r="BP430" s="143">
        <f t="shared" si="73"/>
        <v>0</v>
      </c>
      <c r="BQ430" s="142"/>
      <c r="BR430" s="143">
        <f t="shared" si="74"/>
        <v>0</v>
      </c>
      <c r="BS430" s="132"/>
      <c r="BT430" s="146">
        <f t="shared" si="75"/>
        <v>0</v>
      </c>
      <c r="BU430" s="132"/>
      <c r="BV430" s="143">
        <f t="shared" si="76"/>
        <v>0</v>
      </c>
      <c r="BW430" s="132"/>
      <c r="BX430" s="146">
        <f t="shared" si="77"/>
        <v>0</v>
      </c>
      <c r="BY430" s="132"/>
      <c r="BZ430" s="146">
        <f t="shared" si="78"/>
        <v>0</v>
      </c>
      <c r="CA430" s="132"/>
      <c r="CB430" s="146">
        <f t="shared" si="79"/>
        <v>0</v>
      </c>
      <c r="CC430" s="132"/>
      <c r="CD430" s="143">
        <f t="shared" si="80"/>
        <v>0</v>
      </c>
      <c r="CE430" s="132"/>
      <c r="CF430" s="143">
        <f t="shared" si="81"/>
        <v>0</v>
      </c>
      <c r="CG430" s="132"/>
      <c r="CH430" s="143">
        <f t="shared" si="82"/>
        <v>0</v>
      </c>
      <c r="CI430" s="132">
        <f t="shared" si="83"/>
        <v>0</v>
      </c>
      <c r="CJ430" s="143">
        <f t="shared" si="83"/>
        <v>0</v>
      </c>
    </row>
    <row r="431" spans="1:88" x14ac:dyDescent="0.3">
      <c r="A431" s="27"/>
      <c r="B431" s="27"/>
      <c r="C431" s="27"/>
      <c r="D431" s="27"/>
      <c r="E431" s="27"/>
      <c r="F431" s="27"/>
      <c r="G431" s="27"/>
      <c r="H431" s="27"/>
      <c r="I431" s="27"/>
      <c r="J431" s="27"/>
      <c r="K431" s="27"/>
      <c r="L431" s="27"/>
      <c r="N431" s="27"/>
      <c r="O431" s="27"/>
      <c r="P431" s="27"/>
      <c r="Q431" s="117" t="s">
        <v>1007</v>
      </c>
      <c r="R431" s="27"/>
      <c r="S431" s="27"/>
      <c r="T431" s="27"/>
      <c r="U431" s="27"/>
      <c r="V431" s="27"/>
      <c r="W431" s="27"/>
      <c r="X431" s="27"/>
      <c r="Y431" s="27"/>
      <c r="AE431" s="27"/>
      <c r="BD431" s="97"/>
      <c r="BE431" s="108"/>
      <c r="BF431" s="108"/>
      <c r="BG431" s="97"/>
      <c r="BH431" s="97"/>
      <c r="BI431" s="97"/>
      <c r="BJ431" s="97"/>
      <c r="BK431" s="110"/>
      <c r="BL431" s="97"/>
      <c r="BM431" s="97"/>
      <c r="BN431" s="97"/>
      <c r="BO431" s="142"/>
      <c r="BP431" s="143">
        <f t="shared" si="73"/>
        <v>0</v>
      </c>
      <c r="BQ431" s="142"/>
      <c r="BR431" s="143">
        <f t="shared" si="74"/>
        <v>0</v>
      </c>
      <c r="BS431" s="132"/>
      <c r="BT431" s="146">
        <f t="shared" si="75"/>
        <v>0</v>
      </c>
      <c r="BU431" s="132"/>
      <c r="BV431" s="143">
        <f t="shared" si="76"/>
        <v>0</v>
      </c>
      <c r="BW431" s="132"/>
      <c r="BX431" s="146">
        <f t="shared" si="77"/>
        <v>0</v>
      </c>
      <c r="BY431" s="132"/>
      <c r="BZ431" s="146">
        <f t="shared" si="78"/>
        <v>0</v>
      </c>
      <c r="CA431" s="132"/>
      <c r="CB431" s="146">
        <f t="shared" si="79"/>
        <v>0</v>
      </c>
      <c r="CC431" s="132"/>
      <c r="CD431" s="143">
        <f t="shared" si="80"/>
        <v>0</v>
      </c>
      <c r="CE431" s="132"/>
      <c r="CF431" s="143">
        <f t="shared" si="81"/>
        <v>0</v>
      </c>
      <c r="CG431" s="132"/>
      <c r="CH431" s="143">
        <f t="shared" si="82"/>
        <v>0</v>
      </c>
      <c r="CI431" s="132">
        <f t="shared" si="83"/>
        <v>0</v>
      </c>
      <c r="CJ431" s="143">
        <f t="shared" si="83"/>
        <v>0</v>
      </c>
    </row>
    <row r="432" spans="1:88" x14ac:dyDescent="0.3">
      <c r="A432" s="27"/>
      <c r="B432" s="27"/>
      <c r="C432" s="27"/>
      <c r="D432" s="27"/>
      <c r="E432" s="27"/>
      <c r="F432" s="27"/>
      <c r="G432" s="27"/>
      <c r="H432" s="27"/>
      <c r="I432" s="27"/>
      <c r="J432" s="27"/>
      <c r="K432" s="27"/>
      <c r="L432" s="27"/>
      <c r="N432" s="27"/>
      <c r="O432" s="27"/>
      <c r="P432" s="27"/>
      <c r="Q432" s="117" t="s">
        <v>1008</v>
      </c>
      <c r="R432" s="27"/>
      <c r="S432" s="27"/>
      <c r="T432" s="27"/>
      <c r="U432" s="27"/>
      <c r="V432" s="27"/>
      <c r="W432" s="27"/>
      <c r="X432" s="27"/>
      <c r="Y432" s="27"/>
      <c r="AE432" s="27"/>
      <c r="BD432" s="97"/>
      <c r="BE432" s="108"/>
      <c r="BF432" s="108"/>
      <c r="BG432" s="97"/>
      <c r="BH432" s="97"/>
      <c r="BI432" s="97"/>
      <c r="BJ432" s="97"/>
      <c r="BK432" s="110"/>
      <c r="BL432" s="97"/>
      <c r="BM432" s="97"/>
      <c r="BN432" s="97"/>
      <c r="BO432" s="142"/>
      <c r="BP432" s="143">
        <f t="shared" si="73"/>
        <v>0</v>
      </c>
      <c r="BQ432" s="142"/>
      <c r="BR432" s="143">
        <f t="shared" si="74"/>
        <v>0</v>
      </c>
      <c r="BS432" s="132"/>
      <c r="BT432" s="146">
        <f t="shared" si="75"/>
        <v>0</v>
      </c>
      <c r="BU432" s="132"/>
      <c r="BV432" s="143">
        <f t="shared" si="76"/>
        <v>0</v>
      </c>
      <c r="BW432" s="132"/>
      <c r="BX432" s="146">
        <f t="shared" si="77"/>
        <v>0</v>
      </c>
      <c r="BY432" s="132"/>
      <c r="BZ432" s="146">
        <f t="shared" si="78"/>
        <v>0</v>
      </c>
      <c r="CA432" s="132"/>
      <c r="CB432" s="146">
        <f t="shared" si="79"/>
        <v>0</v>
      </c>
      <c r="CC432" s="132"/>
      <c r="CD432" s="143">
        <f t="shared" si="80"/>
        <v>0</v>
      </c>
      <c r="CE432" s="132"/>
      <c r="CF432" s="143">
        <f t="shared" si="81"/>
        <v>0</v>
      </c>
      <c r="CG432" s="132"/>
      <c r="CH432" s="143">
        <f t="shared" si="82"/>
        <v>0</v>
      </c>
      <c r="CI432" s="132">
        <f t="shared" si="83"/>
        <v>0</v>
      </c>
      <c r="CJ432" s="143">
        <f t="shared" si="83"/>
        <v>0</v>
      </c>
    </row>
    <row r="433" spans="1:88" x14ac:dyDescent="0.3">
      <c r="A433" s="27"/>
      <c r="B433" s="27"/>
      <c r="C433" s="27"/>
      <c r="D433" s="27"/>
      <c r="E433" s="27"/>
      <c r="F433" s="27"/>
      <c r="G433" s="27"/>
      <c r="H433" s="27"/>
      <c r="I433" s="27"/>
      <c r="J433" s="27"/>
      <c r="K433" s="27"/>
      <c r="L433" s="27"/>
      <c r="N433" s="27"/>
      <c r="O433" s="27"/>
      <c r="P433" s="27"/>
      <c r="Q433" s="117" t="s">
        <v>1009</v>
      </c>
      <c r="R433" s="27"/>
      <c r="S433" s="27"/>
      <c r="T433" s="27"/>
      <c r="U433" s="27"/>
      <c r="V433" s="27"/>
      <c r="W433" s="27"/>
      <c r="X433" s="27"/>
      <c r="Y433" s="27"/>
      <c r="AE433" s="27"/>
      <c r="BD433" s="97"/>
      <c r="BE433" s="108"/>
      <c r="BF433" s="108"/>
      <c r="BG433" s="97"/>
      <c r="BH433" s="97"/>
      <c r="BI433" s="97"/>
      <c r="BJ433" s="97"/>
      <c r="BK433" s="110"/>
      <c r="BL433" s="97"/>
      <c r="BM433" s="97"/>
      <c r="BN433" s="97"/>
      <c r="BO433" s="142"/>
      <c r="BP433" s="143">
        <f t="shared" si="73"/>
        <v>0</v>
      </c>
      <c r="BQ433" s="142"/>
      <c r="BR433" s="143">
        <f t="shared" si="74"/>
        <v>0</v>
      </c>
      <c r="BS433" s="132"/>
      <c r="BT433" s="146">
        <f t="shared" si="75"/>
        <v>0</v>
      </c>
      <c r="BU433" s="132"/>
      <c r="BV433" s="143">
        <f t="shared" si="76"/>
        <v>0</v>
      </c>
      <c r="BW433" s="132"/>
      <c r="BX433" s="146">
        <f t="shared" si="77"/>
        <v>0</v>
      </c>
      <c r="BY433" s="132"/>
      <c r="BZ433" s="146">
        <f t="shared" si="78"/>
        <v>0</v>
      </c>
      <c r="CA433" s="132"/>
      <c r="CB433" s="146">
        <f t="shared" si="79"/>
        <v>0</v>
      </c>
      <c r="CC433" s="132"/>
      <c r="CD433" s="143">
        <f t="shared" si="80"/>
        <v>0</v>
      </c>
      <c r="CE433" s="132"/>
      <c r="CF433" s="143">
        <f t="shared" si="81"/>
        <v>0</v>
      </c>
      <c r="CG433" s="132"/>
      <c r="CH433" s="143">
        <f t="shared" si="82"/>
        <v>0</v>
      </c>
      <c r="CI433" s="132">
        <f t="shared" si="83"/>
        <v>0</v>
      </c>
      <c r="CJ433" s="143">
        <f t="shared" si="83"/>
        <v>0</v>
      </c>
    </row>
    <row r="434" spans="1:88" x14ac:dyDescent="0.3">
      <c r="A434" s="27"/>
      <c r="B434" s="27"/>
      <c r="C434" s="27"/>
      <c r="D434" s="27"/>
      <c r="E434" s="27"/>
      <c r="F434" s="27"/>
      <c r="G434" s="27"/>
      <c r="H434" s="27"/>
      <c r="I434" s="27"/>
      <c r="J434" s="27"/>
      <c r="K434" s="27"/>
      <c r="L434" s="27"/>
      <c r="N434" s="27"/>
      <c r="O434" s="27"/>
      <c r="P434" s="27"/>
      <c r="Q434" s="117" t="s">
        <v>1010</v>
      </c>
      <c r="R434" s="27"/>
      <c r="S434" s="27"/>
      <c r="T434" s="27"/>
      <c r="U434" s="27"/>
      <c r="V434" s="27"/>
      <c r="W434" s="27"/>
      <c r="X434" s="27"/>
      <c r="Y434" s="27"/>
      <c r="AE434" s="27"/>
      <c r="BD434" s="97"/>
      <c r="BE434" s="108"/>
      <c r="BF434" s="108"/>
      <c r="BG434" s="97"/>
      <c r="BH434" s="97"/>
      <c r="BI434" s="97"/>
      <c r="BJ434" s="97"/>
      <c r="BK434" s="110"/>
      <c r="BL434" s="97"/>
      <c r="BM434" s="97"/>
      <c r="BN434" s="97"/>
      <c r="BO434" s="142"/>
      <c r="BP434" s="143">
        <f t="shared" si="73"/>
        <v>0</v>
      </c>
      <c r="BQ434" s="142"/>
      <c r="BR434" s="143">
        <f t="shared" si="74"/>
        <v>0</v>
      </c>
      <c r="BS434" s="132"/>
      <c r="BT434" s="146">
        <f t="shared" si="75"/>
        <v>0</v>
      </c>
      <c r="BU434" s="132"/>
      <c r="BV434" s="143">
        <f t="shared" si="76"/>
        <v>0</v>
      </c>
      <c r="BW434" s="132"/>
      <c r="BX434" s="146">
        <f t="shared" si="77"/>
        <v>0</v>
      </c>
      <c r="BY434" s="132"/>
      <c r="BZ434" s="146">
        <f t="shared" si="78"/>
        <v>0</v>
      </c>
      <c r="CA434" s="132"/>
      <c r="CB434" s="146">
        <f t="shared" si="79"/>
        <v>0</v>
      </c>
      <c r="CC434" s="132"/>
      <c r="CD434" s="143">
        <f t="shared" si="80"/>
        <v>0</v>
      </c>
      <c r="CE434" s="132"/>
      <c r="CF434" s="143">
        <f t="shared" si="81"/>
        <v>0</v>
      </c>
      <c r="CG434" s="132"/>
      <c r="CH434" s="143">
        <f t="shared" si="82"/>
        <v>0</v>
      </c>
      <c r="CI434" s="132">
        <f t="shared" si="83"/>
        <v>0</v>
      </c>
      <c r="CJ434" s="143">
        <f t="shared" si="83"/>
        <v>0</v>
      </c>
    </row>
    <row r="435" spans="1:88" x14ac:dyDescent="0.3">
      <c r="A435" s="27"/>
      <c r="B435" s="27"/>
      <c r="C435" s="27"/>
      <c r="D435" s="27"/>
      <c r="E435" s="27"/>
      <c r="F435" s="27"/>
      <c r="G435" s="27"/>
      <c r="H435" s="27"/>
      <c r="I435" s="27"/>
      <c r="J435" s="27"/>
      <c r="K435" s="27"/>
      <c r="L435" s="27"/>
      <c r="N435" s="27"/>
      <c r="O435" s="27"/>
      <c r="P435" s="27"/>
      <c r="Q435" s="117" t="s">
        <v>1011</v>
      </c>
      <c r="R435" s="27"/>
      <c r="S435" s="27"/>
      <c r="T435" s="27"/>
      <c r="U435" s="27"/>
      <c r="V435" s="27"/>
      <c r="W435" s="27"/>
      <c r="X435" s="27"/>
      <c r="Y435" s="27"/>
      <c r="AE435" s="27"/>
      <c r="BD435" s="97"/>
      <c r="BE435" s="108"/>
      <c r="BF435" s="108"/>
      <c r="BG435" s="97"/>
      <c r="BH435" s="97"/>
      <c r="BI435" s="97"/>
      <c r="BJ435" s="97"/>
      <c r="BK435" s="110"/>
      <c r="BL435" s="97"/>
      <c r="BM435" s="97"/>
      <c r="BN435" s="97"/>
      <c r="BO435" s="142"/>
      <c r="BP435" s="143">
        <f t="shared" si="73"/>
        <v>0</v>
      </c>
      <c r="BQ435" s="142"/>
      <c r="BR435" s="143">
        <f t="shared" si="74"/>
        <v>0</v>
      </c>
      <c r="BS435" s="132"/>
      <c r="BT435" s="146">
        <f t="shared" si="75"/>
        <v>0</v>
      </c>
      <c r="BU435" s="132"/>
      <c r="BV435" s="143">
        <f t="shared" si="76"/>
        <v>0</v>
      </c>
      <c r="BW435" s="132"/>
      <c r="BX435" s="146">
        <f t="shared" si="77"/>
        <v>0</v>
      </c>
      <c r="BY435" s="132"/>
      <c r="BZ435" s="146">
        <f t="shared" si="78"/>
        <v>0</v>
      </c>
      <c r="CA435" s="132"/>
      <c r="CB435" s="146">
        <f t="shared" si="79"/>
        <v>0</v>
      </c>
      <c r="CC435" s="132"/>
      <c r="CD435" s="143">
        <f t="shared" si="80"/>
        <v>0</v>
      </c>
      <c r="CE435" s="132"/>
      <c r="CF435" s="143">
        <f t="shared" si="81"/>
        <v>0</v>
      </c>
      <c r="CG435" s="132"/>
      <c r="CH435" s="143">
        <f t="shared" si="82"/>
        <v>0</v>
      </c>
      <c r="CI435" s="132">
        <f t="shared" si="83"/>
        <v>0</v>
      </c>
      <c r="CJ435" s="143">
        <f t="shared" si="83"/>
        <v>0</v>
      </c>
    </row>
    <row r="436" spans="1:88" x14ac:dyDescent="0.3">
      <c r="A436" s="27"/>
      <c r="B436" s="27"/>
      <c r="C436" s="27"/>
      <c r="D436" s="27"/>
      <c r="E436" s="27"/>
      <c r="F436" s="27"/>
      <c r="G436" s="27"/>
      <c r="H436" s="27"/>
      <c r="I436" s="27"/>
      <c r="J436" s="27"/>
      <c r="K436" s="27"/>
      <c r="L436" s="27"/>
      <c r="N436" s="27"/>
      <c r="O436" s="27"/>
      <c r="P436" s="27"/>
      <c r="Q436" s="117" t="s">
        <v>1012</v>
      </c>
      <c r="R436" s="27"/>
      <c r="S436" s="27"/>
      <c r="T436" s="27"/>
      <c r="U436" s="27"/>
      <c r="V436" s="27"/>
      <c r="W436" s="27"/>
      <c r="X436" s="27"/>
      <c r="Y436" s="27"/>
      <c r="AE436" s="27"/>
      <c r="BD436" s="97"/>
      <c r="BE436" s="108"/>
      <c r="BF436" s="108"/>
      <c r="BG436" s="97"/>
      <c r="BH436" s="97"/>
      <c r="BI436" s="97"/>
      <c r="BJ436" s="97"/>
      <c r="BK436" s="110"/>
      <c r="BL436" s="97"/>
      <c r="BM436" s="97"/>
      <c r="BN436" s="97"/>
      <c r="BO436" s="142"/>
      <c r="BP436" s="143">
        <f t="shared" si="73"/>
        <v>0</v>
      </c>
      <c r="BQ436" s="142"/>
      <c r="BR436" s="143">
        <f t="shared" si="74"/>
        <v>0</v>
      </c>
      <c r="BS436" s="132"/>
      <c r="BT436" s="146">
        <f t="shared" si="75"/>
        <v>0</v>
      </c>
      <c r="BU436" s="132"/>
      <c r="BV436" s="143">
        <f t="shared" si="76"/>
        <v>0</v>
      </c>
      <c r="BW436" s="132"/>
      <c r="BX436" s="146">
        <f t="shared" si="77"/>
        <v>0</v>
      </c>
      <c r="BY436" s="132"/>
      <c r="BZ436" s="146">
        <f t="shared" si="78"/>
        <v>0</v>
      </c>
      <c r="CA436" s="132"/>
      <c r="CB436" s="146">
        <f t="shared" si="79"/>
        <v>0</v>
      </c>
      <c r="CC436" s="132"/>
      <c r="CD436" s="143">
        <f t="shared" si="80"/>
        <v>0</v>
      </c>
      <c r="CE436" s="132"/>
      <c r="CF436" s="143">
        <f t="shared" si="81"/>
        <v>0</v>
      </c>
      <c r="CG436" s="132"/>
      <c r="CH436" s="143">
        <f t="shared" si="82"/>
        <v>0</v>
      </c>
      <c r="CI436" s="132">
        <f t="shared" si="83"/>
        <v>0</v>
      </c>
      <c r="CJ436" s="143">
        <f t="shared" si="83"/>
        <v>0</v>
      </c>
    </row>
    <row r="437" spans="1:88" x14ac:dyDescent="0.3">
      <c r="A437" s="27"/>
      <c r="B437" s="27"/>
      <c r="C437" s="27"/>
      <c r="D437" s="27"/>
      <c r="E437" s="27"/>
      <c r="F437" s="27"/>
      <c r="G437" s="27"/>
      <c r="H437" s="27"/>
      <c r="I437" s="27"/>
      <c r="J437" s="27"/>
      <c r="K437" s="27"/>
      <c r="L437" s="27"/>
      <c r="N437" s="27"/>
      <c r="O437" s="27"/>
      <c r="P437" s="27"/>
      <c r="Q437" s="117" t="s">
        <v>1013</v>
      </c>
      <c r="R437" s="27"/>
      <c r="S437" s="27"/>
      <c r="T437" s="27"/>
      <c r="U437" s="27"/>
      <c r="V437" s="27"/>
      <c r="W437" s="27"/>
      <c r="X437" s="27"/>
      <c r="Y437" s="27"/>
      <c r="AE437" s="27"/>
      <c r="BD437" s="97"/>
      <c r="BE437" s="108"/>
      <c r="BF437" s="108"/>
      <c r="BG437" s="97"/>
      <c r="BH437" s="97"/>
      <c r="BI437" s="97"/>
      <c r="BJ437" s="97"/>
      <c r="BK437" s="110"/>
      <c r="BL437" s="97"/>
      <c r="BM437" s="97"/>
      <c r="BN437" s="97"/>
      <c r="BO437" s="142"/>
      <c r="BP437" s="143">
        <f t="shared" si="73"/>
        <v>0</v>
      </c>
      <c r="BQ437" s="142"/>
      <c r="BR437" s="143">
        <f t="shared" si="74"/>
        <v>0</v>
      </c>
      <c r="BS437" s="132"/>
      <c r="BT437" s="146">
        <f t="shared" si="75"/>
        <v>0</v>
      </c>
      <c r="BU437" s="132"/>
      <c r="BV437" s="143">
        <f t="shared" si="76"/>
        <v>0</v>
      </c>
      <c r="BW437" s="132"/>
      <c r="BX437" s="146">
        <f t="shared" si="77"/>
        <v>0</v>
      </c>
      <c r="BY437" s="132"/>
      <c r="BZ437" s="146">
        <f t="shared" si="78"/>
        <v>0</v>
      </c>
      <c r="CA437" s="132"/>
      <c r="CB437" s="146">
        <f t="shared" si="79"/>
        <v>0</v>
      </c>
      <c r="CC437" s="132"/>
      <c r="CD437" s="143">
        <f t="shared" si="80"/>
        <v>0</v>
      </c>
      <c r="CE437" s="132"/>
      <c r="CF437" s="143">
        <f t="shared" si="81"/>
        <v>0</v>
      </c>
      <c r="CG437" s="132"/>
      <c r="CH437" s="143">
        <f t="shared" si="82"/>
        <v>0</v>
      </c>
      <c r="CI437" s="132">
        <f t="shared" si="83"/>
        <v>0</v>
      </c>
      <c r="CJ437" s="143">
        <f t="shared" si="83"/>
        <v>0</v>
      </c>
    </row>
    <row r="438" spans="1:88" x14ac:dyDescent="0.3">
      <c r="A438" s="27"/>
      <c r="B438" s="27"/>
      <c r="C438" s="27"/>
      <c r="D438" s="27"/>
      <c r="E438" s="27"/>
      <c r="F438" s="27"/>
      <c r="G438" s="27"/>
      <c r="H438" s="27"/>
      <c r="I438" s="27"/>
      <c r="J438" s="27"/>
      <c r="K438" s="27"/>
      <c r="L438" s="27"/>
      <c r="N438" s="27"/>
      <c r="O438" s="27"/>
      <c r="P438" s="27"/>
      <c r="Q438" s="117" t="s">
        <v>1014</v>
      </c>
      <c r="R438" s="27"/>
      <c r="S438" s="27"/>
      <c r="T438" s="27"/>
      <c r="U438" s="27"/>
      <c r="V438" s="27"/>
      <c r="W438" s="27"/>
      <c r="X438" s="27"/>
      <c r="Y438" s="27"/>
      <c r="AE438" s="27"/>
      <c r="BD438" s="97"/>
      <c r="BE438" s="108"/>
      <c r="BF438" s="108"/>
      <c r="BG438" s="97"/>
      <c r="BH438" s="97"/>
      <c r="BI438" s="97"/>
      <c r="BJ438" s="97"/>
      <c r="BK438" s="110"/>
      <c r="BL438" s="97"/>
      <c r="BM438" s="97"/>
      <c r="BN438" s="97"/>
      <c r="BO438" s="142"/>
      <c r="BP438" s="143">
        <f t="shared" si="73"/>
        <v>0</v>
      </c>
      <c r="BQ438" s="142"/>
      <c r="BR438" s="143">
        <f t="shared" si="74"/>
        <v>0</v>
      </c>
      <c r="BS438" s="132"/>
      <c r="BT438" s="146">
        <f t="shared" si="75"/>
        <v>0</v>
      </c>
      <c r="BU438" s="132"/>
      <c r="BV438" s="143">
        <f t="shared" si="76"/>
        <v>0</v>
      </c>
      <c r="BW438" s="132"/>
      <c r="BX438" s="146">
        <f t="shared" si="77"/>
        <v>0</v>
      </c>
      <c r="BY438" s="132"/>
      <c r="BZ438" s="146">
        <f t="shared" si="78"/>
        <v>0</v>
      </c>
      <c r="CA438" s="132"/>
      <c r="CB438" s="146">
        <f t="shared" si="79"/>
        <v>0</v>
      </c>
      <c r="CC438" s="132"/>
      <c r="CD438" s="143">
        <f t="shared" si="80"/>
        <v>0</v>
      </c>
      <c r="CE438" s="132"/>
      <c r="CF438" s="143">
        <f t="shared" si="81"/>
        <v>0</v>
      </c>
      <c r="CG438" s="132"/>
      <c r="CH438" s="143">
        <f t="shared" si="82"/>
        <v>0</v>
      </c>
      <c r="CI438" s="132">
        <f t="shared" si="83"/>
        <v>0</v>
      </c>
      <c r="CJ438" s="143">
        <f t="shared" si="83"/>
        <v>0</v>
      </c>
    </row>
    <row r="439" spans="1:88" x14ac:dyDescent="0.3">
      <c r="A439" s="27"/>
      <c r="B439" s="27"/>
      <c r="C439" s="27"/>
      <c r="D439" s="27"/>
      <c r="E439" s="27"/>
      <c r="F439" s="27"/>
      <c r="G439" s="27"/>
      <c r="H439" s="27"/>
      <c r="I439" s="27"/>
      <c r="J439" s="27"/>
      <c r="K439" s="27"/>
      <c r="L439" s="27"/>
      <c r="N439" s="27"/>
      <c r="O439" s="27"/>
      <c r="P439" s="27"/>
      <c r="Q439" s="117" t="s">
        <v>1015</v>
      </c>
      <c r="R439" s="27"/>
      <c r="S439" s="27"/>
      <c r="T439" s="27"/>
      <c r="U439" s="27"/>
      <c r="V439" s="27"/>
      <c r="W439" s="27"/>
      <c r="X439" s="27"/>
      <c r="Y439" s="27"/>
      <c r="AE439" s="27"/>
      <c r="BD439" s="97"/>
      <c r="BE439" s="108"/>
      <c r="BF439" s="108"/>
      <c r="BG439" s="97"/>
      <c r="BH439" s="97"/>
      <c r="BI439" s="97"/>
      <c r="BJ439" s="97"/>
      <c r="BK439" s="110"/>
      <c r="BL439" s="97"/>
      <c r="BM439" s="97"/>
      <c r="BN439" s="97"/>
      <c r="BO439" s="142"/>
      <c r="BP439" s="143">
        <f t="shared" si="73"/>
        <v>0</v>
      </c>
      <c r="BQ439" s="142"/>
      <c r="BR439" s="143">
        <f t="shared" si="74"/>
        <v>0</v>
      </c>
      <c r="BS439" s="132"/>
      <c r="BT439" s="146">
        <f t="shared" si="75"/>
        <v>0</v>
      </c>
      <c r="BU439" s="132"/>
      <c r="BV439" s="143">
        <f t="shared" si="76"/>
        <v>0</v>
      </c>
      <c r="BW439" s="132"/>
      <c r="BX439" s="146">
        <f t="shared" si="77"/>
        <v>0</v>
      </c>
      <c r="BY439" s="132"/>
      <c r="BZ439" s="146">
        <f t="shared" si="78"/>
        <v>0</v>
      </c>
      <c r="CA439" s="132"/>
      <c r="CB439" s="146">
        <f t="shared" si="79"/>
        <v>0</v>
      </c>
      <c r="CC439" s="132"/>
      <c r="CD439" s="143">
        <f t="shared" si="80"/>
        <v>0</v>
      </c>
      <c r="CE439" s="132"/>
      <c r="CF439" s="143">
        <f t="shared" si="81"/>
        <v>0</v>
      </c>
      <c r="CG439" s="132"/>
      <c r="CH439" s="143">
        <f t="shared" si="82"/>
        <v>0</v>
      </c>
      <c r="CI439" s="132">
        <f t="shared" si="83"/>
        <v>0</v>
      </c>
      <c r="CJ439" s="143">
        <f t="shared" si="83"/>
        <v>0</v>
      </c>
    </row>
    <row r="440" spans="1:88" x14ac:dyDescent="0.3">
      <c r="A440" s="27"/>
      <c r="B440" s="27"/>
      <c r="C440" s="27"/>
      <c r="D440" s="27"/>
      <c r="E440" s="27"/>
      <c r="F440" s="27"/>
      <c r="G440" s="27"/>
      <c r="H440" s="27"/>
      <c r="I440" s="27"/>
      <c r="J440" s="27"/>
      <c r="K440" s="27"/>
      <c r="L440" s="27"/>
      <c r="N440" s="27"/>
      <c r="O440" s="27"/>
      <c r="P440" s="27"/>
      <c r="Q440" s="117" t="s">
        <v>1016</v>
      </c>
      <c r="R440" s="27"/>
      <c r="S440" s="27"/>
      <c r="T440" s="27"/>
      <c r="U440" s="27"/>
      <c r="V440" s="27"/>
      <c r="W440" s="27"/>
      <c r="X440" s="27"/>
      <c r="Y440" s="27"/>
      <c r="AE440" s="27"/>
      <c r="BD440" s="97"/>
      <c r="BE440" s="108"/>
      <c r="BF440" s="108"/>
      <c r="BG440" s="97"/>
      <c r="BH440" s="97"/>
      <c r="BI440" s="97"/>
      <c r="BJ440" s="97"/>
      <c r="BK440" s="110"/>
      <c r="BL440" s="97"/>
      <c r="BM440" s="97"/>
      <c r="BN440" s="97"/>
      <c r="BO440" s="142"/>
      <c r="BP440" s="143">
        <f t="shared" si="73"/>
        <v>0</v>
      </c>
      <c r="BQ440" s="142"/>
      <c r="BR440" s="143">
        <f t="shared" si="74"/>
        <v>0</v>
      </c>
      <c r="BS440" s="132"/>
      <c r="BT440" s="146">
        <f t="shared" si="75"/>
        <v>0</v>
      </c>
      <c r="BU440" s="132"/>
      <c r="BV440" s="143">
        <f t="shared" si="76"/>
        <v>0</v>
      </c>
      <c r="BW440" s="132"/>
      <c r="BX440" s="146">
        <f t="shared" si="77"/>
        <v>0</v>
      </c>
      <c r="BY440" s="132"/>
      <c r="BZ440" s="146">
        <f t="shared" si="78"/>
        <v>0</v>
      </c>
      <c r="CA440" s="132"/>
      <c r="CB440" s="146">
        <f t="shared" si="79"/>
        <v>0</v>
      </c>
      <c r="CC440" s="132"/>
      <c r="CD440" s="143">
        <f t="shared" si="80"/>
        <v>0</v>
      </c>
      <c r="CE440" s="132"/>
      <c r="CF440" s="143">
        <f t="shared" si="81"/>
        <v>0</v>
      </c>
      <c r="CG440" s="132"/>
      <c r="CH440" s="143">
        <f t="shared" si="82"/>
        <v>0</v>
      </c>
      <c r="CI440" s="132">
        <f t="shared" si="83"/>
        <v>0</v>
      </c>
      <c r="CJ440" s="143">
        <f t="shared" si="83"/>
        <v>0</v>
      </c>
    </row>
    <row r="441" spans="1:88" x14ac:dyDescent="0.3">
      <c r="A441" s="27"/>
      <c r="B441" s="27"/>
      <c r="C441" s="27"/>
      <c r="D441" s="27"/>
      <c r="E441" s="27"/>
      <c r="F441" s="27"/>
      <c r="G441" s="27"/>
      <c r="H441" s="27"/>
      <c r="I441" s="27"/>
      <c r="J441" s="27"/>
      <c r="K441" s="27"/>
      <c r="L441" s="27"/>
      <c r="N441" s="27"/>
      <c r="O441" s="27"/>
      <c r="P441" s="27"/>
      <c r="Q441" s="117" t="s">
        <v>1017</v>
      </c>
      <c r="R441" s="27"/>
      <c r="S441" s="27"/>
      <c r="T441" s="27"/>
      <c r="U441" s="27"/>
      <c r="V441" s="27"/>
      <c r="W441" s="27"/>
      <c r="X441" s="27"/>
      <c r="Y441" s="27"/>
      <c r="AE441" s="27"/>
      <c r="BD441" s="97"/>
      <c r="BE441" s="108"/>
      <c r="BF441" s="108"/>
      <c r="BG441" s="97"/>
      <c r="BH441" s="97"/>
      <c r="BI441" s="97"/>
      <c r="BJ441" s="97"/>
      <c r="BK441" s="110"/>
      <c r="BL441" s="97"/>
      <c r="BM441" s="97"/>
      <c r="BN441" s="97"/>
      <c r="BO441" s="142"/>
      <c r="BP441" s="143">
        <f t="shared" si="73"/>
        <v>0</v>
      </c>
      <c r="BQ441" s="142"/>
      <c r="BR441" s="143">
        <f t="shared" si="74"/>
        <v>0</v>
      </c>
      <c r="BS441" s="132"/>
      <c r="BT441" s="146">
        <f t="shared" si="75"/>
        <v>0</v>
      </c>
      <c r="BU441" s="132"/>
      <c r="BV441" s="143">
        <f t="shared" si="76"/>
        <v>0</v>
      </c>
      <c r="BW441" s="132"/>
      <c r="BX441" s="146">
        <f t="shared" si="77"/>
        <v>0</v>
      </c>
      <c r="BY441" s="132"/>
      <c r="BZ441" s="146">
        <f t="shared" si="78"/>
        <v>0</v>
      </c>
      <c r="CA441" s="132"/>
      <c r="CB441" s="146">
        <f t="shared" si="79"/>
        <v>0</v>
      </c>
      <c r="CC441" s="132"/>
      <c r="CD441" s="143">
        <f t="shared" si="80"/>
        <v>0</v>
      </c>
      <c r="CE441" s="132"/>
      <c r="CF441" s="143">
        <f t="shared" si="81"/>
        <v>0</v>
      </c>
      <c r="CG441" s="132"/>
      <c r="CH441" s="143">
        <f t="shared" si="82"/>
        <v>0</v>
      </c>
      <c r="CI441" s="132">
        <f t="shared" si="83"/>
        <v>0</v>
      </c>
      <c r="CJ441" s="143">
        <f t="shared" si="83"/>
        <v>0</v>
      </c>
    </row>
    <row r="442" spans="1:88" ht="27.6" x14ac:dyDescent="0.3">
      <c r="A442" s="27"/>
      <c r="B442" s="27"/>
      <c r="C442" s="27"/>
      <c r="D442" s="27"/>
      <c r="E442" s="27"/>
      <c r="F442" s="27"/>
      <c r="G442" s="27"/>
      <c r="H442" s="27"/>
      <c r="I442" s="27"/>
      <c r="J442" s="27"/>
      <c r="K442" s="27"/>
      <c r="L442" s="27"/>
      <c r="N442" s="27"/>
      <c r="O442" s="27"/>
      <c r="P442" s="27"/>
      <c r="Q442" s="117" t="s">
        <v>1018</v>
      </c>
      <c r="R442" s="27"/>
      <c r="S442" s="27"/>
      <c r="T442" s="27"/>
      <c r="U442" s="27"/>
      <c r="V442" s="27"/>
      <c r="W442" s="27"/>
      <c r="X442" s="27"/>
      <c r="Y442" s="27"/>
      <c r="AE442" s="27"/>
      <c r="BD442" s="97"/>
      <c r="BE442" s="108"/>
      <c r="BF442" s="108"/>
      <c r="BG442" s="97"/>
      <c r="BH442" s="97"/>
      <c r="BI442" s="97"/>
      <c r="BJ442" s="97"/>
      <c r="BK442" s="110"/>
      <c r="BL442" s="97"/>
      <c r="BM442" s="97"/>
      <c r="BN442" s="97"/>
      <c r="BO442" s="142"/>
      <c r="BP442" s="143">
        <f t="shared" si="73"/>
        <v>0</v>
      </c>
      <c r="BQ442" s="142"/>
      <c r="BR442" s="143">
        <f t="shared" si="74"/>
        <v>0</v>
      </c>
      <c r="BS442" s="132"/>
      <c r="BT442" s="146">
        <f t="shared" si="75"/>
        <v>0</v>
      </c>
      <c r="BU442" s="132"/>
      <c r="BV442" s="143">
        <f t="shared" si="76"/>
        <v>0</v>
      </c>
      <c r="BW442" s="132"/>
      <c r="BX442" s="146">
        <f t="shared" si="77"/>
        <v>0</v>
      </c>
      <c r="BY442" s="132"/>
      <c r="BZ442" s="146">
        <f t="shared" si="78"/>
        <v>0</v>
      </c>
      <c r="CA442" s="132"/>
      <c r="CB442" s="146">
        <f t="shared" si="79"/>
        <v>0</v>
      </c>
      <c r="CC442" s="132"/>
      <c r="CD442" s="143">
        <f t="shared" si="80"/>
        <v>0</v>
      </c>
      <c r="CE442" s="132"/>
      <c r="CF442" s="143">
        <f t="shared" si="81"/>
        <v>0</v>
      </c>
      <c r="CG442" s="132"/>
      <c r="CH442" s="143">
        <f t="shared" si="82"/>
        <v>0</v>
      </c>
      <c r="CI442" s="132">
        <f t="shared" si="83"/>
        <v>0</v>
      </c>
      <c r="CJ442" s="143">
        <f t="shared" si="83"/>
        <v>0</v>
      </c>
    </row>
    <row r="443" spans="1:88" x14ac:dyDescent="0.3">
      <c r="A443" s="27"/>
      <c r="B443" s="27"/>
      <c r="C443" s="27"/>
      <c r="D443" s="27"/>
      <c r="E443" s="27"/>
      <c r="F443" s="27"/>
      <c r="G443" s="27"/>
      <c r="H443" s="27"/>
      <c r="I443" s="27"/>
      <c r="J443" s="27"/>
      <c r="K443" s="27"/>
      <c r="L443" s="27"/>
      <c r="N443" s="27"/>
      <c r="O443" s="27"/>
      <c r="P443" s="27"/>
      <c r="Q443" s="117" t="s">
        <v>1019</v>
      </c>
      <c r="R443" s="27"/>
      <c r="S443" s="27"/>
      <c r="T443" s="27"/>
      <c r="U443" s="27"/>
      <c r="V443" s="27"/>
      <c r="W443" s="27"/>
      <c r="X443" s="27"/>
      <c r="Y443" s="27"/>
      <c r="AE443" s="27"/>
      <c r="BD443" s="97"/>
      <c r="BE443" s="108"/>
      <c r="BF443" s="108"/>
      <c r="BG443" s="97"/>
      <c r="BH443" s="97"/>
      <c r="BI443" s="97"/>
      <c r="BJ443" s="97"/>
      <c r="BK443" s="110"/>
      <c r="BL443" s="97"/>
      <c r="BM443" s="97"/>
      <c r="BN443" s="97"/>
      <c r="BO443" s="147"/>
      <c r="BP443" s="143">
        <f t="shared" si="73"/>
        <v>0</v>
      </c>
      <c r="BQ443" s="147"/>
      <c r="BR443" s="143">
        <f t="shared" si="74"/>
        <v>0</v>
      </c>
      <c r="BS443" s="132"/>
      <c r="BT443" s="146">
        <f t="shared" si="75"/>
        <v>0</v>
      </c>
      <c r="BU443" s="66"/>
      <c r="BV443" s="143">
        <f t="shared" si="76"/>
        <v>0</v>
      </c>
      <c r="BW443" s="66"/>
      <c r="BX443" s="146">
        <f t="shared" si="77"/>
        <v>0</v>
      </c>
      <c r="BY443" s="66"/>
      <c r="BZ443" s="146">
        <f t="shared" si="78"/>
        <v>0</v>
      </c>
      <c r="CA443" s="66"/>
      <c r="CB443" s="146">
        <f t="shared" si="79"/>
        <v>0</v>
      </c>
      <c r="CC443" s="66"/>
      <c r="CD443" s="143">
        <f t="shared" si="80"/>
        <v>0</v>
      </c>
      <c r="CE443" s="66"/>
      <c r="CF443" s="143">
        <f t="shared" si="81"/>
        <v>0</v>
      </c>
      <c r="CG443" s="132"/>
      <c r="CH443" s="143">
        <f t="shared" si="82"/>
        <v>0</v>
      </c>
      <c r="CI443" s="132">
        <f t="shared" si="83"/>
        <v>0</v>
      </c>
      <c r="CJ443" s="143">
        <f t="shared" si="83"/>
        <v>0</v>
      </c>
    </row>
    <row r="444" spans="1:88" x14ac:dyDescent="0.3">
      <c r="A444" s="27"/>
      <c r="B444" s="27"/>
      <c r="C444" s="27"/>
      <c r="D444" s="27"/>
      <c r="E444" s="27"/>
      <c r="F444" s="27"/>
      <c r="G444" s="27"/>
      <c r="H444" s="27"/>
      <c r="I444" s="27"/>
      <c r="J444" s="27"/>
      <c r="K444" s="27"/>
      <c r="L444" s="27"/>
      <c r="N444" s="27"/>
      <c r="O444" s="27"/>
      <c r="P444" s="27"/>
      <c r="Q444" s="117" t="s">
        <v>1020</v>
      </c>
      <c r="R444" s="27"/>
      <c r="S444" s="27"/>
      <c r="T444" s="27"/>
      <c r="U444" s="27"/>
      <c r="V444" s="27"/>
      <c r="W444" s="27"/>
      <c r="X444" s="27"/>
      <c r="Y444" s="27"/>
      <c r="AE444" s="27"/>
      <c r="BD444" s="97"/>
      <c r="BE444" s="108"/>
      <c r="BF444" s="108"/>
      <c r="BG444" s="97"/>
      <c r="BH444" s="97"/>
      <c r="BI444" s="97"/>
      <c r="BJ444" s="97"/>
      <c r="BK444" s="110"/>
      <c r="BL444" s="97"/>
      <c r="BM444" s="97"/>
      <c r="BN444" s="97"/>
      <c r="BO444" s="147"/>
      <c r="BP444" s="143">
        <f t="shared" si="73"/>
        <v>0</v>
      </c>
      <c r="BQ444" s="147"/>
      <c r="BR444" s="143">
        <f t="shared" si="74"/>
        <v>0</v>
      </c>
      <c r="BS444" s="132"/>
      <c r="BT444" s="146">
        <f t="shared" si="75"/>
        <v>0</v>
      </c>
      <c r="BU444" s="66"/>
      <c r="BV444" s="143">
        <f t="shared" si="76"/>
        <v>0</v>
      </c>
      <c r="BW444" s="66"/>
      <c r="BX444" s="146">
        <f t="shared" si="77"/>
        <v>0</v>
      </c>
      <c r="BY444" s="66"/>
      <c r="BZ444" s="146">
        <f t="shared" si="78"/>
        <v>0</v>
      </c>
      <c r="CA444" s="66"/>
      <c r="CB444" s="146">
        <f t="shared" si="79"/>
        <v>0</v>
      </c>
      <c r="CC444" s="66"/>
      <c r="CD444" s="143">
        <f t="shared" si="80"/>
        <v>0</v>
      </c>
      <c r="CE444" s="66"/>
      <c r="CF444" s="143">
        <f t="shared" si="81"/>
        <v>0</v>
      </c>
      <c r="CG444" s="132"/>
      <c r="CH444" s="143">
        <f t="shared" si="82"/>
        <v>0</v>
      </c>
      <c r="CI444" s="132">
        <f t="shared" si="83"/>
        <v>0</v>
      </c>
      <c r="CJ444" s="143">
        <f t="shared" si="83"/>
        <v>0</v>
      </c>
    </row>
    <row r="445" spans="1:88" x14ac:dyDescent="0.3">
      <c r="A445" s="27"/>
      <c r="B445" s="27"/>
      <c r="C445" s="27"/>
      <c r="D445" s="27"/>
      <c r="E445" s="27"/>
      <c r="F445" s="27"/>
      <c r="G445" s="27"/>
      <c r="H445" s="27"/>
      <c r="I445" s="27"/>
      <c r="J445" s="27"/>
      <c r="K445" s="27"/>
      <c r="L445" s="27"/>
      <c r="N445" s="27"/>
      <c r="O445" s="27"/>
      <c r="P445" s="27"/>
      <c r="Q445" s="117" t="s">
        <v>1021</v>
      </c>
      <c r="R445" s="27"/>
      <c r="S445" s="27"/>
      <c r="T445" s="27"/>
      <c r="U445" s="27"/>
      <c r="V445" s="27"/>
      <c r="W445" s="27"/>
      <c r="X445" s="27"/>
      <c r="Y445" s="27"/>
      <c r="AE445" s="27"/>
      <c r="BD445" s="97"/>
      <c r="BE445" s="108"/>
      <c r="BF445" s="108"/>
      <c r="BG445" s="97"/>
      <c r="BH445" s="97"/>
      <c r="BI445" s="97"/>
      <c r="BJ445" s="97"/>
      <c r="BK445" s="110"/>
      <c r="BL445" s="97"/>
      <c r="BM445" s="97"/>
      <c r="BN445" s="97"/>
      <c r="BO445" s="147"/>
      <c r="BP445" s="143">
        <f t="shared" si="73"/>
        <v>0</v>
      </c>
      <c r="BQ445" s="147"/>
      <c r="BR445" s="143">
        <f t="shared" si="74"/>
        <v>0</v>
      </c>
      <c r="BS445" s="132"/>
      <c r="BT445" s="146">
        <f t="shared" si="75"/>
        <v>0</v>
      </c>
      <c r="BU445" s="66"/>
      <c r="BV445" s="143">
        <f t="shared" si="76"/>
        <v>0</v>
      </c>
      <c r="BW445" s="66"/>
      <c r="BX445" s="146">
        <f t="shared" si="77"/>
        <v>0</v>
      </c>
      <c r="BY445" s="66"/>
      <c r="BZ445" s="146">
        <f t="shared" si="78"/>
        <v>0</v>
      </c>
      <c r="CA445" s="66"/>
      <c r="CB445" s="146">
        <f t="shared" si="79"/>
        <v>0</v>
      </c>
      <c r="CC445" s="66"/>
      <c r="CD445" s="143">
        <f t="shared" si="80"/>
        <v>0</v>
      </c>
      <c r="CE445" s="66"/>
      <c r="CF445" s="143">
        <f t="shared" si="81"/>
        <v>0</v>
      </c>
      <c r="CG445" s="132"/>
      <c r="CH445" s="143">
        <f t="shared" si="82"/>
        <v>0</v>
      </c>
      <c r="CI445" s="132">
        <f t="shared" si="83"/>
        <v>0</v>
      </c>
      <c r="CJ445" s="143">
        <f t="shared" si="83"/>
        <v>0</v>
      </c>
    </row>
    <row r="446" spans="1:88" x14ac:dyDescent="0.3">
      <c r="A446" s="27"/>
      <c r="B446" s="27"/>
      <c r="C446" s="27"/>
      <c r="D446" s="27"/>
      <c r="E446" s="27"/>
      <c r="F446" s="27"/>
      <c r="G446" s="27"/>
      <c r="H446" s="27"/>
      <c r="I446" s="27"/>
      <c r="J446" s="27"/>
      <c r="K446" s="27"/>
      <c r="L446" s="27"/>
      <c r="N446" s="27"/>
      <c r="O446" s="27"/>
      <c r="P446" s="27"/>
      <c r="Q446" s="117" t="s">
        <v>1022</v>
      </c>
      <c r="R446" s="27"/>
      <c r="S446" s="27"/>
      <c r="T446" s="27"/>
      <c r="U446" s="27"/>
      <c r="V446" s="27"/>
      <c r="W446" s="27"/>
      <c r="X446" s="27"/>
      <c r="Y446" s="27"/>
      <c r="AE446" s="27"/>
      <c r="BD446" s="97"/>
      <c r="BE446" s="108"/>
      <c r="BF446" s="108"/>
      <c r="BG446" s="97"/>
      <c r="BH446" s="97"/>
      <c r="BI446" s="97"/>
      <c r="BJ446" s="97"/>
      <c r="BK446" s="110"/>
      <c r="BL446" s="97"/>
      <c r="BM446" s="97"/>
      <c r="BN446" s="97"/>
      <c r="BO446" s="147"/>
      <c r="BP446" s="143">
        <f t="shared" si="73"/>
        <v>0</v>
      </c>
      <c r="BQ446" s="147"/>
      <c r="BR446" s="143">
        <f t="shared" si="74"/>
        <v>0</v>
      </c>
      <c r="BS446" s="132"/>
      <c r="BT446" s="146">
        <f t="shared" si="75"/>
        <v>0</v>
      </c>
      <c r="BU446" s="66"/>
      <c r="BV446" s="143">
        <f t="shared" si="76"/>
        <v>0</v>
      </c>
      <c r="BW446" s="66"/>
      <c r="BX446" s="146">
        <f t="shared" si="77"/>
        <v>0</v>
      </c>
      <c r="BY446" s="66"/>
      <c r="BZ446" s="146">
        <f t="shared" si="78"/>
        <v>0</v>
      </c>
      <c r="CA446" s="66"/>
      <c r="CB446" s="146">
        <f t="shared" si="79"/>
        <v>0</v>
      </c>
      <c r="CC446" s="66"/>
      <c r="CD446" s="143">
        <f t="shared" si="80"/>
        <v>0</v>
      </c>
      <c r="CE446" s="66"/>
      <c r="CF446" s="143">
        <f t="shared" si="81"/>
        <v>0</v>
      </c>
      <c r="CG446" s="132"/>
      <c r="CH446" s="143">
        <f t="shared" si="82"/>
        <v>0</v>
      </c>
      <c r="CI446" s="132">
        <f t="shared" si="83"/>
        <v>0</v>
      </c>
      <c r="CJ446" s="143">
        <f t="shared" si="83"/>
        <v>0</v>
      </c>
    </row>
    <row r="447" spans="1:88" ht="27.6" x14ac:dyDescent="0.3">
      <c r="A447" s="27"/>
      <c r="B447" s="27"/>
      <c r="C447" s="27"/>
      <c r="D447" s="27"/>
      <c r="E447" s="27"/>
      <c r="F447" s="27"/>
      <c r="G447" s="27"/>
      <c r="H447" s="27"/>
      <c r="I447" s="27"/>
      <c r="J447" s="27"/>
      <c r="K447" s="27"/>
      <c r="L447" s="27"/>
      <c r="N447" s="27"/>
      <c r="O447" s="27"/>
      <c r="P447" s="27"/>
      <c r="Q447" s="117" t="s">
        <v>1023</v>
      </c>
      <c r="R447" s="27"/>
      <c r="S447" s="27"/>
      <c r="T447" s="27"/>
      <c r="U447" s="27"/>
      <c r="V447" s="27"/>
      <c r="W447" s="27"/>
      <c r="X447" s="27"/>
      <c r="Y447" s="27"/>
      <c r="AE447" s="27"/>
      <c r="BD447" s="97"/>
      <c r="BE447" s="108"/>
      <c r="BF447" s="108"/>
      <c r="BG447" s="97"/>
      <c r="BH447" s="97"/>
      <c r="BI447" s="97"/>
      <c r="BJ447" s="97"/>
      <c r="BK447" s="110"/>
      <c r="BL447" s="97"/>
      <c r="BM447" s="97"/>
      <c r="BN447" s="97"/>
      <c r="BO447" s="147"/>
      <c r="BP447" s="143">
        <f t="shared" si="73"/>
        <v>0</v>
      </c>
      <c r="BQ447" s="147"/>
      <c r="BR447" s="143">
        <f t="shared" si="74"/>
        <v>0</v>
      </c>
      <c r="BS447" s="132"/>
      <c r="BT447" s="146">
        <f t="shared" si="75"/>
        <v>0</v>
      </c>
      <c r="BU447" s="66"/>
      <c r="BV447" s="143">
        <f t="shared" si="76"/>
        <v>0</v>
      </c>
      <c r="BW447" s="66"/>
      <c r="BX447" s="146">
        <f t="shared" si="77"/>
        <v>0</v>
      </c>
      <c r="BY447" s="66"/>
      <c r="BZ447" s="146">
        <f t="shared" si="78"/>
        <v>0</v>
      </c>
      <c r="CA447" s="66"/>
      <c r="CB447" s="146">
        <f t="shared" si="79"/>
        <v>0</v>
      </c>
      <c r="CC447" s="66"/>
      <c r="CD447" s="143">
        <f t="shared" si="80"/>
        <v>0</v>
      </c>
      <c r="CE447" s="66"/>
      <c r="CF447" s="143">
        <f t="shared" si="81"/>
        <v>0</v>
      </c>
      <c r="CG447" s="132"/>
      <c r="CH447" s="143">
        <f t="shared" si="82"/>
        <v>0</v>
      </c>
      <c r="CI447" s="132">
        <f t="shared" si="83"/>
        <v>0</v>
      </c>
      <c r="CJ447" s="143">
        <f t="shared" si="83"/>
        <v>0</v>
      </c>
    </row>
    <row r="448" spans="1:88" x14ac:dyDescent="0.3">
      <c r="A448" s="27"/>
      <c r="B448" s="27"/>
      <c r="C448" s="27"/>
      <c r="D448" s="27"/>
      <c r="E448" s="27"/>
      <c r="F448" s="27"/>
      <c r="G448" s="27"/>
      <c r="H448" s="27"/>
      <c r="I448" s="27"/>
      <c r="J448" s="27"/>
      <c r="K448" s="27"/>
      <c r="L448" s="27"/>
      <c r="N448" s="27"/>
      <c r="O448" s="27"/>
      <c r="P448" s="27"/>
      <c r="Q448" s="117" t="s">
        <v>1024</v>
      </c>
      <c r="R448" s="27"/>
      <c r="S448" s="27"/>
      <c r="T448" s="27"/>
      <c r="U448" s="27"/>
      <c r="V448" s="27"/>
      <c r="W448" s="27"/>
      <c r="X448" s="27"/>
      <c r="Y448" s="27"/>
      <c r="AE448" s="27"/>
      <c r="BD448" s="97"/>
      <c r="BE448" s="108"/>
      <c r="BF448" s="108"/>
      <c r="BG448" s="97"/>
      <c r="BH448" s="97"/>
      <c r="BI448" s="97"/>
      <c r="BJ448" s="97"/>
      <c r="BK448" s="110"/>
      <c r="BL448" s="97"/>
      <c r="BM448" s="97"/>
      <c r="BN448" s="97"/>
      <c r="BO448" s="147"/>
      <c r="BP448" s="143">
        <f t="shared" si="73"/>
        <v>0</v>
      </c>
      <c r="BQ448" s="147"/>
      <c r="BR448" s="143">
        <f t="shared" si="74"/>
        <v>0</v>
      </c>
      <c r="BS448" s="132"/>
      <c r="BT448" s="146">
        <f t="shared" si="75"/>
        <v>0</v>
      </c>
      <c r="BU448" s="66"/>
      <c r="BV448" s="143">
        <f t="shared" si="76"/>
        <v>0</v>
      </c>
      <c r="BW448" s="66"/>
      <c r="BX448" s="146">
        <f t="shared" si="77"/>
        <v>0</v>
      </c>
      <c r="BY448" s="66"/>
      <c r="BZ448" s="146">
        <f t="shared" si="78"/>
        <v>0</v>
      </c>
      <c r="CA448" s="66"/>
      <c r="CB448" s="146">
        <f t="shared" si="79"/>
        <v>0</v>
      </c>
      <c r="CC448" s="66"/>
      <c r="CD448" s="143">
        <f t="shared" si="80"/>
        <v>0</v>
      </c>
      <c r="CE448" s="66"/>
      <c r="CF448" s="143">
        <f t="shared" si="81"/>
        <v>0</v>
      </c>
      <c r="CG448" s="132"/>
      <c r="CH448" s="143">
        <f t="shared" si="82"/>
        <v>0</v>
      </c>
      <c r="CI448" s="132">
        <f t="shared" si="83"/>
        <v>0</v>
      </c>
      <c r="CJ448" s="143">
        <f t="shared" si="83"/>
        <v>0</v>
      </c>
    </row>
    <row r="449" spans="1:88" x14ac:dyDescent="0.3">
      <c r="A449" s="27"/>
      <c r="B449" s="27"/>
      <c r="C449" s="27"/>
      <c r="D449" s="27"/>
      <c r="E449" s="27"/>
      <c r="F449" s="27"/>
      <c r="G449" s="27"/>
      <c r="H449" s="27"/>
      <c r="I449" s="27"/>
      <c r="J449" s="27"/>
      <c r="K449" s="27"/>
      <c r="L449" s="27"/>
      <c r="N449" s="27"/>
      <c r="O449" s="27"/>
      <c r="P449" s="27"/>
      <c r="Q449" s="117" t="s">
        <v>1025</v>
      </c>
      <c r="R449" s="27"/>
      <c r="S449" s="27"/>
      <c r="T449" s="27"/>
      <c r="U449" s="27"/>
      <c r="V449" s="27"/>
      <c r="W449" s="27"/>
      <c r="X449" s="27"/>
      <c r="Y449" s="27"/>
      <c r="AE449" s="27"/>
      <c r="BD449" s="97"/>
      <c r="BE449" s="108"/>
      <c r="BF449" s="108"/>
      <c r="BG449" s="97"/>
      <c r="BH449" s="97"/>
      <c r="BI449" s="97"/>
      <c r="BJ449" s="97"/>
      <c r="BK449" s="110"/>
      <c r="BL449" s="97"/>
      <c r="BM449" s="97"/>
      <c r="BN449" s="97"/>
      <c r="BO449" s="147"/>
      <c r="BP449" s="143">
        <f t="shared" si="73"/>
        <v>0</v>
      </c>
      <c r="BQ449" s="147"/>
      <c r="BR449" s="143">
        <f t="shared" si="74"/>
        <v>0</v>
      </c>
      <c r="BS449" s="132"/>
      <c r="BT449" s="146">
        <f t="shared" si="75"/>
        <v>0</v>
      </c>
      <c r="BU449" s="66"/>
      <c r="BV449" s="143">
        <f t="shared" si="76"/>
        <v>0</v>
      </c>
      <c r="BW449" s="66"/>
      <c r="BX449" s="146">
        <f t="shared" si="77"/>
        <v>0</v>
      </c>
      <c r="BY449" s="66"/>
      <c r="BZ449" s="146">
        <f t="shared" si="78"/>
        <v>0</v>
      </c>
      <c r="CA449" s="66"/>
      <c r="CB449" s="146">
        <f t="shared" si="79"/>
        <v>0</v>
      </c>
      <c r="CC449" s="66"/>
      <c r="CD449" s="143">
        <f t="shared" si="80"/>
        <v>0</v>
      </c>
      <c r="CE449" s="66"/>
      <c r="CF449" s="143">
        <f t="shared" si="81"/>
        <v>0</v>
      </c>
      <c r="CG449" s="132"/>
      <c r="CH449" s="143">
        <f t="shared" si="82"/>
        <v>0</v>
      </c>
      <c r="CI449" s="132">
        <f t="shared" si="83"/>
        <v>0</v>
      </c>
      <c r="CJ449" s="143">
        <f t="shared" si="83"/>
        <v>0</v>
      </c>
    </row>
    <row r="450" spans="1:88" x14ac:dyDescent="0.3">
      <c r="A450" s="27"/>
      <c r="B450" s="27"/>
      <c r="C450" s="27"/>
      <c r="D450" s="27"/>
      <c r="E450" s="27"/>
      <c r="F450" s="27"/>
      <c r="G450" s="27"/>
      <c r="H450" s="27"/>
      <c r="I450" s="27"/>
      <c r="J450" s="27"/>
      <c r="K450" s="27"/>
      <c r="L450" s="27"/>
      <c r="N450" s="27"/>
      <c r="O450" s="27"/>
      <c r="P450" s="27"/>
      <c r="Q450" s="117" t="s">
        <v>1026</v>
      </c>
      <c r="R450" s="27"/>
      <c r="S450" s="27"/>
      <c r="T450" s="27"/>
      <c r="U450" s="27"/>
      <c r="V450" s="27"/>
      <c r="W450" s="27"/>
      <c r="X450" s="27"/>
      <c r="Y450" s="27"/>
      <c r="AE450" s="27"/>
      <c r="BD450" s="97"/>
      <c r="BE450" s="108"/>
      <c r="BF450" s="108"/>
      <c r="BG450" s="97"/>
      <c r="BH450" s="97"/>
      <c r="BI450" s="97"/>
      <c r="BJ450" s="97"/>
      <c r="BK450" s="110"/>
      <c r="BL450" s="97"/>
      <c r="BM450" s="97"/>
      <c r="BN450" s="97"/>
      <c r="BO450" s="147"/>
      <c r="BP450" s="143">
        <f t="shared" si="73"/>
        <v>0</v>
      </c>
      <c r="BQ450" s="147"/>
      <c r="BR450" s="143">
        <f t="shared" si="74"/>
        <v>0</v>
      </c>
      <c r="BS450" s="132"/>
      <c r="BT450" s="146">
        <f t="shared" si="75"/>
        <v>0</v>
      </c>
      <c r="BU450" s="66"/>
      <c r="BV450" s="143">
        <f t="shared" si="76"/>
        <v>0</v>
      </c>
      <c r="BW450" s="66"/>
      <c r="BX450" s="146">
        <f t="shared" si="77"/>
        <v>0</v>
      </c>
      <c r="BY450" s="66"/>
      <c r="BZ450" s="146">
        <f t="shared" si="78"/>
        <v>0</v>
      </c>
      <c r="CA450" s="66"/>
      <c r="CB450" s="146">
        <f t="shared" si="79"/>
        <v>0</v>
      </c>
      <c r="CC450" s="66"/>
      <c r="CD450" s="143">
        <f t="shared" si="80"/>
        <v>0</v>
      </c>
      <c r="CE450" s="66"/>
      <c r="CF450" s="143">
        <f t="shared" si="81"/>
        <v>0</v>
      </c>
      <c r="CG450" s="132"/>
      <c r="CH450" s="143">
        <f t="shared" si="82"/>
        <v>0</v>
      </c>
      <c r="CI450" s="132">
        <f t="shared" si="83"/>
        <v>0</v>
      </c>
      <c r="CJ450" s="143">
        <f t="shared" si="83"/>
        <v>0</v>
      </c>
    </row>
    <row r="451" spans="1:88" x14ac:dyDescent="0.3">
      <c r="A451" s="27"/>
      <c r="B451" s="27"/>
      <c r="C451" s="27"/>
      <c r="D451" s="27"/>
      <c r="E451" s="27"/>
      <c r="F451" s="27"/>
      <c r="G451" s="27"/>
      <c r="H451" s="27"/>
      <c r="I451" s="27"/>
      <c r="J451" s="27"/>
      <c r="K451" s="27"/>
      <c r="L451" s="27"/>
      <c r="N451" s="27"/>
      <c r="O451" s="27"/>
      <c r="P451" s="27"/>
      <c r="Q451" s="117" t="s">
        <v>1027</v>
      </c>
      <c r="R451" s="27"/>
      <c r="S451" s="27"/>
      <c r="T451" s="27"/>
      <c r="U451" s="27"/>
      <c r="V451" s="27"/>
      <c r="W451" s="27"/>
      <c r="X451" s="27"/>
      <c r="Y451" s="27"/>
      <c r="AE451" s="27"/>
      <c r="BD451" s="97"/>
      <c r="BE451" s="108"/>
      <c r="BF451" s="108"/>
      <c r="BG451" s="97"/>
      <c r="BH451" s="97"/>
      <c r="BI451" s="97"/>
      <c r="BJ451" s="97"/>
      <c r="BK451" s="110"/>
      <c r="BL451" s="97"/>
      <c r="BM451" s="97"/>
      <c r="BN451" s="97"/>
      <c r="BO451" s="147"/>
      <c r="BP451" s="143">
        <f t="shared" si="73"/>
        <v>0</v>
      </c>
      <c r="BQ451" s="147"/>
      <c r="BR451" s="143">
        <f t="shared" si="74"/>
        <v>0</v>
      </c>
      <c r="BS451" s="132"/>
      <c r="BT451" s="146">
        <f t="shared" si="75"/>
        <v>0</v>
      </c>
      <c r="BU451" s="66"/>
      <c r="BV451" s="143">
        <f t="shared" si="76"/>
        <v>0</v>
      </c>
      <c r="BW451" s="66"/>
      <c r="BX451" s="146">
        <f t="shared" si="77"/>
        <v>0</v>
      </c>
      <c r="BY451" s="66"/>
      <c r="BZ451" s="146">
        <f t="shared" si="78"/>
        <v>0</v>
      </c>
      <c r="CA451" s="66"/>
      <c r="CB451" s="146">
        <f t="shared" si="79"/>
        <v>0</v>
      </c>
      <c r="CC451" s="66"/>
      <c r="CD451" s="143">
        <f t="shared" si="80"/>
        <v>0</v>
      </c>
      <c r="CE451" s="66"/>
      <c r="CF451" s="143">
        <f t="shared" si="81"/>
        <v>0</v>
      </c>
      <c r="CG451" s="132"/>
      <c r="CH451" s="143">
        <f t="shared" si="82"/>
        <v>0</v>
      </c>
      <c r="CI451" s="132">
        <f t="shared" si="83"/>
        <v>0</v>
      </c>
      <c r="CJ451" s="143">
        <f t="shared" si="83"/>
        <v>0</v>
      </c>
    </row>
    <row r="452" spans="1:88" x14ac:dyDescent="0.3">
      <c r="A452" s="27"/>
      <c r="B452" s="27"/>
      <c r="C452" s="27"/>
      <c r="D452" s="27"/>
      <c r="E452" s="27"/>
      <c r="F452" s="27"/>
      <c r="G452" s="27"/>
      <c r="H452" s="27"/>
      <c r="I452" s="27"/>
      <c r="J452" s="27"/>
      <c r="K452" s="27"/>
      <c r="L452" s="27"/>
      <c r="N452" s="27"/>
      <c r="O452" s="27"/>
      <c r="P452" s="27"/>
      <c r="Q452" s="117" t="s">
        <v>1028</v>
      </c>
      <c r="R452" s="27"/>
      <c r="S452" s="27"/>
      <c r="T452" s="27"/>
      <c r="U452" s="27"/>
      <c r="V452" s="27"/>
      <c r="W452" s="27"/>
      <c r="X452" s="27"/>
      <c r="Y452" s="27"/>
      <c r="AE452" s="27"/>
      <c r="BD452" s="97"/>
      <c r="BE452" s="108"/>
      <c r="BF452" s="108"/>
      <c r="BG452" s="97"/>
      <c r="BH452" s="97"/>
      <c r="BI452" s="97"/>
      <c r="BJ452" s="97"/>
      <c r="BK452" s="110"/>
      <c r="BL452" s="97"/>
      <c r="BM452" s="97"/>
      <c r="BN452" s="97"/>
      <c r="BO452" s="147"/>
      <c r="BP452" s="143">
        <f t="shared" si="73"/>
        <v>0</v>
      </c>
      <c r="BQ452" s="147"/>
      <c r="BR452" s="143">
        <f t="shared" si="74"/>
        <v>0</v>
      </c>
      <c r="BS452" s="132"/>
      <c r="BT452" s="146">
        <f t="shared" si="75"/>
        <v>0</v>
      </c>
      <c r="BU452" s="66"/>
      <c r="BV452" s="143">
        <f t="shared" si="76"/>
        <v>0</v>
      </c>
      <c r="BW452" s="66"/>
      <c r="BX452" s="146">
        <f t="shared" si="77"/>
        <v>0</v>
      </c>
      <c r="BY452" s="66"/>
      <c r="BZ452" s="146">
        <f t="shared" si="78"/>
        <v>0</v>
      </c>
      <c r="CA452" s="66"/>
      <c r="CB452" s="146">
        <f t="shared" si="79"/>
        <v>0</v>
      </c>
      <c r="CC452" s="66"/>
      <c r="CD452" s="143">
        <f t="shared" si="80"/>
        <v>0</v>
      </c>
      <c r="CE452" s="66"/>
      <c r="CF452" s="143">
        <f t="shared" si="81"/>
        <v>0</v>
      </c>
      <c r="CG452" s="132"/>
      <c r="CH452" s="143">
        <f t="shared" si="82"/>
        <v>0</v>
      </c>
      <c r="CI452" s="132">
        <f t="shared" si="83"/>
        <v>0</v>
      </c>
      <c r="CJ452" s="143">
        <f t="shared" si="83"/>
        <v>0</v>
      </c>
    </row>
    <row r="453" spans="1:88" x14ac:dyDescent="0.3">
      <c r="A453" s="27"/>
      <c r="B453" s="27"/>
      <c r="C453" s="27"/>
      <c r="D453" s="27"/>
      <c r="E453" s="27"/>
      <c r="F453" s="27"/>
      <c r="G453" s="27"/>
      <c r="H453" s="27"/>
      <c r="I453" s="27"/>
      <c r="J453" s="27"/>
      <c r="K453" s="27"/>
      <c r="L453" s="27"/>
      <c r="N453" s="27"/>
      <c r="O453" s="27"/>
      <c r="P453" s="27"/>
      <c r="Q453" s="117" t="s">
        <v>1029</v>
      </c>
      <c r="R453" s="27"/>
      <c r="S453" s="27"/>
      <c r="T453" s="27"/>
      <c r="U453" s="27"/>
      <c r="V453" s="27"/>
      <c r="W453" s="27"/>
      <c r="X453" s="27"/>
      <c r="Y453" s="27"/>
      <c r="AE453" s="27"/>
      <c r="BD453" s="97"/>
      <c r="BE453" s="108"/>
      <c r="BF453" s="108"/>
      <c r="BG453" s="97"/>
      <c r="BH453" s="97"/>
      <c r="BI453" s="97"/>
      <c r="BJ453" s="97"/>
      <c r="BK453" s="110"/>
      <c r="BL453" s="97"/>
      <c r="BM453" s="97"/>
      <c r="BN453" s="97"/>
      <c r="BO453" s="147"/>
      <c r="BP453" s="143">
        <f t="shared" si="73"/>
        <v>0</v>
      </c>
      <c r="BQ453" s="147"/>
      <c r="BR453" s="143">
        <f t="shared" si="74"/>
        <v>0</v>
      </c>
      <c r="BS453" s="132"/>
      <c r="BT453" s="146">
        <f t="shared" si="75"/>
        <v>0</v>
      </c>
      <c r="BU453" s="66"/>
      <c r="BV453" s="143">
        <f t="shared" si="76"/>
        <v>0</v>
      </c>
      <c r="BW453" s="66"/>
      <c r="BX453" s="146">
        <f t="shared" si="77"/>
        <v>0</v>
      </c>
      <c r="BY453" s="66"/>
      <c r="BZ453" s="146">
        <f t="shared" si="78"/>
        <v>0</v>
      </c>
      <c r="CA453" s="66"/>
      <c r="CB453" s="146">
        <f t="shared" si="79"/>
        <v>0</v>
      </c>
      <c r="CC453" s="66"/>
      <c r="CD453" s="143">
        <f t="shared" si="80"/>
        <v>0</v>
      </c>
      <c r="CE453" s="66"/>
      <c r="CF453" s="143">
        <f t="shared" si="81"/>
        <v>0</v>
      </c>
      <c r="CG453" s="132"/>
      <c r="CH453" s="143">
        <f t="shared" si="82"/>
        <v>0</v>
      </c>
      <c r="CI453" s="132">
        <f t="shared" si="83"/>
        <v>0</v>
      </c>
      <c r="CJ453" s="143">
        <f t="shared" si="83"/>
        <v>0</v>
      </c>
    </row>
    <row r="454" spans="1:88" x14ac:dyDescent="0.3">
      <c r="A454" s="27"/>
      <c r="B454" s="27"/>
      <c r="C454" s="27"/>
      <c r="D454" s="27"/>
      <c r="E454" s="27"/>
      <c r="F454" s="27"/>
      <c r="G454" s="27"/>
      <c r="H454" s="27"/>
      <c r="I454" s="27"/>
      <c r="J454" s="27"/>
      <c r="K454" s="27"/>
      <c r="L454" s="27"/>
      <c r="N454" s="27"/>
      <c r="O454" s="27"/>
      <c r="P454" s="27"/>
      <c r="Q454" s="117" t="s">
        <v>1030</v>
      </c>
      <c r="R454" s="27"/>
      <c r="S454" s="27"/>
      <c r="T454" s="27"/>
      <c r="U454" s="27"/>
      <c r="V454" s="27"/>
      <c r="W454" s="27"/>
      <c r="X454" s="27"/>
      <c r="Y454" s="27"/>
      <c r="AE454" s="27"/>
      <c r="BD454" s="97"/>
      <c r="BE454" s="108"/>
      <c r="BF454" s="108"/>
      <c r="BG454" s="97"/>
      <c r="BH454" s="97"/>
      <c r="BI454" s="97"/>
      <c r="BJ454" s="97"/>
      <c r="BK454" s="110"/>
      <c r="BL454" s="97"/>
      <c r="BM454" s="97"/>
      <c r="BN454" s="97"/>
      <c r="BO454" s="147"/>
      <c r="BP454" s="143">
        <f t="shared" si="73"/>
        <v>0</v>
      </c>
      <c r="BQ454" s="147"/>
      <c r="BR454" s="143">
        <f t="shared" si="74"/>
        <v>0</v>
      </c>
      <c r="BS454" s="132"/>
      <c r="BT454" s="146">
        <f t="shared" si="75"/>
        <v>0</v>
      </c>
      <c r="BU454" s="66"/>
      <c r="BV454" s="143">
        <f t="shared" si="76"/>
        <v>0</v>
      </c>
      <c r="BW454" s="66"/>
      <c r="BX454" s="146">
        <f t="shared" si="77"/>
        <v>0</v>
      </c>
      <c r="BY454" s="66"/>
      <c r="BZ454" s="146">
        <f t="shared" si="78"/>
        <v>0</v>
      </c>
      <c r="CA454" s="66"/>
      <c r="CB454" s="146">
        <f t="shared" si="79"/>
        <v>0</v>
      </c>
      <c r="CC454" s="66"/>
      <c r="CD454" s="143">
        <f t="shared" si="80"/>
        <v>0</v>
      </c>
      <c r="CE454" s="66"/>
      <c r="CF454" s="143">
        <f t="shared" si="81"/>
        <v>0</v>
      </c>
      <c r="CG454" s="132"/>
      <c r="CH454" s="143">
        <f t="shared" si="82"/>
        <v>0</v>
      </c>
      <c r="CI454" s="132">
        <f t="shared" si="83"/>
        <v>0</v>
      </c>
      <c r="CJ454" s="143">
        <f t="shared" si="83"/>
        <v>0</v>
      </c>
    </row>
    <row r="455" spans="1:88" x14ac:dyDescent="0.3">
      <c r="A455" s="27"/>
      <c r="B455" s="27"/>
      <c r="C455" s="27"/>
      <c r="D455" s="27"/>
      <c r="E455" s="27"/>
      <c r="F455" s="27"/>
      <c r="G455" s="27"/>
      <c r="H455" s="27"/>
      <c r="I455" s="27"/>
      <c r="J455" s="27"/>
      <c r="K455" s="27"/>
      <c r="L455" s="27"/>
      <c r="N455" s="27"/>
      <c r="O455" s="27"/>
      <c r="P455" s="27"/>
      <c r="Q455" s="117" t="s">
        <v>1031</v>
      </c>
      <c r="R455" s="27"/>
      <c r="S455" s="27"/>
      <c r="T455" s="27"/>
      <c r="U455" s="27"/>
      <c r="V455" s="27"/>
      <c r="W455" s="27"/>
      <c r="X455" s="27"/>
      <c r="Y455" s="27"/>
      <c r="AE455" s="27"/>
      <c r="BD455" s="97"/>
      <c r="BE455" s="108"/>
      <c r="BF455" s="108"/>
      <c r="BG455" s="97"/>
      <c r="BH455" s="97"/>
      <c r="BI455" s="97"/>
      <c r="BJ455" s="97"/>
      <c r="BK455" s="110"/>
      <c r="BL455" s="97"/>
      <c r="BM455" s="97"/>
      <c r="BN455" s="97"/>
      <c r="BO455" s="147"/>
      <c r="BP455" s="143">
        <f t="shared" si="73"/>
        <v>0</v>
      </c>
      <c r="BQ455" s="147"/>
      <c r="BR455" s="143">
        <f t="shared" si="74"/>
        <v>0</v>
      </c>
      <c r="BS455" s="132"/>
      <c r="BT455" s="146">
        <f t="shared" si="75"/>
        <v>0</v>
      </c>
      <c r="BU455" s="66"/>
      <c r="BV455" s="143">
        <f t="shared" si="76"/>
        <v>0</v>
      </c>
      <c r="BW455" s="66"/>
      <c r="BX455" s="146">
        <f t="shared" si="77"/>
        <v>0</v>
      </c>
      <c r="BY455" s="66"/>
      <c r="BZ455" s="146">
        <f t="shared" si="78"/>
        <v>0</v>
      </c>
      <c r="CA455" s="66"/>
      <c r="CB455" s="146">
        <f t="shared" si="79"/>
        <v>0</v>
      </c>
      <c r="CC455" s="66"/>
      <c r="CD455" s="143">
        <f t="shared" si="80"/>
        <v>0</v>
      </c>
      <c r="CE455" s="66"/>
      <c r="CF455" s="143">
        <f t="shared" si="81"/>
        <v>0</v>
      </c>
      <c r="CG455" s="132"/>
      <c r="CH455" s="143">
        <f t="shared" si="82"/>
        <v>0</v>
      </c>
      <c r="CI455" s="132">
        <f t="shared" si="83"/>
        <v>0</v>
      </c>
      <c r="CJ455" s="143">
        <f t="shared" si="83"/>
        <v>0</v>
      </c>
    </row>
    <row r="456" spans="1:88" x14ac:dyDescent="0.3">
      <c r="A456" s="27"/>
      <c r="B456" s="27"/>
      <c r="C456" s="27"/>
      <c r="D456" s="27"/>
      <c r="E456" s="27"/>
      <c r="F456" s="27"/>
      <c r="G456" s="27"/>
      <c r="H456" s="27"/>
      <c r="I456" s="27"/>
      <c r="J456" s="27"/>
      <c r="K456" s="27"/>
      <c r="L456" s="27"/>
      <c r="N456" s="27"/>
      <c r="O456" s="27"/>
      <c r="P456" s="27"/>
      <c r="Q456" s="117" t="s">
        <v>1032</v>
      </c>
      <c r="R456" s="27"/>
      <c r="S456" s="27"/>
      <c r="T456" s="27"/>
      <c r="U456" s="27"/>
      <c r="V456" s="27"/>
      <c r="W456" s="27"/>
      <c r="X456" s="27"/>
      <c r="Y456" s="27"/>
      <c r="AE456" s="27"/>
      <c r="BD456" s="97"/>
      <c r="BE456" s="108"/>
      <c r="BF456" s="108"/>
      <c r="BG456" s="97"/>
      <c r="BH456" s="97"/>
      <c r="BI456" s="97"/>
      <c r="BJ456" s="97"/>
      <c r="BK456" s="110"/>
      <c r="BL456" s="97"/>
      <c r="BM456" s="97"/>
      <c r="BN456" s="97"/>
      <c r="BO456" s="147"/>
      <c r="BP456" s="143">
        <f t="shared" si="73"/>
        <v>0</v>
      </c>
      <c r="BQ456" s="147"/>
      <c r="BR456" s="143">
        <f t="shared" si="74"/>
        <v>0</v>
      </c>
      <c r="BS456" s="132"/>
      <c r="BT456" s="146">
        <f t="shared" si="75"/>
        <v>0</v>
      </c>
      <c r="BU456" s="66"/>
      <c r="BV456" s="143">
        <f t="shared" si="76"/>
        <v>0</v>
      </c>
      <c r="BW456" s="66"/>
      <c r="BX456" s="146">
        <f t="shared" si="77"/>
        <v>0</v>
      </c>
      <c r="BY456" s="66"/>
      <c r="BZ456" s="146">
        <f t="shared" si="78"/>
        <v>0</v>
      </c>
      <c r="CA456" s="66"/>
      <c r="CB456" s="146">
        <f t="shared" si="79"/>
        <v>0</v>
      </c>
      <c r="CC456" s="66"/>
      <c r="CD456" s="143">
        <f t="shared" si="80"/>
        <v>0</v>
      </c>
      <c r="CE456" s="66"/>
      <c r="CF456" s="143">
        <f t="shared" si="81"/>
        <v>0</v>
      </c>
      <c r="CG456" s="132"/>
      <c r="CH456" s="143">
        <f t="shared" si="82"/>
        <v>0</v>
      </c>
      <c r="CI456" s="132">
        <f t="shared" si="83"/>
        <v>0</v>
      </c>
      <c r="CJ456" s="143">
        <f t="shared" si="83"/>
        <v>0</v>
      </c>
    </row>
    <row r="457" spans="1:88" x14ac:dyDescent="0.3">
      <c r="A457" s="27"/>
      <c r="B457" s="27"/>
      <c r="C457" s="27"/>
      <c r="D457" s="27"/>
      <c r="E457" s="27"/>
      <c r="F457" s="27"/>
      <c r="G457" s="27"/>
      <c r="H457" s="27"/>
      <c r="I457" s="27"/>
      <c r="J457" s="27"/>
      <c r="K457" s="27"/>
      <c r="L457" s="27"/>
      <c r="N457" s="27"/>
      <c r="O457" s="27"/>
      <c r="P457" s="27"/>
      <c r="Q457" s="117" t="s">
        <v>1033</v>
      </c>
      <c r="R457" s="27"/>
      <c r="S457" s="27"/>
      <c r="T457" s="27"/>
      <c r="U457" s="27"/>
      <c r="V457" s="27"/>
      <c r="W457" s="27"/>
      <c r="X457" s="27"/>
      <c r="Y457" s="27"/>
      <c r="AE457" s="27"/>
      <c r="BD457" s="97"/>
      <c r="BE457" s="108"/>
      <c r="BF457" s="108"/>
      <c r="BG457" s="97"/>
      <c r="BH457" s="97"/>
      <c r="BI457" s="97"/>
      <c r="BJ457" s="97"/>
      <c r="BK457" s="110"/>
      <c r="BL457" s="97"/>
      <c r="BM457" s="97"/>
      <c r="BN457" s="97"/>
      <c r="BO457" s="147"/>
      <c r="BP457" s="143">
        <f t="shared" si="73"/>
        <v>0</v>
      </c>
      <c r="BQ457" s="147"/>
      <c r="BR457" s="143">
        <f t="shared" si="74"/>
        <v>0</v>
      </c>
      <c r="BS457" s="132"/>
      <c r="BT457" s="146">
        <f t="shared" si="75"/>
        <v>0</v>
      </c>
      <c r="BU457" s="66"/>
      <c r="BV457" s="143">
        <f t="shared" si="76"/>
        <v>0</v>
      </c>
      <c r="BW457" s="66"/>
      <c r="BX457" s="146">
        <f t="shared" si="77"/>
        <v>0</v>
      </c>
      <c r="BY457" s="66"/>
      <c r="BZ457" s="146">
        <f t="shared" si="78"/>
        <v>0</v>
      </c>
      <c r="CA457" s="66"/>
      <c r="CB457" s="146">
        <f t="shared" si="79"/>
        <v>0</v>
      </c>
      <c r="CC457" s="66"/>
      <c r="CD457" s="143">
        <f t="shared" si="80"/>
        <v>0</v>
      </c>
      <c r="CE457" s="66"/>
      <c r="CF457" s="143">
        <f t="shared" si="81"/>
        <v>0</v>
      </c>
      <c r="CG457" s="132"/>
      <c r="CH457" s="143">
        <f t="shared" si="82"/>
        <v>0</v>
      </c>
      <c r="CI457" s="132">
        <f t="shared" si="83"/>
        <v>0</v>
      </c>
      <c r="CJ457" s="143">
        <f t="shared" si="83"/>
        <v>0</v>
      </c>
    </row>
    <row r="458" spans="1:88" x14ac:dyDescent="0.3">
      <c r="A458" s="27"/>
      <c r="B458" s="27"/>
      <c r="C458" s="27"/>
      <c r="D458" s="27"/>
      <c r="E458" s="27"/>
      <c r="F458" s="27"/>
      <c r="G458" s="27"/>
      <c r="H458" s="27"/>
      <c r="I458" s="27"/>
      <c r="J458" s="27"/>
      <c r="K458" s="27"/>
      <c r="L458" s="27"/>
      <c r="N458" s="27"/>
      <c r="O458" s="27"/>
      <c r="P458" s="27"/>
      <c r="Q458" s="117" t="s">
        <v>447</v>
      </c>
      <c r="R458" s="27"/>
      <c r="S458" s="27"/>
      <c r="T458" s="27"/>
      <c r="U458" s="27"/>
      <c r="V458" s="27"/>
      <c r="W458" s="27"/>
      <c r="X458" s="27"/>
      <c r="Y458" s="27"/>
      <c r="AE458" s="27"/>
      <c r="BD458" s="97"/>
      <c r="BE458" s="108"/>
      <c r="BF458" s="108"/>
      <c r="BG458" s="97"/>
      <c r="BH458" s="97"/>
      <c r="BI458" s="97"/>
      <c r="BJ458" s="97"/>
      <c r="BK458" s="110"/>
      <c r="BL458" s="97"/>
      <c r="BM458" s="97"/>
      <c r="BN458" s="97"/>
      <c r="BO458" s="147"/>
      <c r="BP458" s="143">
        <f t="shared" ref="BP458:BP521" si="84">BO458*AX458</f>
        <v>0</v>
      </c>
      <c r="BQ458" s="147"/>
      <c r="BR458" s="143">
        <f t="shared" ref="BR458:BR521" si="85">BQ458*AX458</f>
        <v>0</v>
      </c>
      <c r="BS458" s="132"/>
      <c r="BT458" s="146">
        <f t="shared" ref="BT458:BT521" si="86">BS458*AX458</f>
        <v>0</v>
      </c>
      <c r="BU458" s="66"/>
      <c r="BV458" s="143">
        <f t="shared" ref="BV458:BV521" si="87">BU458*AX458</f>
        <v>0</v>
      </c>
      <c r="BW458" s="66"/>
      <c r="BX458" s="146">
        <f t="shared" ref="BX458:BX521" si="88">BW458*AX458</f>
        <v>0</v>
      </c>
      <c r="BY458" s="66"/>
      <c r="BZ458" s="146">
        <f t="shared" ref="BZ458:BZ521" si="89">BY458*AX458</f>
        <v>0</v>
      </c>
      <c r="CA458" s="66"/>
      <c r="CB458" s="146">
        <f t="shared" ref="CB458:CB521" si="90">CA458*AX458</f>
        <v>0</v>
      </c>
      <c r="CC458" s="66"/>
      <c r="CD458" s="143">
        <f t="shared" ref="CD458:CD521" si="91">CC458*AX458</f>
        <v>0</v>
      </c>
      <c r="CE458" s="66"/>
      <c r="CF458" s="143">
        <f t="shared" ref="CF458:CF521" si="92">CE458*AX458</f>
        <v>0</v>
      </c>
      <c r="CG458" s="132"/>
      <c r="CH458" s="143">
        <f t="shared" ref="CH458:CH521" si="93">CG458*AX458</f>
        <v>0</v>
      </c>
      <c r="CI458" s="132">
        <f t="shared" ref="CI458:CJ521" si="94">SUM(BO458,BQ458,BS458,BU458,BW458,BY458,CA458,CC458,CE458,CG458)</f>
        <v>0</v>
      </c>
      <c r="CJ458" s="143">
        <f t="shared" si="94"/>
        <v>0</v>
      </c>
    </row>
    <row r="459" spans="1:88" x14ac:dyDescent="0.3">
      <c r="A459" s="27"/>
      <c r="B459" s="27"/>
      <c r="C459" s="27"/>
      <c r="D459" s="27"/>
      <c r="E459" s="27"/>
      <c r="F459" s="27"/>
      <c r="G459" s="27"/>
      <c r="H459" s="27"/>
      <c r="I459" s="27"/>
      <c r="J459" s="27"/>
      <c r="K459" s="27"/>
      <c r="L459" s="27"/>
      <c r="N459" s="27"/>
      <c r="O459" s="27"/>
      <c r="P459" s="27"/>
      <c r="Q459" s="117" t="s">
        <v>1034</v>
      </c>
      <c r="R459" s="27"/>
      <c r="S459" s="27"/>
      <c r="T459" s="27"/>
      <c r="U459" s="27"/>
      <c r="V459" s="27"/>
      <c r="W459" s="27"/>
      <c r="X459" s="27"/>
      <c r="Y459" s="27"/>
      <c r="AE459" s="27"/>
      <c r="BD459" s="97"/>
      <c r="BE459" s="108"/>
      <c r="BF459" s="108"/>
      <c r="BG459" s="97"/>
      <c r="BH459" s="97"/>
      <c r="BI459" s="97"/>
      <c r="BJ459" s="97"/>
      <c r="BK459" s="110"/>
      <c r="BL459" s="97"/>
      <c r="BM459" s="97"/>
      <c r="BN459" s="97"/>
      <c r="BO459" s="144"/>
      <c r="BP459" s="143">
        <f t="shared" si="84"/>
        <v>0</v>
      </c>
      <c r="BQ459" s="144"/>
      <c r="BR459" s="143">
        <f t="shared" si="85"/>
        <v>0</v>
      </c>
      <c r="BS459" s="132"/>
      <c r="BT459" s="146">
        <f t="shared" si="86"/>
        <v>0</v>
      </c>
      <c r="BU459" s="145"/>
      <c r="BV459" s="143">
        <f t="shared" si="87"/>
        <v>0</v>
      </c>
      <c r="BW459" s="145"/>
      <c r="BX459" s="146">
        <f t="shared" si="88"/>
        <v>0</v>
      </c>
      <c r="BY459" s="145"/>
      <c r="BZ459" s="146">
        <f t="shared" si="89"/>
        <v>0</v>
      </c>
      <c r="CA459" s="145"/>
      <c r="CB459" s="146">
        <f t="shared" si="90"/>
        <v>0</v>
      </c>
      <c r="CC459" s="145"/>
      <c r="CD459" s="143">
        <f t="shared" si="91"/>
        <v>0</v>
      </c>
      <c r="CE459" s="145"/>
      <c r="CF459" s="143">
        <f t="shared" si="92"/>
        <v>0</v>
      </c>
      <c r="CG459" s="132"/>
      <c r="CH459" s="143">
        <f t="shared" si="93"/>
        <v>0</v>
      </c>
      <c r="CI459" s="132">
        <f t="shared" si="94"/>
        <v>0</v>
      </c>
      <c r="CJ459" s="143">
        <f t="shared" si="94"/>
        <v>0</v>
      </c>
    </row>
    <row r="460" spans="1:88" x14ac:dyDescent="0.3">
      <c r="A460" s="27"/>
      <c r="B460" s="27"/>
      <c r="C460" s="27"/>
      <c r="D460" s="27"/>
      <c r="E460" s="27"/>
      <c r="F460" s="27"/>
      <c r="G460" s="27"/>
      <c r="H460" s="27"/>
      <c r="I460" s="27"/>
      <c r="J460" s="27"/>
      <c r="K460" s="27"/>
      <c r="L460" s="27"/>
      <c r="N460" s="27"/>
      <c r="O460" s="27"/>
      <c r="P460" s="27"/>
      <c r="Q460" s="117" t="s">
        <v>1035</v>
      </c>
      <c r="R460" s="27"/>
      <c r="S460" s="27"/>
      <c r="T460" s="27"/>
      <c r="U460" s="27"/>
      <c r="V460" s="27"/>
      <c r="W460" s="27"/>
      <c r="X460" s="27"/>
      <c r="Y460" s="27"/>
      <c r="AE460" s="27"/>
      <c r="BD460" s="97"/>
      <c r="BE460" s="108"/>
      <c r="BF460" s="108"/>
      <c r="BG460" s="97"/>
      <c r="BH460" s="97"/>
      <c r="BI460" s="97"/>
      <c r="BJ460" s="97"/>
      <c r="BK460" s="110"/>
      <c r="BL460" s="97"/>
      <c r="BM460" s="97"/>
      <c r="BN460" s="97"/>
      <c r="BO460" s="144"/>
      <c r="BP460" s="143">
        <f t="shared" si="84"/>
        <v>0</v>
      </c>
      <c r="BQ460" s="144"/>
      <c r="BR460" s="143">
        <f t="shared" si="85"/>
        <v>0</v>
      </c>
      <c r="BS460" s="132"/>
      <c r="BT460" s="146">
        <f t="shared" si="86"/>
        <v>0</v>
      </c>
      <c r="BU460" s="145"/>
      <c r="BV460" s="143">
        <f t="shared" si="87"/>
        <v>0</v>
      </c>
      <c r="BW460" s="145"/>
      <c r="BX460" s="146">
        <f t="shared" si="88"/>
        <v>0</v>
      </c>
      <c r="BY460" s="145"/>
      <c r="BZ460" s="146">
        <f t="shared" si="89"/>
        <v>0</v>
      </c>
      <c r="CA460" s="145"/>
      <c r="CB460" s="146">
        <f t="shared" si="90"/>
        <v>0</v>
      </c>
      <c r="CC460" s="145"/>
      <c r="CD460" s="143">
        <f t="shared" si="91"/>
        <v>0</v>
      </c>
      <c r="CE460" s="145"/>
      <c r="CF460" s="143">
        <f t="shared" si="92"/>
        <v>0</v>
      </c>
      <c r="CG460" s="132"/>
      <c r="CH460" s="143">
        <f t="shared" si="93"/>
        <v>0</v>
      </c>
      <c r="CI460" s="132">
        <f t="shared" si="94"/>
        <v>0</v>
      </c>
      <c r="CJ460" s="143">
        <f t="shared" si="94"/>
        <v>0</v>
      </c>
    </row>
    <row r="461" spans="1:88" x14ac:dyDescent="0.3">
      <c r="A461" s="27"/>
      <c r="B461" s="27"/>
      <c r="C461" s="27"/>
      <c r="D461" s="27"/>
      <c r="E461" s="27"/>
      <c r="F461" s="27"/>
      <c r="G461" s="27"/>
      <c r="H461" s="27"/>
      <c r="I461" s="27"/>
      <c r="J461" s="27"/>
      <c r="K461" s="27"/>
      <c r="L461" s="27"/>
      <c r="N461" s="27"/>
      <c r="O461" s="27"/>
      <c r="P461" s="27"/>
      <c r="Q461" s="117" t="s">
        <v>1036</v>
      </c>
      <c r="R461" s="27"/>
      <c r="S461" s="27"/>
      <c r="T461" s="27"/>
      <c r="U461" s="27"/>
      <c r="V461" s="27"/>
      <c r="W461" s="27"/>
      <c r="X461" s="27"/>
      <c r="Y461" s="27"/>
      <c r="AE461" s="27"/>
      <c r="BD461" s="97"/>
      <c r="BE461" s="108"/>
      <c r="BF461" s="108"/>
      <c r="BG461" s="97"/>
      <c r="BH461" s="97"/>
      <c r="BI461" s="97"/>
      <c r="BJ461" s="97"/>
      <c r="BK461" s="110"/>
      <c r="BL461" s="97"/>
      <c r="BM461" s="97"/>
      <c r="BN461" s="97"/>
      <c r="BO461" s="147"/>
      <c r="BP461" s="143">
        <f t="shared" si="84"/>
        <v>0</v>
      </c>
      <c r="BQ461" s="147"/>
      <c r="BR461" s="143">
        <f t="shared" si="85"/>
        <v>0</v>
      </c>
      <c r="BS461" s="132"/>
      <c r="BT461" s="146">
        <f t="shared" si="86"/>
        <v>0</v>
      </c>
      <c r="BU461" s="66"/>
      <c r="BV461" s="143">
        <f t="shared" si="87"/>
        <v>0</v>
      </c>
      <c r="BW461" s="66"/>
      <c r="BX461" s="146">
        <f t="shared" si="88"/>
        <v>0</v>
      </c>
      <c r="BY461" s="66"/>
      <c r="BZ461" s="146">
        <f t="shared" si="89"/>
        <v>0</v>
      </c>
      <c r="CA461" s="66"/>
      <c r="CB461" s="146">
        <f t="shared" si="90"/>
        <v>0</v>
      </c>
      <c r="CC461" s="66"/>
      <c r="CD461" s="143">
        <f t="shared" si="91"/>
        <v>0</v>
      </c>
      <c r="CE461" s="66"/>
      <c r="CF461" s="143">
        <f t="shared" si="92"/>
        <v>0</v>
      </c>
      <c r="CG461" s="132"/>
      <c r="CH461" s="143">
        <f t="shared" si="93"/>
        <v>0</v>
      </c>
      <c r="CI461" s="132">
        <f t="shared" si="94"/>
        <v>0</v>
      </c>
      <c r="CJ461" s="143">
        <f t="shared" si="94"/>
        <v>0</v>
      </c>
    </row>
    <row r="462" spans="1:88" x14ac:dyDescent="0.3">
      <c r="A462" s="27"/>
      <c r="B462" s="27"/>
      <c r="C462" s="27"/>
      <c r="D462" s="27"/>
      <c r="E462" s="27"/>
      <c r="F462" s="27"/>
      <c r="G462" s="27"/>
      <c r="H462" s="27"/>
      <c r="I462" s="27"/>
      <c r="J462" s="27"/>
      <c r="K462" s="27"/>
      <c r="L462" s="27"/>
      <c r="N462" s="27"/>
      <c r="O462" s="27"/>
      <c r="P462" s="27"/>
      <c r="Q462" s="117" t="s">
        <v>1037</v>
      </c>
      <c r="R462" s="27"/>
      <c r="S462" s="27"/>
      <c r="T462" s="27"/>
      <c r="U462" s="27"/>
      <c r="V462" s="27"/>
      <c r="W462" s="27"/>
      <c r="X462" s="27"/>
      <c r="Y462" s="27"/>
      <c r="AE462" s="27"/>
      <c r="BD462" s="97"/>
      <c r="BE462" s="108"/>
      <c r="BF462" s="108"/>
      <c r="BG462" s="97"/>
      <c r="BH462" s="97"/>
      <c r="BI462" s="97"/>
      <c r="BJ462" s="97"/>
      <c r="BK462" s="110"/>
      <c r="BL462" s="97"/>
      <c r="BM462" s="97"/>
      <c r="BN462" s="97"/>
      <c r="BO462" s="147"/>
      <c r="BP462" s="143">
        <f t="shared" si="84"/>
        <v>0</v>
      </c>
      <c r="BQ462" s="147"/>
      <c r="BR462" s="143">
        <f t="shared" si="85"/>
        <v>0</v>
      </c>
      <c r="BS462" s="132"/>
      <c r="BT462" s="146">
        <f t="shared" si="86"/>
        <v>0</v>
      </c>
      <c r="BU462" s="66"/>
      <c r="BV462" s="143">
        <f t="shared" si="87"/>
        <v>0</v>
      </c>
      <c r="BW462" s="66"/>
      <c r="BX462" s="146">
        <f t="shared" si="88"/>
        <v>0</v>
      </c>
      <c r="BY462" s="66"/>
      <c r="BZ462" s="146">
        <f t="shared" si="89"/>
        <v>0</v>
      </c>
      <c r="CA462" s="66"/>
      <c r="CB462" s="146">
        <f t="shared" si="90"/>
        <v>0</v>
      </c>
      <c r="CC462" s="66"/>
      <c r="CD462" s="143">
        <f t="shared" si="91"/>
        <v>0</v>
      </c>
      <c r="CE462" s="66"/>
      <c r="CF462" s="143">
        <f t="shared" si="92"/>
        <v>0</v>
      </c>
      <c r="CG462" s="132"/>
      <c r="CH462" s="143">
        <f t="shared" si="93"/>
        <v>0</v>
      </c>
      <c r="CI462" s="132">
        <f t="shared" si="94"/>
        <v>0</v>
      </c>
      <c r="CJ462" s="143">
        <f t="shared" si="94"/>
        <v>0</v>
      </c>
    </row>
    <row r="463" spans="1:88" x14ac:dyDescent="0.3">
      <c r="A463" s="27"/>
      <c r="B463" s="27"/>
      <c r="C463" s="27"/>
      <c r="D463" s="27"/>
      <c r="E463" s="27"/>
      <c r="F463" s="27"/>
      <c r="G463" s="27"/>
      <c r="H463" s="27"/>
      <c r="I463" s="27"/>
      <c r="J463" s="27"/>
      <c r="K463" s="27"/>
      <c r="L463" s="27"/>
      <c r="N463" s="27"/>
      <c r="O463" s="27"/>
      <c r="P463" s="27"/>
      <c r="Q463" s="117" t="s">
        <v>1038</v>
      </c>
      <c r="R463" s="27"/>
      <c r="S463" s="27"/>
      <c r="T463" s="27"/>
      <c r="U463" s="27"/>
      <c r="V463" s="27"/>
      <c r="W463" s="27"/>
      <c r="X463" s="27"/>
      <c r="Y463" s="27"/>
      <c r="AE463" s="27"/>
      <c r="BD463" s="97"/>
      <c r="BE463" s="108"/>
      <c r="BF463" s="108"/>
      <c r="BG463" s="97"/>
      <c r="BH463" s="97"/>
      <c r="BI463" s="97"/>
      <c r="BJ463" s="97"/>
      <c r="BK463" s="110"/>
      <c r="BL463" s="97"/>
      <c r="BM463" s="97"/>
      <c r="BN463" s="97"/>
      <c r="BO463" s="147"/>
      <c r="BP463" s="143">
        <f t="shared" si="84"/>
        <v>0</v>
      </c>
      <c r="BQ463" s="147"/>
      <c r="BR463" s="143">
        <f t="shared" si="85"/>
        <v>0</v>
      </c>
      <c r="BS463" s="132"/>
      <c r="BT463" s="146">
        <f t="shared" si="86"/>
        <v>0</v>
      </c>
      <c r="BU463" s="66"/>
      <c r="BV463" s="143">
        <f t="shared" si="87"/>
        <v>0</v>
      </c>
      <c r="BW463" s="66"/>
      <c r="BX463" s="146">
        <f t="shared" si="88"/>
        <v>0</v>
      </c>
      <c r="BY463" s="66"/>
      <c r="BZ463" s="146">
        <f t="shared" si="89"/>
        <v>0</v>
      </c>
      <c r="CA463" s="66"/>
      <c r="CB463" s="146">
        <f t="shared" si="90"/>
        <v>0</v>
      </c>
      <c r="CC463" s="66"/>
      <c r="CD463" s="143">
        <f t="shared" si="91"/>
        <v>0</v>
      </c>
      <c r="CE463" s="66"/>
      <c r="CF463" s="143">
        <f t="shared" si="92"/>
        <v>0</v>
      </c>
      <c r="CG463" s="132"/>
      <c r="CH463" s="143">
        <f t="shared" si="93"/>
        <v>0</v>
      </c>
      <c r="CI463" s="132">
        <f t="shared" si="94"/>
        <v>0</v>
      </c>
      <c r="CJ463" s="143">
        <f t="shared" si="94"/>
        <v>0</v>
      </c>
    </row>
    <row r="464" spans="1:88" x14ac:dyDescent="0.3">
      <c r="A464" s="27"/>
      <c r="B464" s="27"/>
      <c r="C464" s="27"/>
      <c r="D464" s="27"/>
      <c r="E464" s="27"/>
      <c r="F464" s="27"/>
      <c r="G464" s="27"/>
      <c r="H464" s="27"/>
      <c r="I464" s="27"/>
      <c r="J464" s="27"/>
      <c r="K464" s="27"/>
      <c r="L464" s="27"/>
      <c r="N464" s="27"/>
      <c r="O464" s="27"/>
      <c r="P464" s="27"/>
      <c r="Q464" s="117" t="s">
        <v>1039</v>
      </c>
      <c r="R464" s="27"/>
      <c r="S464" s="27"/>
      <c r="T464" s="27"/>
      <c r="U464" s="27"/>
      <c r="V464" s="27"/>
      <c r="W464" s="27"/>
      <c r="X464" s="27"/>
      <c r="Y464" s="27"/>
      <c r="AE464" s="27"/>
      <c r="BD464" s="97"/>
      <c r="BE464" s="108"/>
      <c r="BF464" s="108"/>
      <c r="BG464" s="97"/>
      <c r="BH464" s="97"/>
      <c r="BI464" s="97"/>
      <c r="BJ464" s="97"/>
      <c r="BK464" s="110"/>
      <c r="BL464" s="97"/>
      <c r="BM464" s="97"/>
      <c r="BN464" s="97"/>
      <c r="BO464" s="147"/>
      <c r="BP464" s="143">
        <f t="shared" si="84"/>
        <v>0</v>
      </c>
      <c r="BQ464" s="147"/>
      <c r="BR464" s="143">
        <f t="shared" si="85"/>
        <v>0</v>
      </c>
      <c r="BS464" s="132"/>
      <c r="BT464" s="146">
        <f t="shared" si="86"/>
        <v>0</v>
      </c>
      <c r="BU464" s="66"/>
      <c r="BV464" s="143">
        <f t="shared" si="87"/>
        <v>0</v>
      </c>
      <c r="BW464" s="66"/>
      <c r="BX464" s="146">
        <f t="shared" si="88"/>
        <v>0</v>
      </c>
      <c r="BY464" s="66"/>
      <c r="BZ464" s="146">
        <f t="shared" si="89"/>
        <v>0</v>
      </c>
      <c r="CA464" s="66"/>
      <c r="CB464" s="146">
        <f t="shared" si="90"/>
        <v>0</v>
      </c>
      <c r="CC464" s="66"/>
      <c r="CD464" s="143">
        <f t="shared" si="91"/>
        <v>0</v>
      </c>
      <c r="CE464" s="66"/>
      <c r="CF464" s="143">
        <f t="shared" si="92"/>
        <v>0</v>
      </c>
      <c r="CG464" s="132"/>
      <c r="CH464" s="143">
        <f t="shared" si="93"/>
        <v>0</v>
      </c>
      <c r="CI464" s="132">
        <f t="shared" si="94"/>
        <v>0</v>
      </c>
      <c r="CJ464" s="143">
        <f t="shared" si="94"/>
        <v>0</v>
      </c>
    </row>
    <row r="465" spans="1:88" x14ac:dyDescent="0.3">
      <c r="A465" s="27"/>
      <c r="B465" s="27"/>
      <c r="C465" s="27"/>
      <c r="D465" s="27"/>
      <c r="E465" s="27"/>
      <c r="F465" s="27"/>
      <c r="G465" s="27"/>
      <c r="H465" s="27"/>
      <c r="I465" s="27"/>
      <c r="J465" s="27"/>
      <c r="K465" s="27"/>
      <c r="L465" s="27"/>
      <c r="N465" s="27"/>
      <c r="O465" s="27"/>
      <c r="P465" s="27"/>
      <c r="Q465" s="117" t="s">
        <v>1040</v>
      </c>
      <c r="R465" s="27"/>
      <c r="S465" s="27"/>
      <c r="T465" s="27"/>
      <c r="U465" s="27"/>
      <c r="V465" s="27"/>
      <c r="W465" s="27"/>
      <c r="X465" s="27"/>
      <c r="Y465" s="27"/>
      <c r="AE465" s="27"/>
      <c r="BD465" s="97"/>
      <c r="BE465" s="108"/>
      <c r="BF465" s="108"/>
      <c r="BG465" s="97"/>
      <c r="BH465" s="97"/>
      <c r="BI465" s="97"/>
      <c r="BJ465" s="97"/>
      <c r="BK465" s="110"/>
      <c r="BL465" s="97"/>
      <c r="BM465" s="97"/>
      <c r="BN465" s="97"/>
      <c r="BO465" s="147"/>
      <c r="BP465" s="143">
        <f t="shared" si="84"/>
        <v>0</v>
      </c>
      <c r="BQ465" s="147"/>
      <c r="BR465" s="143">
        <f t="shared" si="85"/>
        <v>0</v>
      </c>
      <c r="BS465" s="132"/>
      <c r="BT465" s="146">
        <f t="shared" si="86"/>
        <v>0</v>
      </c>
      <c r="BU465" s="66"/>
      <c r="BV465" s="143">
        <f t="shared" si="87"/>
        <v>0</v>
      </c>
      <c r="BW465" s="66"/>
      <c r="BX465" s="146">
        <f t="shared" si="88"/>
        <v>0</v>
      </c>
      <c r="BY465" s="66"/>
      <c r="BZ465" s="146">
        <f t="shared" si="89"/>
        <v>0</v>
      </c>
      <c r="CA465" s="66"/>
      <c r="CB465" s="146">
        <f t="shared" si="90"/>
        <v>0</v>
      </c>
      <c r="CC465" s="66"/>
      <c r="CD465" s="143">
        <f t="shared" si="91"/>
        <v>0</v>
      </c>
      <c r="CE465" s="66"/>
      <c r="CF465" s="143">
        <f t="shared" si="92"/>
        <v>0</v>
      </c>
      <c r="CG465" s="132"/>
      <c r="CH465" s="143">
        <f t="shared" si="93"/>
        <v>0</v>
      </c>
      <c r="CI465" s="132">
        <f t="shared" si="94"/>
        <v>0</v>
      </c>
      <c r="CJ465" s="143">
        <f t="shared" si="94"/>
        <v>0</v>
      </c>
    </row>
    <row r="466" spans="1:88" x14ac:dyDescent="0.3">
      <c r="A466" s="27"/>
      <c r="B466" s="27"/>
      <c r="C466" s="27"/>
      <c r="D466" s="27"/>
      <c r="E466" s="27"/>
      <c r="F466" s="27"/>
      <c r="G466" s="27"/>
      <c r="H466" s="27"/>
      <c r="I466" s="27"/>
      <c r="J466" s="27"/>
      <c r="K466" s="27"/>
      <c r="L466" s="27"/>
      <c r="N466" s="27"/>
      <c r="O466" s="27"/>
      <c r="P466" s="27"/>
      <c r="Q466" s="117" t="s">
        <v>1040</v>
      </c>
      <c r="R466" s="27"/>
      <c r="S466" s="27"/>
      <c r="T466" s="27"/>
      <c r="U466" s="27"/>
      <c r="V466" s="27"/>
      <c r="W466" s="27"/>
      <c r="X466" s="27"/>
      <c r="Y466" s="27"/>
      <c r="AE466" s="27"/>
      <c r="BD466" s="97"/>
      <c r="BE466" s="108"/>
      <c r="BF466" s="108"/>
      <c r="BG466" s="97"/>
      <c r="BH466" s="97"/>
      <c r="BI466" s="97"/>
      <c r="BJ466" s="97"/>
      <c r="BK466" s="110"/>
      <c r="BL466" s="97"/>
      <c r="BM466" s="97"/>
      <c r="BN466" s="97"/>
      <c r="BO466" s="147"/>
      <c r="BP466" s="143">
        <f t="shared" si="84"/>
        <v>0</v>
      </c>
      <c r="BQ466" s="147"/>
      <c r="BR466" s="143">
        <f t="shared" si="85"/>
        <v>0</v>
      </c>
      <c r="BS466" s="132"/>
      <c r="BT466" s="146">
        <f t="shared" si="86"/>
        <v>0</v>
      </c>
      <c r="BU466" s="66"/>
      <c r="BV466" s="143">
        <f t="shared" si="87"/>
        <v>0</v>
      </c>
      <c r="BW466" s="66"/>
      <c r="BX466" s="146">
        <f t="shared" si="88"/>
        <v>0</v>
      </c>
      <c r="BY466" s="66"/>
      <c r="BZ466" s="146">
        <f t="shared" si="89"/>
        <v>0</v>
      </c>
      <c r="CA466" s="66"/>
      <c r="CB466" s="146">
        <f t="shared" si="90"/>
        <v>0</v>
      </c>
      <c r="CC466" s="66"/>
      <c r="CD466" s="143">
        <f t="shared" si="91"/>
        <v>0</v>
      </c>
      <c r="CE466" s="66"/>
      <c r="CF466" s="143">
        <f t="shared" si="92"/>
        <v>0</v>
      </c>
      <c r="CG466" s="132"/>
      <c r="CH466" s="143">
        <f t="shared" si="93"/>
        <v>0</v>
      </c>
      <c r="CI466" s="132">
        <f t="shared" si="94"/>
        <v>0</v>
      </c>
      <c r="CJ466" s="143">
        <f t="shared" si="94"/>
        <v>0</v>
      </c>
    </row>
    <row r="467" spans="1:88" x14ac:dyDescent="0.3">
      <c r="A467" s="27"/>
      <c r="B467" s="27"/>
      <c r="C467" s="27"/>
      <c r="D467" s="27"/>
      <c r="E467" s="27"/>
      <c r="F467" s="27"/>
      <c r="G467" s="27"/>
      <c r="H467" s="27"/>
      <c r="I467" s="27"/>
      <c r="J467" s="27"/>
      <c r="K467" s="27"/>
      <c r="L467" s="27"/>
      <c r="N467" s="27"/>
      <c r="O467" s="27"/>
      <c r="P467" s="27"/>
      <c r="Q467" s="117" t="s">
        <v>1041</v>
      </c>
      <c r="R467" s="27"/>
      <c r="S467" s="27"/>
      <c r="T467" s="27"/>
      <c r="U467" s="27"/>
      <c r="V467" s="27"/>
      <c r="W467" s="27"/>
      <c r="X467" s="27"/>
      <c r="Y467" s="27"/>
      <c r="AE467" s="27"/>
      <c r="BD467" s="97"/>
      <c r="BE467" s="108"/>
      <c r="BF467" s="108"/>
      <c r="BG467" s="97"/>
      <c r="BH467" s="97"/>
      <c r="BI467" s="97"/>
      <c r="BJ467" s="97"/>
      <c r="BK467" s="110"/>
      <c r="BL467" s="97"/>
      <c r="BM467" s="97"/>
      <c r="BN467" s="97"/>
      <c r="BO467" s="147"/>
      <c r="BP467" s="143">
        <f t="shared" si="84"/>
        <v>0</v>
      </c>
      <c r="BQ467" s="147"/>
      <c r="BR467" s="143">
        <f t="shared" si="85"/>
        <v>0</v>
      </c>
      <c r="BS467" s="132"/>
      <c r="BT467" s="146">
        <f t="shared" si="86"/>
        <v>0</v>
      </c>
      <c r="BU467" s="66"/>
      <c r="BV467" s="143">
        <f t="shared" si="87"/>
        <v>0</v>
      </c>
      <c r="BW467" s="66"/>
      <c r="BX467" s="146">
        <f t="shared" si="88"/>
        <v>0</v>
      </c>
      <c r="BY467" s="66"/>
      <c r="BZ467" s="146">
        <f t="shared" si="89"/>
        <v>0</v>
      </c>
      <c r="CA467" s="66"/>
      <c r="CB467" s="146">
        <f t="shared" si="90"/>
        <v>0</v>
      </c>
      <c r="CC467" s="66"/>
      <c r="CD467" s="143">
        <f t="shared" si="91"/>
        <v>0</v>
      </c>
      <c r="CE467" s="66"/>
      <c r="CF467" s="143">
        <f t="shared" si="92"/>
        <v>0</v>
      </c>
      <c r="CG467" s="132"/>
      <c r="CH467" s="143">
        <f t="shared" si="93"/>
        <v>0</v>
      </c>
      <c r="CI467" s="132">
        <f t="shared" si="94"/>
        <v>0</v>
      </c>
      <c r="CJ467" s="143">
        <f t="shared" si="94"/>
        <v>0</v>
      </c>
    </row>
    <row r="468" spans="1:88" x14ac:dyDescent="0.3">
      <c r="A468" s="27"/>
      <c r="B468" s="27"/>
      <c r="C468" s="27"/>
      <c r="D468" s="27"/>
      <c r="E468" s="27"/>
      <c r="F468" s="27"/>
      <c r="G468" s="27"/>
      <c r="H468" s="27"/>
      <c r="I468" s="27"/>
      <c r="J468" s="27"/>
      <c r="K468" s="27"/>
      <c r="L468" s="27"/>
      <c r="N468" s="27"/>
      <c r="O468" s="27"/>
      <c r="P468" s="27"/>
      <c r="Q468" s="117" t="s">
        <v>1042</v>
      </c>
      <c r="R468" s="27"/>
      <c r="S468" s="27"/>
      <c r="T468" s="27"/>
      <c r="U468" s="27"/>
      <c r="V468" s="27"/>
      <c r="W468" s="27"/>
      <c r="X468" s="27"/>
      <c r="Y468" s="27"/>
      <c r="AE468" s="27"/>
      <c r="BD468" s="97"/>
      <c r="BE468" s="108"/>
      <c r="BF468" s="108"/>
      <c r="BG468" s="97"/>
      <c r="BH468" s="97"/>
      <c r="BI468" s="97"/>
      <c r="BJ468" s="97"/>
      <c r="BK468" s="110"/>
      <c r="BL468" s="97"/>
      <c r="BM468" s="97"/>
      <c r="BN468" s="97"/>
      <c r="BO468" s="147"/>
      <c r="BP468" s="143">
        <f t="shared" si="84"/>
        <v>0</v>
      </c>
      <c r="BQ468" s="147"/>
      <c r="BR468" s="143">
        <f t="shared" si="85"/>
        <v>0</v>
      </c>
      <c r="BS468" s="132"/>
      <c r="BT468" s="146">
        <f t="shared" si="86"/>
        <v>0</v>
      </c>
      <c r="BU468" s="66"/>
      <c r="BV468" s="143">
        <f t="shared" si="87"/>
        <v>0</v>
      </c>
      <c r="BW468" s="66"/>
      <c r="BX468" s="146">
        <f t="shared" si="88"/>
        <v>0</v>
      </c>
      <c r="BY468" s="66"/>
      <c r="BZ468" s="146">
        <f t="shared" si="89"/>
        <v>0</v>
      </c>
      <c r="CA468" s="66"/>
      <c r="CB468" s="146">
        <f t="shared" si="90"/>
        <v>0</v>
      </c>
      <c r="CC468" s="66"/>
      <c r="CD468" s="143">
        <f t="shared" si="91"/>
        <v>0</v>
      </c>
      <c r="CE468" s="66"/>
      <c r="CF468" s="143">
        <f t="shared" si="92"/>
        <v>0</v>
      </c>
      <c r="CG468" s="132"/>
      <c r="CH468" s="143">
        <f t="shared" si="93"/>
        <v>0</v>
      </c>
      <c r="CI468" s="132">
        <f t="shared" si="94"/>
        <v>0</v>
      </c>
      <c r="CJ468" s="143">
        <f t="shared" si="94"/>
        <v>0</v>
      </c>
    </row>
    <row r="469" spans="1:88" x14ac:dyDescent="0.3">
      <c r="A469" s="27"/>
      <c r="B469" s="27"/>
      <c r="C469" s="27"/>
      <c r="D469" s="27"/>
      <c r="E469" s="27"/>
      <c r="F469" s="27"/>
      <c r="G469" s="27"/>
      <c r="H469" s="27"/>
      <c r="I469" s="27"/>
      <c r="J469" s="27"/>
      <c r="K469" s="27"/>
      <c r="L469" s="27"/>
      <c r="N469" s="27"/>
      <c r="O469" s="27"/>
      <c r="P469" s="27"/>
      <c r="Q469" s="117" t="s">
        <v>1043</v>
      </c>
      <c r="R469" s="27"/>
      <c r="S469" s="27"/>
      <c r="T469" s="27"/>
      <c r="U469" s="27"/>
      <c r="V469" s="27"/>
      <c r="W469" s="27"/>
      <c r="X469" s="27"/>
      <c r="Y469" s="27"/>
      <c r="AE469" s="27"/>
      <c r="BD469" s="97"/>
      <c r="BE469" s="108"/>
      <c r="BF469" s="108"/>
      <c r="BG469" s="97"/>
      <c r="BH469" s="97"/>
      <c r="BI469" s="97"/>
      <c r="BJ469" s="97"/>
      <c r="BK469" s="110"/>
      <c r="BL469" s="97"/>
      <c r="BM469" s="97"/>
      <c r="BN469" s="97"/>
      <c r="BO469" s="142"/>
      <c r="BP469" s="143">
        <f t="shared" si="84"/>
        <v>0</v>
      </c>
      <c r="BQ469" s="142"/>
      <c r="BR469" s="143">
        <f t="shared" si="85"/>
        <v>0</v>
      </c>
      <c r="BS469" s="132"/>
      <c r="BT469" s="146">
        <f t="shared" si="86"/>
        <v>0</v>
      </c>
      <c r="BU469" s="132"/>
      <c r="BV469" s="143">
        <f t="shared" si="87"/>
        <v>0</v>
      </c>
      <c r="BW469" s="132"/>
      <c r="BX469" s="146">
        <f t="shared" si="88"/>
        <v>0</v>
      </c>
      <c r="BY469" s="132"/>
      <c r="BZ469" s="146">
        <f t="shared" si="89"/>
        <v>0</v>
      </c>
      <c r="CA469" s="132"/>
      <c r="CB469" s="146">
        <f t="shared" si="90"/>
        <v>0</v>
      </c>
      <c r="CC469" s="132"/>
      <c r="CD469" s="143">
        <f t="shared" si="91"/>
        <v>0</v>
      </c>
      <c r="CE469" s="132"/>
      <c r="CF469" s="143">
        <f t="shared" si="92"/>
        <v>0</v>
      </c>
      <c r="CG469" s="132"/>
      <c r="CH469" s="143">
        <f t="shared" si="93"/>
        <v>0</v>
      </c>
      <c r="CI469" s="132">
        <f t="shared" si="94"/>
        <v>0</v>
      </c>
      <c r="CJ469" s="143">
        <f t="shared" si="94"/>
        <v>0</v>
      </c>
    </row>
    <row r="470" spans="1:88" x14ac:dyDescent="0.3">
      <c r="A470" s="27"/>
      <c r="B470" s="27"/>
      <c r="C470" s="27"/>
      <c r="D470" s="27"/>
      <c r="E470" s="27"/>
      <c r="F470" s="27"/>
      <c r="G470" s="27"/>
      <c r="H470" s="27"/>
      <c r="I470" s="27"/>
      <c r="J470" s="27"/>
      <c r="K470" s="27"/>
      <c r="L470" s="27"/>
      <c r="N470" s="27"/>
      <c r="O470" s="27"/>
      <c r="P470" s="27"/>
      <c r="Q470" s="117" t="s">
        <v>1044</v>
      </c>
      <c r="R470" s="27"/>
      <c r="S470" s="27"/>
      <c r="T470" s="27"/>
      <c r="U470" s="27"/>
      <c r="V470" s="27"/>
      <c r="W470" s="27"/>
      <c r="X470" s="27"/>
      <c r="Y470" s="27"/>
      <c r="AE470" s="27"/>
      <c r="BD470" s="97"/>
      <c r="BE470" s="108"/>
      <c r="BF470" s="108"/>
      <c r="BG470" s="97"/>
      <c r="BH470" s="97"/>
      <c r="BI470" s="97"/>
      <c r="BJ470" s="97"/>
      <c r="BK470" s="110"/>
      <c r="BL470" s="97"/>
      <c r="BM470" s="97"/>
      <c r="BN470" s="97"/>
      <c r="BO470" s="142"/>
      <c r="BP470" s="143">
        <f t="shared" si="84"/>
        <v>0</v>
      </c>
      <c r="BQ470" s="142"/>
      <c r="BR470" s="143">
        <f t="shared" si="85"/>
        <v>0</v>
      </c>
      <c r="BS470" s="132"/>
      <c r="BT470" s="146">
        <f t="shared" si="86"/>
        <v>0</v>
      </c>
      <c r="BU470" s="132"/>
      <c r="BV470" s="143">
        <f t="shared" si="87"/>
        <v>0</v>
      </c>
      <c r="BW470" s="132"/>
      <c r="BX470" s="146">
        <f t="shared" si="88"/>
        <v>0</v>
      </c>
      <c r="BY470" s="132"/>
      <c r="BZ470" s="146">
        <f t="shared" si="89"/>
        <v>0</v>
      </c>
      <c r="CA470" s="132"/>
      <c r="CB470" s="146">
        <f t="shared" si="90"/>
        <v>0</v>
      </c>
      <c r="CC470" s="132"/>
      <c r="CD470" s="143">
        <f t="shared" si="91"/>
        <v>0</v>
      </c>
      <c r="CE470" s="132"/>
      <c r="CF470" s="143">
        <f t="shared" si="92"/>
        <v>0</v>
      </c>
      <c r="CG470" s="132"/>
      <c r="CH470" s="143">
        <f t="shared" si="93"/>
        <v>0</v>
      </c>
      <c r="CI470" s="132">
        <f t="shared" si="94"/>
        <v>0</v>
      </c>
      <c r="CJ470" s="143">
        <f t="shared" si="94"/>
        <v>0</v>
      </c>
    </row>
    <row r="471" spans="1:88" x14ac:dyDescent="0.3">
      <c r="A471" s="27"/>
      <c r="B471" s="27"/>
      <c r="C471" s="27"/>
      <c r="D471" s="27"/>
      <c r="E471" s="27"/>
      <c r="F471" s="27"/>
      <c r="G471" s="27"/>
      <c r="H471" s="27"/>
      <c r="I471" s="27"/>
      <c r="J471" s="27"/>
      <c r="K471" s="27"/>
      <c r="L471" s="27"/>
      <c r="N471" s="27"/>
      <c r="O471" s="27"/>
      <c r="P471" s="27"/>
      <c r="Q471" s="117" t="s">
        <v>1045</v>
      </c>
      <c r="R471" s="27"/>
      <c r="S471" s="27"/>
      <c r="T471" s="27"/>
      <c r="U471" s="27"/>
      <c r="V471" s="27"/>
      <c r="W471" s="27"/>
      <c r="X471" s="27"/>
      <c r="Y471" s="27"/>
      <c r="AE471" s="27"/>
      <c r="BD471" s="97"/>
      <c r="BE471" s="108"/>
      <c r="BF471" s="108"/>
      <c r="BG471" s="97"/>
      <c r="BH471" s="97"/>
      <c r="BI471" s="97"/>
      <c r="BJ471" s="97"/>
      <c r="BK471" s="110"/>
      <c r="BL471" s="97"/>
      <c r="BM471" s="97"/>
      <c r="BN471" s="97"/>
      <c r="BO471" s="142"/>
      <c r="BP471" s="143">
        <f t="shared" si="84"/>
        <v>0</v>
      </c>
      <c r="BQ471" s="142"/>
      <c r="BR471" s="143">
        <f t="shared" si="85"/>
        <v>0</v>
      </c>
      <c r="BS471" s="132"/>
      <c r="BT471" s="146">
        <f t="shared" si="86"/>
        <v>0</v>
      </c>
      <c r="BU471" s="132"/>
      <c r="BV471" s="143">
        <f t="shared" si="87"/>
        <v>0</v>
      </c>
      <c r="BW471" s="132"/>
      <c r="BX471" s="146">
        <f t="shared" si="88"/>
        <v>0</v>
      </c>
      <c r="BY471" s="132"/>
      <c r="BZ471" s="146">
        <f t="shared" si="89"/>
        <v>0</v>
      </c>
      <c r="CA471" s="132"/>
      <c r="CB471" s="146">
        <f t="shared" si="90"/>
        <v>0</v>
      </c>
      <c r="CC471" s="132"/>
      <c r="CD471" s="143">
        <f t="shared" si="91"/>
        <v>0</v>
      </c>
      <c r="CE471" s="132"/>
      <c r="CF471" s="143">
        <f t="shared" si="92"/>
        <v>0</v>
      </c>
      <c r="CG471" s="132"/>
      <c r="CH471" s="143">
        <f t="shared" si="93"/>
        <v>0</v>
      </c>
      <c r="CI471" s="132">
        <f t="shared" si="94"/>
        <v>0</v>
      </c>
      <c r="CJ471" s="143">
        <f t="shared" si="94"/>
        <v>0</v>
      </c>
    </row>
    <row r="472" spans="1:88" x14ac:dyDescent="0.3">
      <c r="A472" s="27"/>
      <c r="B472" s="27"/>
      <c r="C472" s="27"/>
      <c r="D472" s="27"/>
      <c r="E472" s="27"/>
      <c r="F472" s="27"/>
      <c r="G472" s="27"/>
      <c r="H472" s="27"/>
      <c r="I472" s="27"/>
      <c r="J472" s="27"/>
      <c r="K472" s="27"/>
      <c r="L472" s="27"/>
      <c r="N472" s="27"/>
      <c r="O472" s="27"/>
      <c r="P472" s="27"/>
      <c r="Q472" s="117" t="s">
        <v>1046</v>
      </c>
      <c r="R472" s="27"/>
      <c r="S472" s="27"/>
      <c r="T472" s="27"/>
      <c r="U472" s="27"/>
      <c r="V472" s="27"/>
      <c r="W472" s="27"/>
      <c r="X472" s="27"/>
      <c r="Y472" s="27"/>
      <c r="AE472" s="27"/>
      <c r="BD472" s="97"/>
      <c r="BE472" s="108"/>
      <c r="BF472" s="108"/>
      <c r="BG472" s="97"/>
      <c r="BH472" s="97"/>
      <c r="BI472" s="97"/>
      <c r="BJ472" s="97"/>
      <c r="BK472" s="110"/>
      <c r="BL472" s="97"/>
      <c r="BM472" s="97"/>
      <c r="BN472" s="97"/>
      <c r="BO472" s="142"/>
      <c r="BP472" s="143">
        <f t="shared" si="84"/>
        <v>0</v>
      </c>
      <c r="BQ472" s="142"/>
      <c r="BR472" s="143">
        <f t="shared" si="85"/>
        <v>0</v>
      </c>
      <c r="BS472" s="132"/>
      <c r="BT472" s="146">
        <f t="shared" si="86"/>
        <v>0</v>
      </c>
      <c r="BU472" s="132"/>
      <c r="BV472" s="143">
        <f t="shared" si="87"/>
        <v>0</v>
      </c>
      <c r="BW472" s="132"/>
      <c r="BX472" s="146">
        <f t="shared" si="88"/>
        <v>0</v>
      </c>
      <c r="BY472" s="132"/>
      <c r="BZ472" s="146">
        <f t="shared" si="89"/>
        <v>0</v>
      </c>
      <c r="CA472" s="132"/>
      <c r="CB472" s="146">
        <f t="shared" si="90"/>
        <v>0</v>
      </c>
      <c r="CC472" s="132"/>
      <c r="CD472" s="143">
        <f t="shared" si="91"/>
        <v>0</v>
      </c>
      <c r="CE472" s="132"/>
      <c r="CF472" s="143">
        <f t="shared" si="92"/>
        <v>0</v>
      </c>
      <c r="CG472" s="132"/>
      <c r="CH472" s="143">
        <f t="shared" si="93"/>
        <v>0</v>
      </c>
      <c r="CI472" s="132">
        <f t="shared" si="94"/>
        <v>0</v>
      </c>
      <c r="CJ472" s="143">
        <f t="shared" si="94"/>
        <v>0</v>
      </c>
    </row>
    <row r="473" spans="1:88" x14ac:dyDescent="0.3">
      <c r="A473" s="27"/>
      <c r="B473" s="27"/>
      <c r="C473" s="27"/>
      <c r="D473" s="27"/>
      <c r="E473" s="27"/>
      <c r="F473" s="27"/>
      <c r="G473" s="27"/>
      <c r="H473" s="27"/>
      <c r="I473" s="27"/>
      <c r="J473" s="27"/>
      <c r="K473" s="27"/>
      <c r="L473" s="27"/>
      <c r="N473" s="27"/>
      <c r="O473" s="27"/>
      <c r="P473" s="27"/>
      <c r="Q473" s="117" t="s">
        <v>1047</v>
      </c>
      <c r="R473" s="27"/>
      <c r="S473" s="27"/>
      <c r="T473" s="27"/>
      <c r="U473" s="27"/>
      <c r="V473" s="27"/>
      <c r="W473" s="27"/>
      <c r="X473" s="27"/>
      <c r="Y473" s="27"/>
      <c r="AE473" s="27"/>
      <c r="BD473" s="97"/>
      <c r="BE473" s="108"/>
      <c r="BF473" s="108"/>
      <c r="BG473" s="97"/>
      <c r="BH473" s="97"/>
      <c r="BI473" s="97"/>
      <c r="BJ473" s="97"/>
      <c r="BK473" s="110"/>
      <c r="BL473" s="97"/>
      <c r="BM473" s="97"/>
      <c r="BN473" s="97"/>
      <c r="BO473" s="142"/>
      <c r="BP473" s="143">
        <f t="shared" si="84"/>
        <v>0</v>
      </c>
      <c r="BQ473" s="142"/>
      <c r="BR473" s="143">
        <f t="shared" si="85"/>
        <v>0</v>
      </c>
      <c r="BS473" s="132"/>
      <c r="BT473" s="146">
        <f t="shared" si="86"/>
        <v>0</v>
      </c>
      <c r="BU473" s="132"/>
      <c r="BV473" s="143">
        <f t="shared" si="87"/>
        <v>0</v>
      </c>
      <c r="BW473" s="132"/>
      <c r="BX473" s="146">
        <f t="shared" si="88"/>
        <v>0</v>
      </c>
      <c r="BY473" s="132"/>
      <c r="BZ473" s="146">
        <f t="shared" si="89"/>
        <v>0</v>
      </c>
      <c r="CA473" s="132"/>
      <c r="CB473" s="146">
        <f t="shared" si="90"/>
        <v>0</v>
      </c>
      <c r="CC473" s="132"/>
      <c r="CD473" s="143">
        <f t="shared" si="91"/>
        <v>0</v>
      </c>
      <c r="CE473" s="132"/>
      <c r="CF473" s="143">
        <f t="shared" si="92"/>
        <v>0</v>
      </c>
      <c r="CG473" s="132"/>
      <c r="CH473" s="143">
        <f t="shared" si="93"/>
        <v>0</v>
      </c>
      <c r="CI473" s="132">
        <f t="shared" si="94"/>
        <v>0</v>
      </c>
      <c r="CJ473" s="143">
        <f t="shared" si="94"/>
        <v>0</v>
      </c>
    </row>
    <row r="474" spans="1:88" x14ac:dyDescent="0.3">
      <c r="A474" s="27"/>
      <c r="B474" s="27"/>
      <c r="C474" s="27"/>
      <c r="D474" s="27"/>
      <c r="E474" s="27"/>
      <c r="F474" s="27"/>
      <c r="G474" s="27"/>
      <c r="H474" s="27"/>
      <c r="I474" s="27"/>
      <c r="J474" s="27"/>
      <c r="K474" s="27"/>
      <c r="L474" s="27"/>
      <c r="N474" s="27"/>
      <c r="O474" s="27"/>
      <c r="P474" s="27"/>
      <c r="Q474" s="117" t="s">
        <v>1048</v>
      </c>
      <c r="R474" s="27"/>
      <c r="S474" s="27"/>
      <c r="T474" s="27"/>
      <c r="U474" s="27"/>
      <c r="V474" s="27"/>
      <c r="W474" s="27"/>
      <c r="X474" s="27"/>
      <c r="Y474" s="27"/>
      <c r="AE474" s="27"/>
      <c r="BD474" s="97"/>
      <c r="BE474" s="108"/>
      <c r="BF474" s="108"/>
      <c r="BG474" s="97"/>
      <c r="BH474" s="97"/>
      <c r="BI474" s="97"/>
      <c r="BJ474" s="97"/>
      <c r="BK474" s="110"/>
      <c r="BL474" s="97"/>
      <c r="BM474" s="97"/>
      <c r="BN474" s="97"/>
      <c r="BO474" s="147"/>
      <c r="BP474" s="143">
        <f t="shared" si="84"/>
        <v>0</v>
      </c>
      <c r="BQ474" s="147"/>
      <c r="BR474" s="143">
        <f t="shared" si="85"/>
        <v>0</v>
      </c>
      <c r="BS474" s="132"/>
      <c r="BT474" s="146">
        <f t="shared" si="86"/>
        <v>0</v>
      </c>
      <c r="BU474" s="66"/>
      <c r="BV474" s="143">
        <f t="shared" si="87"/>
        <v>0</v>
      </c>
      <c r="BW474" s="66"/>
      <c r="BX474" s="146">
        <f t="shared" si="88"/>
        <v>0</v>
      </c>
      <c r="BY474" s="66"/>
      <c r="BZ474" s="146">
        <f t="shared" si="89"/>
        <v>0</v>
      </c>
      <c r="CA474" s="66"/>
      <c r="CB474" s="146">
        <f t="shared" si="90"/>
        <v>0</v>
      </c>
      <c r="CC474" s="66"/>
      <c r="CD474" s="143">
        <f t="shared" si="91"/>
        <v>0</v>
      </c>
      <c r="CE474" s="66"/>
      <c r="CF474" s="143">
        <f t="shared" si="92"/>
        <v>0</v>
      </c>
      <c r="CG474" s="132"/>
      <c r="CH474" s="143">
        <f t="shared" si="93"/>
        <v>0</v>
      </c>
      <c r="CI474" s="132">
        <f t="shared" si="94"/>
        <v>0</v>
      </c>
      <c r="CJ474" s="143">
        <f t="shared" si="94"/>
        <v>0</v>
      </c>
    </row>
    <row r="475" spans="1:88" x14ac:dyDescent="0.3">
      <c r="A475" s="27"/>
      <c r="B475" s="27"/>
      <c r="C475" s="27"/>
      <c r="D475" s="27"/>
      <c r="E475" s="27"/>
      <c r="F475" s="27"/>
      <c r="G475" s="27"/>
      <c r="H475" s="27"/>
      <c r="I475" s="27"/>
      <c r="J475" s="27"/>
      <c r="K475" s="27"/>
      <c r="L475" s="27"/>
      <c r="N475" s="27"/>
      <c r="O475" s="27"/>
      <c r="P475" s="27"/>
      <c r="Q475" s="117" t="s">
        <v>1049</v>
      </c>
      <c r="R475" s="27"/>
      <c r="S475" s="27"/>
      <c r="T475" s="27"/>
      <c r="U475" s="27"/>
      <c r="V475" s="27"/>
      <c r="W475" s="27"/>
      <c r="X475" s="27"/>
      <c r="Y475" s="27"/>
      <c r="AE475" s="27"/>
      <c r="BD475" s="97"/>
      <c r="BE475" s="108"/>
      <c r="BF475" s="108"/>
      <c r="BG475" s="97"/>
      <c r="BH475" s="97"/>
      <c r="BI475" s="97"/>
      <c r="BJ475" s="97"/>
      <c r="BK475" s="110"/>
      <c r="BL475" s="97"/>
      <c r="BM475" s="97"/>
      <c r="BN475" s="97"/>
      <c r="BO475" s="142"/>
      <c r="BP475" s="143">
        <f t="shared" si="84"/>
        <v>0</v>
      </c>
      <c r="BQ475" s="142"/>
      <c r="BR475" s="143">
        <f t="shared" si="85"/>
        <v>0</v>
      </c>
      <c r="BS475" s="132"/>
      <c r="BT475" s="146">
        <f t="shared" si="86"/>
        <v>0</v>
      </c>
      <c r="BU475" s="132"/>
      <c r="BV475" s="143">
        <f t="shared" si="87"/>
        <v>0</v>
      </c>
      <c r="BW475" s="132"/>
      <c r="BX475" s="146">
        <f t="shared" si="88"/>
        <v>0</v>
      </c>
      <c r="BY475" s="132"/>
      <c r="BZ475" s="146">
        <f t="shared" si="89"/>
        <v>0</v>
      </c>
      <c r="CA475" s="132"/>
      <c r="CB475" s="146">
        <f t="shared" si="90"/>
        <v>0</v>
      </c>
      <c r="CC475" s="132"/>
      <c r="CD475" s="143">
        <f t="shared" si="91"/>
        <v>0</v>
      </c>
      <c r="CE475" s="132"/>
      <c r="CF475" s="143">
        <f t="shared" si="92"/>
        <v>0</v>
      </c>
      <c r="CG475" s="132"/>
      <c r="CH475" s="143">
        <f t="shared" si="93"/>
        <v>0</v>
      </c>
      <c r="CI475" s="132">
        <f t="shared" si="94"/>
        <v>0</v>
      </c>
      <c r="CJ475" s="143">
        <f t="shared" si="94"/>
        <v>0</v>
      </c>
    </row>
    <row r="476" spans="1:88" x14ac:dyDescent="0.3">
      <c r="A476" s="27"/>
      <c r="B476" s="27"/>
      <c r="C476" s="27"/>
      <c r="D476" s="27"/>
      <c r="E476" s="27"/>
      <c r="F476" s="27"/>
      <c r="G476" s="27"/>
      <c r="H476" s="27"/>
      <c r="I476" s="27"/>
      <c r="J476" s="27"/>
      <c r="K476" s="27"/>
      <c r="L476" s="27"/>
      <c r="N476" s="27"/>
      <c r="O476" s="27"/>
      <c r="P476" s="27"/>
      <c r="Q476" s="117" t="s">
        <v>1050</v>
      </c>
      <c r="R476" s="27"/>
      <c r="S476" s="27"/>
      <c r="T476" s="27"/>
      <c r="U476" s="27"/>
      <c r="V476" s="27"/>
      <c r="W476" s="27"/>
      <c r="X476" s="27"/>
      <c r="Y476" s="27"/>
      <c r="AE476" s="27"/>
      <c r="BD476" s="97"/>
      <c r="BE476" s="108"/>
      <c r="BF476" s="108"/>
      <c r="BG476" s="97"/>
      <c r="BH476" s="97"/>
      <c r="BI476" s="97"/>
      <c r="BJ476" s="97"/>
      <c r="BK476" s="110"/>
      <c r="BL476" s="97"/>
      <c r="BM476" s="97"/>
      <c r="BN476" s="97"/>
      <c r="BO476" s="142"/>
      <c r="BP476" s="143">
        <f t="shared" si="84"/>
        <v>0</v>
      </c>
      <c r="BQ476" s="142"/>
      <c r="BR476" s="143">
        <f t="shared" si="85"/>
        <v>0</v>
      </c>
      <c r="BS476" s="132"/>
      <c r="BT476" s="146">
        <f t="shared" si="86"/>
        <v>0</v>
      </c>
      <c r="BU476" s="132"/>
      <c r="BV476" s="143">
        <f t="shared" si="87"/>
        <v>0</v>
      </c>
      <c r="BW476" s="132"/>
      <c r="BX476" s="146">
        <f t="shared" si="88"/>
        <v>0</v>
      </c>
      <c r="BY476" s="132"/>
      <c r="BZ476" s="146">
        <f t="shared" si="89"/>
        <v>0</v>
      </c>
      <c r="CA476" s="132"/>
      <c r="CB476" s="146">
        <f t="shared" si="90"/>
        <v>0</v>
      </c>
      <c r="CC476" s="132"/>
      <c r="CD476" s="143">
        <f t="shared" si="91"/>
        <v>0</v>
      </c>
      <c r="CE476" s="132"/>
      <c r="CF476" s="143">
        <f t="shared" si="92"/>
        <v>0</v>
      </c>
      <c r="CG476" s="132"/>
      <c r="CH476" s="143">
        <f t="shared" si="93"/>
        <v>0</v>
      </c>
      <c r="CI476" s="132">
        <f t="shared" si="94"/>
        <v>0</v>
      </c>
      <c r="CJ476" s="143">
        <f t="shared" si="94"/>
        <v>0</v>
      </c>
    </row>
    <row r="477" spans="1:88" x14ac:dyDescent="0.3">
      <c r="A477" s="27"/>
      <c r="B477" s="27"/>
      <c r="C477" s="27"/>
      <c r="D477" s="27"/>
      <c r="E477" s="27"/>
      <c r="F477" s="27"/>
      <c r="G477" s="27"/>
      <c r="H477" s="27"/>
      <c r="I477" s="27"/>
      <c r="J477" s="27"/>
      <c r="K477" s="27"/>
      <c r="L477" s="27"/>
      <c r="N477" s="27"/>
      <c r="O477" s="27"/>
      <c r="P477" s="27"/>
      <c r="Q477" s="117" t="s">
        <v>1051</v>
      </c>
      <c r="R477" s="27"/>
      <c r="S477" s="27"/>
      <c r="T477" s="27"/>
      <c r="U477" s="27"/>
      <c r="V477" s="27"/>
      <c r="W477" s="27"/>
      <c r="X477" s="27"/>
      <c r="Y477" s="27"/>
      <c r="AE477" s="27"/>
      <c r="BD477" s="97"/>
      <c r="BE477" s="108"/>
      <c r="BF477" s="108"/>
      <c r="BG477" s="97"/>
      <c r="BH477" s="97"/>
      <c r="BI477" s="97"/>
      <c r="BJ477" s="97"/>
      <c r="BK477" s="110"/>
      <c r="BL477" s="97"/>
      <c r="BM477" s="97"/>
      <c r="BN477" s="97"/>
      <c r="BO477" s="142"/>
      <c r="BP477" s="143">
        <f t="shared" si="84"/>
        <v>0</v>
      </c>
      <c r="BQ477" s="142"/>
      <c r="BR477" s="143">
        <f t="shared" si="85"/>
        <v>0</v>
      </c>
      <c r="BS477" s="132"/>
      <c r="BT477" s="146">
        <f t="shared" si="86"/>
        <v>0</v>
      </c>
      <c r="BU477" s="132"/>
      <c r="BV477" s="143">
        <f t="shared" si="87"/>
        <v>0</v>
      </c>
      <c r="BW477" s="132"/>
      <c r="BX477" s="146">
        <f t="shared" si="88"/>
        <v>0</v>
      </c>
      <c r="BY477" s="132"/>
      <c r="BZ477" s="146">
        <f t="shared" si="89"/>
        <v>0</v>
      </c>
      <c r="CA477" s="132"/>
      <c r="CB477" s="146">
        <f t="shared" si="90"/>
        <v>0</v>
      </c>
      <c r="CC477" s="132"/>
      <c r="CD477" s="143">
        <f t="shared" si="91"/>
        <v>0</v>
      </c>
      <c r="CE477" s="132"/>
      <c r="CF477" s="143">
        <f t="shared" si="92"/>
        <v>0</v>
      </c>
      <c r="CG477" s="132"/>
      <c r="CH477" s="143">
        <f t="shared" si="93"/>
        <v>0</v>
      </c>
      <c r="CI477" s="132">
        <f t="shared" si="94"/>
        <v>0</v>
      </c>
      <c r="CJ477" s="143">
        <f t="shared" si="94"/>
        <v>0</v>
      </c>
    </row>
    <row r="478" spans="1:88" x14ac:dyDescent="0.3">
      <c r="A478" s="27"/>
      <c r="B478" s="27"/>
      <c r="C478" s="27"/>
      <c r="D478" s="27"/>
      <c r="E478" s="27"/>
      <c r="F478" s="27"/>
      <c r="G478" s="27"/>
      <c r="H478" s="27"/>
      <c r="I478" s="27"/>
      <c r="J478" s="27"/>
      <c r="K478" s="27"/>
      <c r="L478" s="27"/>
      <c r="N478" s="27"/>
      <c r="O478" s="27"/>
      <c r="P478" s="27"/>
      <c r="Q478" s="117" t="s">
        <v>1052</v>
      </c>
      <c r="R478" s="27"/>
      <c r="S478" s="27"/>
      <c r="T478" s="27"/>
      <c r="U478" s="27"/>
      <c r="V478" s="27"/>
      <c r="W478" s="27"/>
      <c r="X478" s="27"/>
      <c r="Y478" s="27"/>
      <c r="AE478" s="27"/>
      <c r="BD478" s="97"/>
      <c r="BE478" s="108"/>
      <c r="BF478" s="108"/>
      <c r="BG478" s="97"/>
      <c r="BH478" s="97"/>
      <c r="BI478" s="97"/>
      <c r="BJ478" s="97"/>
      <c r="BK478" s="110"/>
      <c r="BL478" s="97"/>
      <c r="BM478" s="97"/>
      <c r="BN478" s="97"/>
      <c r="BO478" s="147"/>
      <c r="BP478" s="143">
        <f t="shared" si="84"/>
        <v>0</v>
      </c>
      <c r="BQ478" s="147"/>
      <c r="BR478" s="143">
        <f t="shared" si="85"/>
        <v>0</v>
      </c>
      <c r="BS478" s="132"/>
      <c r="BT478" s="146">
        <f t="shared" si="86"/>
        <v>0</v>
      </c>
      <c r="BU478" s="66"/>
      <c r="BV478" s="143">
        <f t="shared" si="87"/>
        <v>0</v>
      </c>
      <c r="BW478" s="66"/>
      <c r="BX478" s="146">
        <f t="shared" si="88"/>
        <v>0</v>
      </c>
      <c r="BY478" s="66"/>
      <c r="BZ478" s="146">
        <f t="shared" si="89"/>
        <v>0</v>
      </c>
      <c r="CA478" s="66"/>
      <c r="CB478" s="146">
        <f t="shared" si="90"/>
        <v>0</v>
      </c>
      <c r="CC478" s="66"/>
      <c r="CD478" s="143">
        <f t="shared" si="91"/>
        <v>0</v>
      </c>
      <c r="CE478" s="66"/>
      <c r="CF478" s="143">
        <f t="shared" si="92"/>
        <v>0</v>
      </c>
      <c r="CG478" s="132"/>
      <c r="CH478" s="143">
        <f t="shared" si="93"/>
        <v>0</v>
      </c>
      <c r="CI478" s="132">
        <f t="shared" si="94"/>
        <v>0</v>
      </c>
      <c r="CJ478" s="143">
        <f t="shared" si="94"/>
        <v>0</v>
      </c>
    </row>
    <row r="479" spans="1:88" x14ac:dyDescent="0.3">
      <c r="A479" s="27"/>
      <c r="B479" s="27"/>
      <c r="C479" s="27"/>
      <c r="D479" s="27"/>
      <c r="E479" s="27"/>
      <c r="F479" s="27"/>
      <c r="G479" s="27"/>
      <c r="H479" s="27"/>
      <c r="I479" s="27"/>
      <c r="J479" s="27"/>
      <c r="K479" s="27"/>
      <c r="L479" s="27"/>
      <c r="N479" s="27"/>
      <c r="O479" s="27"/>
      <c r="P479" s="27"/>
      <c r="Q479" s="117" t="s">
        <v>1053</v>
      </c>
      <c r="R479" s="27"/>
      <c r="S479" s="27"/>
      <c r="T479" s="27"/>
      <c r="U479" s="27"/>
      <c r="V479" s="27"/>
      <c r="W479" s="27"/>
      <c r="X479" s="27"/>
      <c r="Y479" s="27"/>
      <c r="AE479" s="27"/>
      <c r="BD479" s="97"/>
      <c r="BE479" s="108"/>
      <c r="BF479" s="108"/>
      <c r="BG479" s="97"/>
      <c r="BH479" s="97"/>
      <c r="BI479" s="97"/>
      <c r="BJ479" s="97"/>
      <c r="BK479" s="110"/>
      <c r="BL479" s="97"/>
      <c r="BM479" s="97"/>
      <c r="BN479" s="97"/>
      <c r="BO479" s="142"/>
      <c r="BP479" s="143">
        <f t="shared" si="84"/>
        <v>0</v>
      </c>
      <c r="BQ479" s="142"/>
      <c r="BR479" s="143">
        <f t="shared" si="85"/>
        <v>0</v>
      </c>
      <c r="BS479" s="132"/>
      <c r="BT479" s="146">
        <f t="shared" si="86"/>
        <v>0</v>
      </c>
      <c r="BU479" s="132"/>
      <c r="BV479" s="143">
        <f t="shared" si="87"/>
        <v>0</v>
      </c>
      <c r="BW479" s="132"/>
      <c r="BX479" s="146">
        <f t="shared" si="88"/>
        <v>0</v>
      </c>
      <c r="BY479" s="132"/>
      <c r="BZ479" s="146">
        <f t="shared" si="89"/>
        <v>0</v>
      </c>
      <c r="CA479" s="132"/>
      <c r="CB479" s="146">
        <f t="shared" si="90"/>
        <v>0</v>
      </c>
      <c r="CC479" s="132"/>
      <c r="CD479" s="143">
        <f t="shared" si="91"/>
        <v>0</v>
      </c>
      <c r="CE479" s="132"/>
      <c r="CF479" s="143">
        <f t="shared" si="92"/>
        <v>0</v>
      </c>
      <c r="CG479" s="132"/>
      <c r="CH479" s="143">
        <f t="shared" si="93"/>
        <v>0</v>
      </c>
      <c r="CI479" s="132">
        <f t="shared" si="94"/>
        <v>0</v>
      </c>
      <c r="CJ479" s="143">
        <f t="shared" si="94"/>
        <v>0</v>
      </c>
    </row>
    <row r="480" spans="1:88" x14ac:dyDescent="0.3">
      <c r="A480" s="27"/>
      <c r="B480" s="27"/>
      <c r="C480" s="27"/>
      <c r="D480" s="27"/>
      <c r="E480" s="27"/>
      <c r="F480" s="27"/>
      <c r="G480" s="27"/>
      <c r="H480" s="27"/>
      <c r="I480" s="27"/>
      <c r="J480" s="27"/>
      <c r="K480" s="27"/>
      <c r="L480" s="27"/>
      <c r="N480" s="27"/>
      <c r="O480" s="27"/>
      <c r="P480" s="27"/>
      <c r="Q480" s="117" t="s">
        <v>1054</v>
      </c>
      <c r="R480" s="27"/>
      <c r="S480" s="27"/>
      <c r="T480" s="27"/>
      <c r="U480" s="27"/>
      <c r="V480" s="27"/>
      <c r="W480" s="27"/>
      <c r="X480" s="27"/>
      <c r="Y480" s="27"/>
      <c r="AE480" s="27"/>
      <c r="BD480" s="97"/>
      <c r="BE480" s="108"/>
      <c r="BF480" s="108"/>
      <c r="BG480" s="97"/>
      <c r="BH480" s="97"/>
      <c r="BI480" s="97"/>
      <c r="BJ480" s="97"/>
      <c r="BK480" s="110"/>
      <c r="BL480" s="97"/>
      <c r="BM480" s="97"/>
      <c r="BN480" s="97"/>
      <c r="BO480" s="142"/>
      <c r="BP480" s="143">
        <f t="shared" si="84"/>
        <v>0</v>
      </c>
      <c r="BQ480" s="142"/>
      <c r="BR480" s="143">
        <f t="shared" si="85"/>
        <v>0</v>
      </c>
      <c r="BS480" s="132"/>
      <c r="BT480" s="146">
        <f t="shared" si="86"/>
        <v>0</v>
      </c>
      <c r="BU480" s="132"/>
      <c r="BV480" s="143">
        <f t="shared" si="87"/>
        <v>0</v>
      </c>
      <c r="BW480" s="132"/>
      <c r="BX480" s="146">
        <f t="shared" si="88"/>
        <v>0</v>
      </c>
      <c r="BY480" s="132"/>
      <c r="BZ480" s="146">
        <f t="shared" si="89"/>
        <v>0</v>
      </c>
      <c r="CA480" s="132"/>
      <c r="CB480" s="146">
        <f t="shared" si="90"/>
        <v>0</v>
      </c>
      <c r="CC480" s="132"/>
      <c r="CD480" s="143">
        <f t="shared" si="91"/>
        <v>0</v>
      </c>
      <c r="CE480" s="132"/>
      <c r="CF480" s="143">
        <f t="shared" si="92"/>
        <v>0</v>
      </c>
      <c r="CG480" s="132"/>
      <c r="CH480" s="143">
        <f t="shared" si="93"/>
        <v>0</v>
      </c>
      <c r="CI480" s="132">
        <f t="shared" si="94"/>
        <v>0</v>
      </c>
      <c r="CJ480" s="143">
        <f t="shared" si="94"/>
        <v>0</v>
      </c>
    </row>
    <row r="481" spans="1:88" x14ac:dyDescent="0.3">
      <c r="A481" s="27"/>
      <c r="B481" s="27"/>
      <c r="C481" s="27"/>
      <c r="D481" s="27"/>
      <c r="E481" s="27"/>
      <c r="F481" s="27"/>
      <c r="G481" s="27"/>
      <c r="H481" s="27"/>
      <c r="I481" s="27"/>
      <c r="J481" s="27"/>
      <c r="K481" s="27"/>
      <c r="L481" s="27"/>
      <c r="N481" s="27"/>
      <c r="O481" s="27"/>
      <c r="P481" s="27"/>
      <c r="Q481" s="117" t="s">
        <v>1055</v>
      </c>
      <c r="R481" s="27"/>
      <c r="S481" s="27"/>
      <c r="T481" s="27"/>
      <c r="U481" s="27"/>
      <c r="V481" s="27"/>
      <c r="W481" s="27"/>
      <c r="X481" s="27"/>
      <c r="Y481" s="27"/>
      <c r="AE481" s="27"/>
      <c r="BD481" s="97"/>
      <c r="BE481" s="108"/>
      <c r="BF481" s="108"/>
      <c r="BG481" s="97"/>
      <c r="BH481" s="97"/>
      <c r="BI481" s="97"/>
      <c r="BJ481" s="97"/>
      <c r="BK481" s="110"/>
      <c r="BL481" s="97"/>
      <c r="BM481" s="97"/>
      <c r="BN481" s="97"/>
      <c r="BO481" s="142"/>
      <c r="BP481" s="143">
        <f t="shared" si="84"/>
        <v>0</v>
      </c>
      <c r="BQ481" s="142"/>
      <c r="BR481" s="143">
        <f t="shared" si="85"/>
        <v>0</v>
      </c>
      <c r="BS481" s="132"/>
      <c r="BT481" s="146">
        <f t="shared" si="86"/>
        <v>0</v>
      </c>
      <c r="BU481" s="132"/>
      <c r="BV481" s="143">
        <f t="shared" si="87"/>
        <v>0</v>
      </c>
      <c r="BW481" s="132"/>
      <c r="BX481" s="146">
        <f t="shared" si="88"/>
        <v>0</v>
      </c>
      <c r="BY481" s="132"/>
      <c r="BZ481" s="146">
        <f t="shared" si="89"/>
        <v>0</v>
      </c>
      <c r="CA481" s="132"/>
      <c r="CB481" s="146">
        <f t="shared" si="90"/>
        <v>0</v>
      </c>
      <c r="CC481" s="132"/>
      <c r="CD481" s="143">
        <f t="shared" si="91"/>
        <v>0</v>
      </c>
      <c r="CE481" s="132"/>
      <c r="CF481" s="143">
        <f t="shared" si="92"/>
        <v>0</v>
      </c>
      <c r="CG481" s="132"/>
      <c r="CH481" s="143">
        <f t="shared" si="93"/>
        <v>0</v>
      </c>
      <c r="CI481" s="132">
        <f t="shared" si="94"/>
        <v>0</v>
      </c>
      <c r="CJ481" s="143">
        <f t="shared" si="94"/>
        <v>0</v>
      </c>
    </row>
    <row r="482" spans="1:88" x14ac:dyDescent="0.3">
      <c r="A482" s="27"/>
      <c r="B482" s="27"/>
      <c r="C482" s="27"/>
      <c r="D482" s="27"/>
      <c r="E482" s="27"/>
      <c r="F482" s="27"/>
      <c r="G482" s="27"/>
      <c r="H482" s="27"/>
      <c r="I482" s="27"/>
      <c r="J482" s="27"/>
      <c r="K482" s="27"/>
      <c r="L482" s="27"/>
      <c r="N482" s="27"/>
      <c r="O482" s="27"/>
      <c r="P482" s="27"/>
      <c r="Q482" s="117" t="s">
        <v>1056</v>
      </c>
      <c r="R482" s="27"/>
      <c r="S482" s="27"/>
      <c r="T482" s="27"/>
      <c r="U482" s="27"/>
      <c r="V482" s="27"/>
      <c r="W482" s="27"/>
      <c r="X482" s="27"/>
      <c r="Y482" s="27"/>
      <c r="AE482" s="27"/>
      <c r="BD482" s="97"/>
      <c r="BE482" s="108"/>
      <c r="BF482" s="108"/>
      <c r="BG482" s="97"/>
      <c r="BH482" s="97"/>
      <c r="BI482" s="97"/>
      <c r="BJ482" s="97"/>
      <c r="BK482" s="110"/>
      <c r="BL482" s="97"/>
      <c r="BM482" s="97"/>
      <c r="BN482" s="97"/>
      <c r="BO482" s="142"/>
      <c r="BP482" s="143">
        <f t="shared" si="84"/>
        <v>0</v>
      </c>
      <c r="BQ482" s="142"/>
      <c r="BR482" s="143">
        <f t="shared" si="85"/>
        <v>0</v>
      </c>
      <c r="BS482" s="132"/>
      <c r="BT482" s="146">
        <f t="shared" si="86"/>
        <v>0</v>
      </c>
      <c r="BU482" s="132"/>
      <c r="BV482" s="143">
        <f t="shared" si="87"/>
        <v>0</v>
      </c>
      <c r="BW482" s="132"/>
      <c r="BX482" s="146">
        <f t="shared" si="88"/>
        <v>0</v>
      </c>
      <c r="BY482" s="132"/>
      <c r="BZ482" s="146">
        <f t="shared" si="89"/>
        <v>0</v>
      </c>
      <c r="CA482" s="132"/>
      <c r="CB482" s="146">
        <f t="shared" si="90"/>
        <v>0</v>
      </c>
      <c r="CC482" s="132"/>
      <c r="CD482" s="143">
        <f t="shared" si="91"/>
        <v>0</v>
      </c>
      <c r="CE482" s="132"/>
      <c r="CF482" s="143">
        <f t="shared" si="92"/>
        <v>0</v>
      </c>
      <c r="CG482" s="132"/>
      <c r="CH482" s="143">
        <f t="shared" si="93"/>
        <v>0</v>
      </c>
      <c r="CI482" s="132">
        <f t="shared" si="94"/>
        <v>0</v>
      </c>
      <c r="CJ482" s="143">
        <f t="shared" si="94"/>
        <v>0</v>
      </c>
    </row>
    <row r="483" spans="1:88" x14ac:dyDescent="0.3">
      <c r="A483" s="27"/>
      <c r="B483" s="27"/>
      <c r="C483" s="27"/>
      <c r="D483" s="27"/>
      <c r="E483" s="27"/>
      <c r="F483" s="27"/>
      <c r="G483" s="27"/>
      <c r="H483" s="27"/>
      <c r="I483" s="27"/>
      <c r="J483" s="27"/>
      <c r="K483" s="27"/>
      <c r="L483" s="27"/>
      <c r="N483" s="27"/>
      <c r="O483" s="27"/>
      <c r="P483" s="27"/>
      <c r="Q483" s="117" t="s">
        <v>1057</v>
      </c>
      <c r="R483" s="27"/>
      <c r="S483" s="27"/>
      <c r="T483" s="27"/>
      <c r="U483" s="27"/>
      <c r="V483" s="27"/>
      <c r="W483" s="27"/>
      <c r="X483" s="27"/>
      <c r="Y483" s="27"/>
      <c r="AE483" s="27"/>
      <c r="BD483" s="97"/>
      <c r="BE483" s="108"/>
      <c r="BF483" s="108"/>
      <c r="BG483" s="97"/>
      <c r="BH483" s="97"/>
      <c r="BI483" s="97"/>
      <c r="BJ483" s="97"/>
      <c r="BK483" s="110"/>
      <c r="BL483" s="97"/>
      <c r="BM483" s="97"/>
      <c r="BN483" s="97"/>
      <c r="BO483" s="142"/>
      <c r="BP483" s="143">
        <f t="shared" si="84"/>
        <v>0</v>
      </c>
      <c r="BQ483" s="142"/>
      <c r="BR483" s="143">
        <f t="shared" si="85"/>
        <v>0</v>
      </c>
      <c r="BS483" s="132"/>
      <c r="BT483" s="146">
        <f t="shared" si="86"/>
        <v>0</v>
      </c>
      <c r="BU483" s="132"/>
      <c r="BV483" s="143">
        <f t="shared" si="87"/>
        <v>0</v>
      </c>
      <c r="BW483" s="132"/>
      <c r="BX483" s="146">
        <f t="shared" si="88"/>
        <v>0</v>
      </c>
      <c r="BY483" s="132"/>
      <c r="BZ483" s="146">
        <f t="shared" si="89"/>
        <v>0</v>
      </c>
      <c r="CA483" s="132"/>
      <c r="CB483" s="146">
        <f t="shared" si="90"/>
        <v>0</v>
      </c>
      <c r="CC483" s="132"/>
      <c r="CD483" s="143">
        <f t="shared" si="91"/>
        <v>0</v>
      </c>
      <c r="CE483" s="132"/>
      <c r="CF483" s="143">
        <f t="shared" si="92"/>
        <v>0</v>
      </c>
      <c r="CG483" s="132"/>
      <c r="CH483" s="143">
        <f t="shared" si="93"/>
        <v>0</v>
      </c>
      <c r="CI483" s="132">
        <f t="shared" si="94"/>
        <v>0</v>
      </c>
      <c r="CJ483" s="143">
        <f t="shared" si="94"/>
        <v>0</v>
      </c>
    </row>
    <row r="484" spans="1:88" x14ac:dyDescent="0.3">
      <c r="A484" s="27"/>
      <c r="B484" s="27"/>
      <c r="C484" s="27"/>
      <c r="D484" s="27"/>
      <c r="E484" s="27"/>
      <c r="F484" s="27"/>
      <c r="G484" s="27"/>
      <c r="H484" s="27"/>
      <c r="I484" s="27"/>
      <c r="J484" s="27"/>
      <c r="K484" s="27"/>
      <c r="L484" s="27"/>
      <c r="N484" s="27"/>
      <c r="O484" s="27"/>
      <c r="P484" s="27"/>
      <c r="Q484" s="117" t="s">
        <v>1058</v>
      </c>
      <c r="R484" s="27"/>
      <c r="S484" s="27"/>
      <c r="T484" s="27"/>
      <c r="U484" s="27"/>
      <c r="V484" s="27"/>
      <c r="W484" s="27"/>
      <c r="X484" s="27"/>
      <c r="Y484" s="27"/>
      <c r="AE484" s="27"/>
      <c r="BD484" s="97"/>
      <c r="BE484" s="108"/>
      <c r="BF484" s="108"/>
      <c r="BG484" s="97"/>
      <c r="BH484" s="97"/>
      <c r="BI484" s="97"/>
      <c r="BJ484" s="97"/>
      <c r="BK484" s="110"/>
      <c r="BL484" s="97"/>
      <c r="BM484" s="97"/>
      <c r="BN484" s="97"/>
      <c r="BO484" s="142"/>
      <c r="BP484" s="143">
        <f t="shared" si="84"/>
        <v>0</v>
      </c>
      <c r="BQ484" s="142"/>
      <c r="BR484" s="143">
        <f t="shared" si="85"/>
        <v>0</v>
      </c>
      <c r="BS484" s="132"/>
      <c r="BT484" s="146">
        <f t="shared" si="86"/>
        <v>0</v>
      </c>
      <c r="BU484" s="132"/>
      <c r="BV484" s="143">
        <f t="shared" si="87"/>
        <v>0</v>
      </c>
      <c r="BW484" s="132"/>
      <c r="BX484" s="146">
        <f t="shared" si="88"/>
        <v>0</v>
      </c>
      <c r="BY484" s="132"/>
      <c r="BZ484" s="146">
        <f t="shared" si="89"/>
        <v>0</v>
      </c>
      <c r="CA484" s="132"/>
      <c r="CB484" s="146">
        <f t="shared" si="90"/>
        <v>0</v>
      </c>
      <c r="CC484" s="132"/>
      <c r="CD484" s="143">
        <f t="shared" si="91"/>
        <v>0</v>
      </c>
      <c r="CE484" s="132"/>
      <c r="CF484" s="143">
        <f t="shared" si="92"/>
        <v>0</v>
      </c>
      <c r="CG484" s="132"/>
      <c r="CH484" s="143">
        <f t="shared" si="93"/>
        <v>0</v>
      </c>
      <c r="CI484" s="132">
        <f t="shared" si="94"/>
        <v>0</v>
      </c>
      <c r="CJ484" s="143">
        <f t="shared" si="94"/>
        <v>0</v>
      </c>
    </row>
    <row r="485" spans="1:88" x14ac:dyDescent="0.3">
      <c r="A485" s="27"/>
      <c r="B485" s="27"/>
      <c r="C485" s="27"/>
      <c r="D485" s="27"/>
      <c r="E485" s="27"/>
      <c r="F485" s="27"/>
      <c r="G485" s="27"/>
      <c r="H485" s="27"/>
      <c r="I485" s="27"/>
      <c r="J485" s="27"/>
      <c r="K485" s="27"/>
      <c r="L485" s="27"/>
      <c r="N485" s="27"/>
      <c r="O485" s="27"/>
      <c r="P485" s="27"/>
      <c r="Q485" s="117" t="s">
        <v>1059</v>
      </c>
      <c r="R485" s="27"/>
      <c r="S485" s="27"/>
      <c r="T485" s="27"/>
      <c r="U485" s="27"/>
      <c r="V485" s="27"/>
      <c r="W485" s="27"/>
      <c r="X485" s="27"/>
      <c r="Y485" s="27"/>
      <c r="AE485" s="27"/>
      <c r="BD485" s="97"/>
      <c r="BE485" s="108"/>
      <c r="BF485" s="108"/>
      <c r="BG485" s="97"/>
      <c r="BH485" s="97"/>
      <c r="BI485" s="97"/>
      <c r="BJ485" s="97"/>
      <c r="BK485" s="110"/>
      <c r="BL485" s="97"/>
      <c r="BM485" s="97"/>
      <c r="BN485" s="97"/>
      <c r="BO485" s="147"/>
      <c r="BP485" s="143">
        <f t="shared" si="84"/>
        <v>0</v>
      </c>
      <c r="BQ485" s="147"/>
      <c r="BR485" s="143">
        <f t="shared" si="85"/>
        <v>0</v>
      </c>
      <c r="BS485" s="132"/>
      <c r="BT485" s="146">
        <f t="shared" si="86"/>
        <v>0</v>
      </c>
      <c r="BU485" s="66"/>
      <c r="BV485" s="143">
        <f t="shared" si="87"/>
        <v>0</v>
      </c>
      <c r="BW485" s="66"/>
      <c r="BX485" s="146">
        <f t="shared" si="88"/>
        <v>0</v>
      </c>
      <c r="BY485" s="66"/>
      <c r="BZ485" s="146">
        <f t="shared" si="89"/>
        <v>0</v>
      </c>
      <c r="CA485" s="66"/>
      <c r="CB485" s="146">
        <f t="shared" si="90"/>
        <v>0</v>
      </c>
      <c r="CC485" s="66"/>
      <c r="CD485" s="143">
        <f t="shared" si="91"/>
        <v>0</v>
      </c>
      <c r="CE485" s="66"/>
      <c r="CF485" s="143">
        <f t="shared" si="92"/>
        <v>0</v>
      </c>
      <c r="CG485" s="132"/>
      <c r="CH485" s="143">
        <f t="shared" si="93"/>
        <v>0</v>
      </c>
      <c r="CI485" s="132">
        <f t="shared" si="94"/>
        <v>0</v>
      </c>
      <c r="CJ485" s="143">
        <f t="shared" si="94"/>
        <v>0</v>
      </c>
    </row>
    <row r="486" spans="1:88" x14ac:dyDescent="0.3">
      <c r="A486" s="27"/>
      <c r="B486" s="27"/>
      <c r="C486" s="27"/>
      <c r="D486" s="27"/>
      <c r="E486" s="27"/>
      <c r="F486" s="27"/>
      <c r="G486" s="27"/>
      <c r="H486" s="27"/>
      <c r="I486" s="27"/>
      <c r="J486" s="27"/>
      <c r="K486" s="27"/>
      <c r="L486" s="27"/>
      <c r="N486" s="27"/>
      <c r="O486" s="27"/>
      <c r="P486" s="27"/>
      <c r="Q486" s="117" t="s">
        <v>1060</v>
      </c>
      <c r="R486" s="27"/>
      <c r="S486" s="27"/>
      <c r="T486" s="27"/>
      <c r="U486" s="27"/>
      <c r="V486" s="27"/>
      <c r="W486" s="27"/>
      <c r="X486" s="27"/>
      <c r="Y486" s="27"/>
      <c r="AE486" s="27"/>
      <c r="BD486" s="97"/>
      <c r="BE486" s="108"/>
      <c r="BF486" s="108"/>
      <c r="BG486" s="97"/>
      <c r="BH486" s="97"/>
      <c r="BI486" s="97"/>
      <c r="BJ486" s="97"/>
      <c r="BK486" s="110"/>
      <c r="BL486" s="97"/>
      <c r="BM486" s="97"/>
      <c r="BN486" s="97"/>
      <c r="BO486" s="142"/>
      <c r="BP486" s="143">
        <f t="shared" si="84"/>
        <v>0</v>
      </c>
      <c r="BQ486" s="142"/>
      <c r="BR486" s="143">
        <f t="shared" si="85"/>
        <v>0</v>
      </c>
      <c r="BS486" s="132"/>
      <c r="BT486" s="146">
        <f t="shared" si="86"/>
        <v>0</v>
      </c>
      <c r="BU486" s="132"/>
      <c r="BV486" s="143">
        <f t="shared" si="87"/>
        <v>0</v>
      </c>
      <c r="BW486" s="132"/>
      <c r="BX486" s="146">
        <f t="shared" si="88"/>
        <v>0</v>
      </c>
      <c r="BY486" s="132"/>
      <c r="BZ486" s="146">
        <f t="shared" si="89"/>
        <v>0</v>
      </c>
      <c r="CA486" s="132"/>
      <c r="CB486" s="146">
        <f t="shared" si="90"/>
        <v>0</v>
      </c>
      <c r="CC486" s="132"/>
      <c r="CD486" s="143">
        <f t="shared" si="91"/>
        <v>0</v>
      </c>
      <c r="CE486" s="132"/>
      <c r="CF486" s="143">
        <f t="shared" si="92"/>
        <v>0</v>
      </c>
      <c r="CG486" s="132"/>
      <c r="CH486" s="143">
        <f t="shared" si="93"/>
        <v>0</v>
      </c>
      <c r="CI486" s="132">
        <f t="shared" si="94"/>
        <v>0</v>
      </c>
      <c r="CJ486" s="143">
        <f t="shared" si="94"/>
        <v>0</v>
      </c>
    </row>
    <row r="487" spans="1:88" x14ac:dyDescent="0.3">
      <c r="A487" s="27"/>
      <c r="B487" s="27"/>
      <c r="C487" s="27"/>
      <c r="D487" s="27"/>
      <c r="E487" s="27"/>
      <c r="F487" s="27"/>
      <c r="G487" s="27"/>
      <c r="H487" s="27"/>
      <c r="I487" s="27"/>
      <c r="J487" s="27"/>
      <c r="K487" s="27"/>
      <c r="L487" s="27"/>
      <c r="N487" s="27"/>
      <c r="O487" s="27"/>
      <c r="P487" s="27"/>
      <c r="Q487" s="117" t="s">
        <v>1061</v>
      </c>
      <c r="R487" s="27"/>
      <c r="S487" s="27"/>
      <c r="T487" s="27"/>
      <c r="U487" s="27"/>
      <c r="V487" s="27"/>
      <c r="W487" s="27"/>
      <c r="X487" s="27"/>
      <c r="Y487" s="27"/>
      <c r="AE487" s="27"/>
      <c r="BD487" s="97"/>
      <c r="BE487" s="108"/>
      <c r="BF487" s="108"/>
      <c r="BG487" s="97"/>
      <c r="BH487" s="97"/>
      <c r="BI487" s="97"/>
      <c r="BJ487" s="97"/>
      <c r="BK487" s="110"/>
      <c r="BL487" s="97"/>
      <c r="BM487" s="97"/>
      <c r="BN487" s="97"/>
      <c r="BO487" s="142"/>
      <c r="BP487" s="143">
        <f t="shared" si="84"/>
        <v>0</v>
      </c>
      <c r="BQ487" s="142"/>
      <c r="BR487" s="143">
        <f t="shared" si="85"/>
        <v>0</v>
      </c>
      <c r="BS487" s="132"/>
      <c r="BT487" s="146">
        <f t="shared" si="86"/>
        <v>0</v>
      </c>
      <c r="BU487" s="132"/>
      <c r="BV487" s="143">
        <f t="shared" si="87"/>
        <v>0</v>
      </c>
      <c r="BW487" s="132"/>
      <c r="BX487" s="146">
        <f t="shared" si="88"/>
        <v>0</v>
      </c>
      <c r="BY487" s="132"/>
      <c r="BZ487" s="146">
        <f t="shared" si="89"/>
        <v>0</v>
      </c>
      <c r="CA487" s="132"/>
      <c r="CB487" s="146">
        <f t="shared" si="90"/>
        <v>0</v>
      </c>
      <c r="CC487" s="132"/>
      <c r="CD487" s="143">
        <f t="shared" si="91"/>
        <v>0</v>
      </c>
      <c r="CE487" s="132"/>
      <c r="CF487" s="143">
        <f t="shared" si="92"/>
        <v>0</v>
      </c>
      <c r="CG487" s="132"/>
      <c r="CH487" s="143">
        <f t="shared" si="93"/>
        <v>0</v>
      </c>
      <c r="CI487" s="132">
        <f t="shared" si="94"/>
        <v>0</v>
      </c>
      <c r="CJ487" s="143">
        <f t="shared" si="94"/>
        <v>0</v>
      </c>
    </row>
    <row r="488" spans="1:88" x14ac:dyDescent="0.3">
      <c r="A488" s="27"/>
      <c r="B488" s="27"/>
      <c r="C488" s="27"/>
      <c r="D488" s="27"/>
      <c r="E488" s="27"/>
      <c r="F488" s="27"/>
      <c r="G488" s="27"/>
      <c r="H488" s="27"/>
      <c r="I488" s="27"/>
      <c r="J488" s="27"/>
      <c r="K488" s="27"/>
      <c r="L488" s="27"/>
      <c r="N488" s="27"/>
      <c r="O488" s="27"/>
      <c r="P488" s="27"/>
      <c r="Q488" s="117" t="s">
        <v>1062</v>
      </c>
      <c r="R488" s="27"/>
      <c r="S488" s="27"/>
      <c r="T488" s="27"/>
      <c r="U488" s="27"/>
      <c r="V488" s="27"/>
      <c r="W488" s="27"/>
      <c r="X488" s="27"/>
      <c r="Y488" s="27"/>
      <c r="AE488" s="27"/>
      <c r="BD488" s="97"/>
      <c r="BE488" s="108"/>
      <c r="BF488" s="108"/>
      <c r="BG488" s="97"/>
      <c r="BH488" s="97"/>
      <c r="BI488" s="97"/>
      <c r="BJ488" s="97"/>
      <c r="BK488" s="110"/>
      <c r="BL488" s="97"/>
      <c r="BM488" s="97"/>
      <c r="BN488" s="97"/>
      <c r="BO488" s="144"/>
      <c r="BP488" s="143">
        <f t="shared" si="84"/>
        <v>0</v>
      </c>
      <c r="BQ488" s="144"/>
      <c r="BR488" s="143">
        <f t="shared" si="85"/>
        <v>0</v>
      </c>
      <c r="BS488" s="132"/>
      <c r="BT488" s="146">
        <f t="shared" si="86"/>
        <v>0</v>
      </c>
      <c r="BU488" s="145"/>
      <c r="BV488" s="143">
        <f t="shared" si="87"/>
        <v>0</v>
      </c>
      <c r="BW488" s="145"/>
      <c r="BX488" s="146">
        <f t="shared" si="88"/>
        <v>0</v>
      </c>
      <c r="BY488" s="145"/>
      <c r="BZ488" s="146">
        <f t="shared" si="89"/>
        <v>0</v>
      </c>
      <c r="CA488" s="145"/>
      <c r="CB488" s="146">
        <f t="shared" si="90"/>
        <v>0</v>
      </c>
      <c r="CC488" s="145"/>
      <c r="CD488" s="143">
        <f t="shared" si="91"/>
        <v>0</v>
      </c>
      <c r="CE488" s="145"/>
      <c r="CF488" s="143">
        <f t="shared" si="92"/>
        <v>0</v>
      </c>
      <c r="CG488" s="132"/>
      <c r="CH488" s="143">
        <f t="shared" si="93"/>
        <v>0</v>
      </c>
      <c r="CI488" s="132">
        <f t="shared" si="94"/>
        <v>0</v>
      </c>
      <c r="CJ488" s="143">
        <f t="shared" si="94"/>
        <v>0</v>
      </c>
    </row>
    <row r="489" spans="1:88" x14ac:dyDescent="0.3">
      <c r="A489" s="27"/>
      <c r="B489" s="27"/>
      <c r="C489" s="27"/>
      <c r="D489" s="27"/>
      <c r="E489" s="27"/>
      <c r="F489" s="27"/>
      <c r="G489" s="27"/>
      <c r="H489" s="27"/>
      <c r="I489" s="27"/>
      <c r="J489" s="27"/>
      <c r="K489" s="27"/>
      <c r="L489" s="27"/>
      <c r="N489" s="27"/>
      <c r="O489" s="27"/>
      <c r="P489" s="27"/>
      <c r="Q489" s="117" t="s">
        <v>1063</v>
      </c>
      <c r="R489" s="27"/>
      <c r="S489" s="27"/>
      <c r="T489" s="27"/>
      <c r="U489" s="27"/>
      <c r="V489" s="27"/>
      <c r="W489" s="27"/>
      <c r="X489" s="27"/>
      <c r="Y489" s="27"/>
      <c r="AE489" s="27"/>
      <c r="BD489" s="97"/>
      <c r="BE489" s="108"/>
      <c r="BF489" s="108"/>
      <c r="BG489" s="97"/>
      <c r="BH489" s="97"/>
      <c r="BI489" s="97"/>
      <c r="BJ489" s="97"/>
      <c r="BK489" s="110"/>
      <c r="BL489" s="97"/>
      <c r="BM489" s="97"/>
      <c r="BN489" s="97"/>
      <c r="BO489" s="144"/>
      <c r="BP489" s="143">
        <f t="shared" si="84"/>
        <v>0</v>
      </c>
      <c r="BQ489" s="144"/>
      <c r="BR489" s="143">
        <f t="shared" si="85"/>
        <v>0</v>
      </c>
      <c r="BS489" s="132"/>
      <c r="BT489" s="146">
        <f t="shared" si="86"/>
        <v>0</v>
      </c>
      <c r="BU489" s="145"/>
      <c r="BV489" s="143">
        <f t="shared" si="87"/>
        <v>0</v>
      </c>
      <c r="BW489" s="145"/>
      <c r="BX489" s="146">
        <f t="shared" si="88"/>
        <v>0</v>
      </c>
      <c r="BY489" s="145"/>
      <c r="BZ489" s="146">
        <f t="shared" si="89"/>
        <v>0</v>
      </c>
      <c r="CA489" s="145"/>
      <c r="CB489" s="146">
        <f t="shared" si="90"/>
        <v>0</v>
      </c>
      <c r="CC489" s="145"/>
      <c r="CD489" s="143">
        <f t="shared" si="91"/>
        <v>0</v>
      </c>
      <c r="CE489" s="145"/>
      <c r="CF489" s="143">
        <f t="shared" si="92"/>
        <v>0</v>
      </c>
      <c r="CG489" s="132"/>
      <c r="CH489" s="143">
        <f t="shared" si="93"/>
        <v>0</v>
      </c>
      <c r="CI489" s="132">
        <f t="shared" si="94"/>
        <v>0</v>
      </c>
      <c r="CJ489" s="143">
        <f t="shared" si="94"/>
        <v>0</v>
      </c>
    </row>
    <row r="490" spans="1:88" x14ac:dyDescent="0.3">
      <c r="A490" s="27"/>
      <c r="B490" s="27"/>
      <c r="C490" s="27"/>
      <c r="D490" s="27"/>
      <c r="E490" s="27"/>
      <c r="F490" s="27"/>
      <c r="G490" s="27"/>
      <c r="H490" s="27"/>
      <c r="I490" s="27"/>
      <c r="J490" s="27"/>
      <c r="K490" s="27"/>
      <c r="L490" s="27"/>
      <c r="N490" s="27"/>
      <c r="O490" s="27"/>
      <c r="P490" s="27"/>
      <c r="Q490" s="117" t="s">
        <v>1064</v>
      </c>
      <c r="R490" s="27"/>
      <c r="S490" s="27"/>
      <c r="T490" s="27"/>
      <c r="U490" s="27"/>
      <c r="V490" s="27"/>
      <c r="W490" s="27"/>
      <c r="X490" s="27"/>
      <c r="Y490" s="27"/>
      <c r="AE490" s="27"/>
      <c r="BD490" s="97"/>
      <c r="BE490" s="108"/>
      <c r="BF490" s="108"/>
      <c r="BG490" s="97"/>
      <c r="BH490" s="97"/>
      <c r="BI490" s="97"/>
      <c r="BJ490" s="97"/>
      <c r="BK490" s="110"/>
      <c r="BL490" s="97"/>
      <c r="BM490" s="97"/>
      <c r="BN490" s="97"/>
      <c r="BO490" s="144"/>
      <c r="BP490" s="143">
        <f t="shared" si="84"/>
        <v>0</v>
      </c>
      <c r="BQ490" s="144"/>
      <c r="BR490" s="143">
        <f t="shared" si="85"/>
        <v>0</v>
      </c>
      <c r="BS490" s="132"/>
      <c r="BT490" s="146">
        <f t="shared" si="86"/>
        <v>0</v>
      </c>
      <c r="BU490" s="145"/>
      <c r="BV490" s="143">
        <f t="shared" si="87"/>
        <v>0</v>
      </c>
      <c r="BW490" s="145"/>
      <c r="BX490" s="146">
        <f t="shared" si="88"/>
        <v>0</v>
      </c>
      <c r="BY490" s="145"/>
      <c r="BZ490" s="146">
        <f t="shared" si="89"/>
        <v>0</v>
      </c>
      <c r="CA490" s="145"/>
      <c r="CB490" s="146">
        <f t="shared" si="90"/>
        <v>0</v>
      </c>
      <c r="CC490" s="145"/>
      <c r="CD490" s="143">
        <f t="shared" si="91"/>
        <v>0</v>
      </c>
      <c r="CE490" s="145"/>
      <c r="CF490" s="143">
        <f t="shared" si="92"/>
        <v>0</v>
      </c>
      <c r="CG490" s="132"/>
      <c r="CH490" s="143">
        <f t="shared" si="93"/>
        <v>0</v>
      </c>
      <c r="CI490" s="132">
        <f t="shared" si="94"/>
        <v>0</v>
      </c>
      <c r="CJ490" s="143">
        <f t="shared" si="94"/>
        <v>0</v>
      </c>
    </row>
    <row r="491" spans="1:88" x14ac:dyDescent="0.3">
      <c r="A491" s="27"/>
      <c r="B491" s="27"/>
      <c r="C491" s="27"/>
      <c r="D491" s="27"/>
      <c r="E491" s="27"/>
      <c r="F491" s="27"/>
      <c r="G491" s="27"/>
      <c r="H491" s="27"/>
      <c r="I491" s="27"/>
      <c r="J491" s="27"/>
      <c r="K491" s="27"/>
      <c r="L491" s="27"/>
      <c r="N491" s="27"/>
      <c r="O491" s="27"/>
      <c r="P491" s="27"/>
      <c r="Q491" s="117" t="s">
        <v>1065</v>
      </c>
      <c r="R491" s="27"/>
      <c r="S491" s="27"/>
      <c r="T491" s="27"/>
      <c r="U491" s="27"/>
      <c r="V491" s="27"/>
      <c r="W491" s="27"/>
      <c r="X491" s="27"/>
      <c r="Y491" s="27"/>
      <c r="AE491" s="27"/>
      <c r="BD491" s="97"/>
      <c r="BE491" s="108"/>
      <c r="BF491" s="108"/>
      <c r="BG491" s="97"/>
      <c r="BH491" s="97"/>
      <c r="BI491" s="97"/>
      <c r="BJ491" s="97"/>
      <c r="BK491" s="110"/>
      <c r="BL491" s="97"/>
      <c r="BM491" s="97"/>
      <c r="BN491" s="97"/>
      <c r="BO491" s="144"/>
      <c r="BP491" s="143">
        <f t="shared" si="84"/>
        <v>0</v>
      </c>
      <c r="BQ491" s="144"/>
      <c r="BR491" s="143">
        <f t="shared" si="85"/>
        <v>0</v>
      </c>
      <c r="BS491" s="132"/>
      <c r="BT491" s="146">
        <f t="shared" si="86"/>
        <v>0</v>
      </c>
      <c r="BU491" s="145"/>
      <c r="BV491" s="143">
        <f t="shared" si="87"/>
        <v>0</v>
      </c>
      <c r="BW491" s="145"/>
      <c r="BX491" s="146">
        <f t="shared" si="88"/>
        <v>0</v>
      </c>
      <c r="BY491" s="145"/>
      <c r="BZ491" s="146">
        <f t="shared" si="89"/>
        <v>0</v>
      </c>
      <c r="CA491" s="145"/>
      <c r="CB491" s="146">
        <f t="shared" si="90"/>
        <v>0</v>
      </c>
      <c r="CC491" s="145"/>
      <c r="CD491" s="143">
        <f t="shared" si="91"/>
        <v>0</v>
      </c>
      <c r="CE491" s="145"/>
      <c r="CF491" s="143">
        <f t="shared" si="92"/>
        <v>0</v>
      </c>
      <c r="CG491" s="132"/>
      <c r="CH491" s="143">
        <f t="shared" si="93"/>
        <v>0</v>
      </c>
      <c r="CI491" s="132">
        <f t="shared" si="94"/>
        <v>0</v>
      </c>
      <c r="CJ491" s="143">
        <f t="shared" si="94"/>
        <v>0</v>
      </c>
    </row>
    <row r="492" spans="1:88" x14ac:dyDescent="0.3">
      <c r="A492" s="27"/>
      <c r="B492" s="27"/>
      <c r="C492" s="27"/>
      <c r="D492" s="27"/>
      <c r="E492" s="27"/>
      <c r="F492" s="27"/>
      <c r="G492" s="27"/>
      <c r="H492" s="27"/>
      <c r="I492" s="27"/>
      <c r="J492" s="27"/>
      <c r="K492" s="27"/>
      <c r="L492" s="27"/>
      <c r="N492" s="27"/>
      <c r="O492" s="27"/>
      <c r="P492" s="27"/>
      <c r="Q492" s="117" t="s">
        <v>457</v>
      </c>
      <c r="R492" s="27"/>
      <c r="S492" s="27"/>
      <c r="T492" s="27"/>
      <c r="U492" s="27"/>
      <c r="V492" s="27"/>
      <c r="W492" s="27"/>
      <c r="X492" s="27"/>
      <c r="Y492" s="27"/>
      <c r="AE492" s="27"/>
      <c r="BD492" s="97"/>
      <c r="BE492" s="108"/>
      <c r="BF492" s="108"/>
      <c r="BG492" s="97"/>
      <c r="BH492" s="97"/>
      <c r="BI492" s="97"/>
      <c r="BJ492" s="97"/>
      <c r="BK492" s="110"/>
      <c r="BL492" s="97"/>
      <c r="BM492" s="97"/>
      <c r="BN492" s="97"/>
      <c r="BO492" s="144"/>
      <c r="BP492" s="143">
        <f t="shared" si="84"/>
        <v>0</v>
      </c>
      <c r="BQ492" s="144"/>
      <c r="BR492" s="143">
        <f t="shared" si="85"/>
        <v>0</v>
      </c>
      <c r="BS492" s="132"/>
      <c r="BT492" s="146">
        <f t="shared" si="86"/>
        <v>0</v>
      </c>
      <c r="BU492" s="145"/>
      <c r="BV492" s="143">
        <f t="shared" si="87"/>
        <v>0</v>
      </c>
      <c r="BW492" s="145"/>
      <c r="BX492" s="146">
        <f t="shared" si="88"/>
        <v>0</v>
      </c>
      <c r="BY492" s="145"/>
      <c r="BZ492" s="146">
        <f t="shared" si="89"/>
        <v>0</v>
      </c>
      <c r="CA492" s="145"/>
      <c r="CB492" s="146">
        <f t="shared" si="90"/>
        <v>0</v>
      </c>
      <c r="CC492" s="145"/>
      <c r="CD492" s="143">
        <f t="shared" si="91"/>
        <v>0</v>
      </c>
      <c r="CE492" s="145"/>
      <c r="CF492" s="143">
        <f t="shared" si="92"/>
        <v>0</v>
      </c>
      <c r="CG492" s="132"/>
      <c r="CH492" s="143">
        <f t="shared" si="93"/>
        <v>0</v>
      </c>
      <c r="CI492" s="132">
        <f t="shared" si="94"/>
        <v>0</v>
      </c>
      <c r="CJ492" s="143">
        <f t="shared" si="94"/>
        <v>0</v>
      </c>
    </row>
    <row r="493" spans="1:88" x14ac:dyDescent="0.3">
      <c r="A493" s="27"/>
      <c r="B493" s="27"/>
      <c r="C493" s="27"/>
      <c r="D493" s="27"/>
      <c r="E493" s="27"/>
      <c r="F493" s="27"/>
      <c r="G493" s="27"/>
      <c r="H493" s="27"/>
      <c r="I493" s="27"/>
      <c r="J493" s="27"/>
      <c r="K493" s="27"/>
      <c r="L493" s="27"/>
      <c r="N493" s="27"/>
      <c r="O493" s="27"/>
      <c r="P493" s="27"/>
      <c r="Q493" s="117" t="s">
        <v>1066</v>
      </c>
      <c r="R493" s="27"/>
      <c r="S493" s="27"/>
      <c r="T493" s="27"/>
      <c r="U493" s="27"/>
      <c r="V493" s="27"/>
      <c r="W493" s="27"/>
      <c r="X493" s="27"/>
      <c r="Y493" s="27"/>
      <c r="AE493" s="27"/>
      <c r="BD493" s="97"/>
      <c r="BE493" s="108"/>
      <c r="BF493" s="108"/>
      <c r="BG493" s="97"/>
      <c r="BH493" s="97"/>
      <c r="BI493" s="97"/>
      <c r="BJ493" s="97"/>
      <c r="BK493" s="110"/>
      <c r="BL493" s="97"/>
      <c r="BM493" s="97"/>
      <c r="BN493" s="97"/>
      <c r="BO493" s="144"/>
      <c r="BP493" s="143">
        <f t="shared" si="84"/>
        <v>0</v>
      </c>
      <c r="BQ493" s="144"/>
      <c r="BR493" s="143">
        <f t="shared" si="85"/>
        <v>0</v>
      </c>
      <c r="BS493" s="132"/>
      <c r="BT493" s="146">
        <f t="shared" si="86"/>
        <v>0</v>
      </c>
      <c r="BU493" s="145"/>
      <c r="BV493" s="143">
        <f t="shared" si="87"/>
        <v>0</v>
      </c>
      <c r="BW493" s="145"/>
      <c r="BX493" s="146">
        <f t="shared" si="88"/>
        <v>0</v>
      </c>
      <c r="BY493" s="145"/>
      <c r="BZ493" s="146">
        <f t="shared" si="89"/>
        <v>0</v>
      </c>
      <c r="CA493" s="145"/>
      <c r="CB493" s="146">
        <f t="shared" si="90"/>
        <v>0</v>
      </c>
      <c r="CC493" s="145"/>
      <c r="CD493" s="143">
        <f t="shared" si="91"/>
        <v>0</v>
      </c>
      <c r="CE493" s="145"/>
      <c r="CF493" s="143">
        <f t="shared" si="92"/>
        <v>0</v>
      </c>
      <c r="CG493" s="132"/>
      <c r="CH493" s="143">
        <f t="shared" si="93"/>
        <v>0</v>
      </c>
      <c r="CI493" s="132">
        <f t="shared" si="94"/>
        <v>0</v>
      </c>
      <c r="CJ493" s="143">
        <f t="shared" si="94"/>
        <v>0</v>
      </c>
    </row>
    <row r="494" spans="1:88" x14ac:dyDescent="0.3">
      <c r="A494" s="27"/>
      <c r="B494" s="27"/>
      <c r="C494" s="27"/>
      <c r="D494" s="27"/>
      <c r="E494" s="27"/>
      <c r="F494" s="27"/>
      <c r="G494" s="27"/>
      <c r="H494" s="27"/>
      <c r="I494" s="27"/>
      <c r="J494" s="27"/>
      <c r="K494" s="27"/>
      <c r="L494" s="27"/>
      <c r="N494" s="27"/>
      <c r="O494" s="27"/>
      <c r="P494" s="27"/>
      <c r="Q494" s="117" t="s">
        <v>1067</v>
      </c>
      <c r="R494" s="27"/>
      <c r="S494" s="27"/>
      <c r="T494" s="27"/>
      <c r="U494" s="27"/>
      <c r="V494" s="27"/>
      <c r="W494" s="27"/>
      <c r="X494" s="27"/>
      <c r="Y494" s="27"/>
      <c r="AE494" s="27"/>
      <c r="BD494" s="97"/>
      <c r="BE494" s="108"/>
      <c r="BF494" s="108"/>
      <c r="BG494" s="97"/>
      <c r="BH494" s="97"/>
      <c r="BI494" s="97"/>
      <c r="BJ494" s="97"/>
      <c r="BK494" s="110"/>
      <c r="BL494" s="97"/>
      <c r="BM494" s="97"/>
      <c r="BN494" s="97"/>
      <c r="BO494" s="144"/>
      <c r="BP494" s="143">
        <f t="shared" si="84"/>
        <v>0</v>
      </c>
      <c r="BQ494" s="144"/>
      <c r="BR494" s="143">
        <f t="shared" si="85"/>
        <v>0</v>
      </c>
      <c r="BS494" s="132"/>
      <c r="BT494" s="146">
        <f t="shared" si="86"/>
        <v>0</v>
      </c>
      <c r="BU494" s="145"/>
      <c r="BV494" s="143">
        <f t="shared" si="87"/>
        <v>0</v>
      </c>
      <c r="BW494" s="145"/>
      <c r="BX494" s="146">
        <f t="shared" si="88"/>
        <v>0</v>
      </c>
      <c r="BY494" s="145"/>
      <c r="BZ494" s="146">
        <f t="shared" si="89"/>
        <v>0</v>
      </c>
      <c r="CA494" s="145"/>
      <c r="CB494" s="146">
        <f t="shared" si="90"/>
        <v>0</v>
      </c>
      <c r="CC494" s="145"/>
      <c r="CD494" s="143">
        <f t="shared" si="91"/>
        <v>0</v>
      </c>
      <c r="CE494" s="145"/>
      <c r="CF494" s="143">
        <f t="shared" si="92"/>
        <v>0</v>
      </c>
      <c r="CG494" s="132"/>
      <c r="CH494" s="143">
        <f t="shared" si="93"/>
        <v>0</v>
      </c>
      <c r="CI494" s="132">
        <f t="shared" si="94"/>
        <v>0</v>
      </c>
      <c r="CJ494" s="143">
        <f t="shared" si="94"/>
        <v>0</v>
      </c>
    </row>
    <row r="495" spans="1:88" ht="27.6" x14ac:dyDescent="0.3">
      <c r="A495" s="27"/>
      <c r="B495" s="27"/>
      <c r="C495" s="27"/>
      <c r="D495" s="27"/>
      <c r="E495" s="27"/>
      <c r="F495" s="27"/>
      <c r="G495" s="27"/>
      <c r="H495" s="27"/>
      <c r="I495" s="27"/>
      <c r="J495" s="27"/>
      <c r="K495" s="27"/>
      <c r="L495" s="27"/>
      <c r="N495" s="27"/>
      <c r="O495" s="27"/>
      <c r="P495" s="27"/>
      <c r="Q495" s="117" t="s">
        <v>1068</v>
      </c>
      <c r="R495" s="27"/>
      <c r="S495" s="27"/>
      <c r="T495" s="27"/>
      <c r="U495" s="27"/>
      <c r="V495" s="27"/>
      <c r="W495" s="27"/>
      <c r="X495" s="27"/>
      <c r="Y495" s="27"/>
      <c r="AE495" s="27"/>
      <c r="BD495" s="97"/>
      <c r="BE495" s="108"/>
      <c r="BF495" s="108"/>
      <c r="BG495" s="97"/>
      <c r="BH495" s="97"/>
      <c r="BI495" s="97"/>
      <c r="BJ495" s="97"/>
      <c r="BK495" s="110"/>
      <c r="BL495" s="97"/>
      <c r="BM495" s="97"/>
      <c r="BN495" s="97"/>
      <c r="BO495" s="144"/>
      <c r="BP495" s="143">
        <f t="shared" si="84"/>
        <v>0</v>
      </c>
      <c r="BQ495" s="144"/>
      <c r="BR495" s="143">
        <f t="shared" si="85"/>
        <v>0</v>
      </c>
      <c r="BS495" s="132"/>
      <c r="BT495" s="146">
        <f t="shared" si="86"/>
        <v>0</v>
      </c>
      <c r="BU495" s="145"/>
      <c r="BV495" s="143">
        <f t="shared" si="87"/>
        <v>0</v>
      </c>
      <c r="BW495" s="145"/>
      <c r="BX495" s="146">
        <f t="shared" si="88"/>
        <v>0</v>
      </c>
      <c r="BY495" s="145"/>
      <c r="BZ495" s="146">
        <f t="shared" si="89"/>
        <v>0</v>
      </c>
      <c r="CA495" s="145"/>
      <c r="CB495" s="146">
        <f t="shared" si="90"/>
        <v>0</v>
      </c>
      <c r="CC495" s="145"/>
      <c r="CD495" s="143">
        <f t="shared" si="91"/>
        <v>0</v>
      </c>
      <c r="CE495" s="145"/>
      <c r="CF495" s="143">
        <f t="shared" si="92"/>
        <v>0</v>
      </c>
      <c r="CG495" s="132"/>
      <c r="CH495" s="143">
        <f t="shared" si="93"/>
        <v>0</v>
      </c>
      <c r="CI495" s="132">
        <f t="shared" si="94"/>
        <v>0</v>
      </c>
      <c r="CJ495" s="143">
        <f t="shared" si="94"/>
        <v>0</v>
      </c>
    </row>
    <row r="496" spans="1:88" x14ac:dyDescent="0.3">
      <c r="A496" s="27"/>
      <c r="B496" s="27"/>
      <c r="C496" s="27"/>
      <c r="D496" s="27"/>
      <c r="E496" s="27"/>
      <c r="F496" s="27"/>
      <c r="G496" s="27"/>
      <c r="H496" s="27"/>
      <c r="I496" s="27"/>
      <c r="J496" s="27"/>
      <c r="K496" s="27"/>
      <c r="L496" s="27"/>
      <c r="N496" s="27"/>
      <c r="O496" s="27"/>
      <c r="P496" s="27"/>
      <c r="Q496" s="117" t="s">
        <v>1069</v>
      </c>
      <c r="R496" s="27"/>
      <c r="S496" s="27"/>
      <c r="T496" s="27"/>
      <c r="U496" s="27"/>
      <c r="V496" s="27"/>
      <c r="W496" s="27"/>
      <c r="X496" s="27"/>
      <c r="Y496" s="27"/>
      <c r="AE496" s="27"/>
      <c r="BD496" s="97"/>
      <c r="BE496" s="108"/>
      <c r="BF496" s="108"/>
      <c r="BG496" s="97"/>
      <c r="BH496" s="97"/>
      <c r="BI496" s="97"/>
      <c r="BJ496" s="97"/>
      <c r="BK496" s="110"/>
      <c r="BL496" s="97"/>
      <c r="BM496" s="97"/>
      <c r="BN496" s="97"/>
      <c r="BO496" s="144"/>
      <c r="BP496" s="143">
        <f t="shared" si="84"/>
        <v>0</v>
      </c>
      <c r="BQ496" s="144"/>
      <c r="BR496" s="143">
        <f t="shared" si="85"/>
        <v>0</v>
      </c>
      <c r="BS496" s="132"/>
      <c r="BT496" s="146">
        <f t="shared" si="86"/>
        <v>0</v>
      </c>
      <c r="BU496" s="145"/>
      <c r="BV496" s="143">
        <f t="shared" si="87"/>
        <v>0</v>
      </c>
      <c r="BW496" s="145"/>
      <c r="BX496" s="146">
        <f t="shared" si="88"/>
        <v>0</v>
      </c>
      <c r="BY496" s="145"/>
      <c r="BZ496" s="146">
        <f t="shared" si="89"/>
        <v>0</v>
      </c>
      <c r="CA496" s="145"/>
      <c r="CB496" s="146">
        <f t="shared" si="90"/>
        <v>0</v>
      </c>
      <c r="CC496" s="145"/>
      <c r="CD496" s="143">
        <f t="shared" si="91"/>
        <v>0</v>
      </c>
      <c r="CE496" s="145"/>
      <c r="CF496" s="143">
        <f t="shared" si="92"/>
        <v>0</v>
      </c>
      <c r="CG496" s="132"/>
      <c r="CH496" s="143">
        <f t="shared" si="93"/>
        <v>0</v>
      </c>
      <c r="CI496" s="132">
        <f t="shared" si="94"/>
        <v>0</v>
      </c>
      <c r="CJ496" s="143">
        <f t="shared" si="94"/>
        <v>0</v>
      </c>
    </row>
    <row r="497" spans="1:88" x14ac:dyDescent="0.3">
      <c r="A497" s="27"/>
      <c r="B497" s="27"/>
      <c r="C497" s="27"/>
      <c r="D497" s="27"/>
      <c r="E497" s="27"/>
      <c r="F497" s="27"/>
      <c r="G497" s="27"/>
      <c r="H497" s="27"/>
      <c r="I497" s="27"/>
      <c r="J497" s="27"/>
      <c r="K497" s="27"/>
      <c r="L497" s="27"/>
      <c r="N497" s="27"/>
      <c r="O497" s="27"/>
      <c r="P497" s="27"/>
      <c r="Q497" s="117" t="s">
        <v>1070</v>
      </c>
      <c r="R497" s="27"/>
      <c r="S497" s="27"/>
      <c r="T497" s="27"/>
      <c r="U497" s="27"/>
      <c r="V497" s="27"/>
      <c r="W497" s="27"/>
      <c r="X497" s="27"/>
      <c r="Y497" s="27"/>
      <c r="AE497" s="27"/>
      <c r="BD497" s="97"/>
      <c r="BE497" s="108"/>
      <c r="BF497" s="108"/>
      <c r="BG497" s="97"/>
      <c r="BH497" s="97"/>
      <c r="BI497" s="97"/>
      <c r="BJ497" s="97"/>
      <c r="BK497" s="110"/>
      <c r="BL497" s="97"/>
      <c r="BM497" s="97"/>
      <c r="BN497" s="97"/>
      <c r="BO497" s="142"/>
      <c r="BP497" s="143">
        <f t="shared" si="84"/>
        <v>0</v>
      </c>
      <c r="BQ497" s="142"/>
      <c r="BR497" s="143">
        <f t="shared" si="85"/>
        <v>0</v>
      </c>
      <c r="BS497" s="132"/>
      <c r="BT497" s="146">
        <f t="shared" si="86"/>
        <v>0</v>
      </c>
      <c r="BU497" s="132"/>
      <c r="BV497" s="143">
        <f t="shared" si="87"/>
        <v>0</v>
      </c>
      <c r="BW497" s="132"/>
      <c r="BX497" s="146">
        <f t="shared" si="88"/>
        <v>0</v>
      </c>
      <c r="BY497" s="132"/>
      <c r="BZ497" s="146">
        <f t="shared" si="89"/>
        <v>0</v>
      </c>
      <c r="CA497" s="132"/>
      <c r="CB497" s="146">
        <f t="shared" si="90"/>
        <v>0</v>
      </c>
      <c r="CC497" s="132"/>
      <c r="CD497" s="143">
        <f t="shared" si="91"/>
        <v>0</v>
      </c>
      <c r="CE497" s="132"/>
      <c r="CF497" s="143">
        <f t="shared" si="92"/>
        <v>0</v>
      </c>
      <c r="CG497" s="132"/>
      <c r="CH497" s="143">
        <f t="shared" si="93"/>
        <v>0</v>
      </c>
      <c r="CI497" s="132">
        <f t="shared" si="94"/>
        <v>0</v>
      </c>
      <c r="CJ497" s="143">
        <f t="shared" si="94"/>
        <v>0</v>
      </c>
    </row>
    <row r="498" spans="1:88" x14ac:dyDescent="0.3">
      <c r="A498" s="27"/>
      <c r="B498" s="27"/>
      <c r="C498" s="27"/>
      <c r="D498" s="27"/>
      <c r="E498" s="27"/>
      <c r="F498" s="27"/>
      <c r="G498" s="27"/>
      <c r="H498" s="27"/>
      <c r="I498" s="27"/>
      <c r="J498" s="27"/>
      <c r="K498" s="27"/>
      <c r="L498" s="27"/>
      <c r="N498" s="27"/>
      <c r="O498" s="27"/>
      <c r="P498" s="27"/>
      <c r="Q498" s="117" t="s">
        <v>1071</v>
      </c>
      <c r="R498" s="27"/>
      <c r="S498" s="27"/>
      <c r="T498" s="27"/>
      <c r="U498" s="27"/>
      <c r="V498" s="27"/>
      <c r="W498" s="27"/>
      <c r="X498" s="27"/>
      <c r="Y498" s="27"/>
      <c r="AE498" s="27"/>
      <c r="BD498" s="97"/>
      <c r="BE498" s="108"/>
      <c r="BF498" s="108"/>
      <c r="BG498" s="97"/>
      <c r="BH498" s="97"/>
      <c r="BI498" s="97"/>
      <c r="BJ498" s="97"/>
      <c r="BK498" s="110"/>
      <c r="BL498" s="97"/>
      <c r="BM498" s="97"/>
      <c r="BN498" s="97"/>
      <c r="BO498" s="147"/>
      <c r="BP498" s="143">
        <f t="shared" si="84"/>
        <v>0</v>
      </c>
      <c r="BQ498" s="147"/>
      <c r="BR498" s="143">
        <f t="shared" si="85"/>
        <v>0</v>
      </c>
      <c r="BS498" s="132"/>
      <c r="BT498" s="146">
        <f t="shared" si="86"/>
        <v>0</v>
      </c>
      <c r="BU498" s="66"/>
      <c r="BV498" s="143">
        <f t="shared" si="87"/>
        <v>0</v>
      </c>
      <c r="BW498" s="66"/>
      <c r="BX498" s="146">
        <f t="shared" si="88"/>
        <v>0</v>
      </c>
      <c r="BY498" s="66"/>
      <c r="BZ498" s="146">
        <f t="shared" si="89"/>
        <v>0</v>
      </c>
      <c r="CA498" s="66"/>
      <c r="CB498" s="146">
        <f t="shared" si="90"/>
        <v>0</v>
      </c>
      <c r="CC498" s="66"/>
      <c r="CD498" s="143">
        <f t="shared" si="91"/>
        <v>0</v>
      </c>
      <c r="CE498" s="66"/>
      <c r="CF498" s="143">
        <f t="shared" si="92"/>
        <v>0</v>
      </c>
      <c r="CG498" s="132"/>
      <c r="CH498" s="143">
        <f t="shared" si="93"/>
        <v>0</v>
      </c>
      <c r="CI498" s="132">
        <f t="shared" si="94"/>
        <v>0</v>
      </c>
      <c r="CJ498" s="143">
        <f t="shared" si="94"/>
        <v>0</v>
      </c>
    </row>
    <row r="499" spans="1:88" x14ac:dyDescent="0.3">
      <c r="A499" s="27"/>
      <c r="B499" s="27"/>
      <c r="C499" s="27"/>
      <c r="D499" s="27"/>
      <c r="E499" s="27"/>
      <c r="F499" s="27"/>
      <c r="G499" s="27"/>
      <c r="H499" s="27"/>
      <c r="I499" s="27"/>
      <c r="J499" s="27"/>
      <c r="K499" s="27"/>
      <c r="L499" s="27"/>
      <c r="N499" s="27"/>
      <c r="O499" s="27"/>
      <c r="P499" s="27"/>
      <c r="Q499" s="117" t="s">
        <v>1072</v>
      </c>
      <c r="R499" s="27"/>
      <c r="S499" s="27"/>
      <c r="T499" s="27"/>
      <c r="U499" s="27"/>
      <c r="V499" s="27"/>
      <c r="W499" s="27"/>
      <c r="X499" s="27"/>
      <c r="Y499" s="27"/>
      <c r="AE499" s="27"/>
      <c r="BD499" s="97"/>
      <c r="BE499" s="108"/>
      <c r="BF499" s="108"/>
      <c r="BG499" s="97"/>
      <c r="BH499" s="97"/>
      <c r="BI499" s="97"/>
      <c r="BJ499" s="97"/>
      <c r="BK499" s="110"/>
      <c r="BL499" s="97"/>
      <c r="BM499" s="97"/>
      <c r="BN499" s="97"/>
      <c r="BO499" s="147"/>
      <c r="BP499" s="143">
        <f t="shared" si="84"/>
        <v>0</v>
      </c>
      <c r="BQ499" s="147"/>
      <c r="BR499" s="143">
        <f t="shared" si="85"/>
        <v>0</v>
      </c>
      <c r="BS499" s="132"/>
      <c r="BT499" s="146">
        <f t="shared" si="86"/>
        <v>0</v>
      </c>
      <c r="BU499" s="66"/>
      <c r="BV499" s="143">
        <f t="shared" si="87"/>
        <v>0</v>
      </c>
      <c r="BW499" s="66"/>
      <c r="BX499" s="146">
        <f t="shared" si="88"/>
        <v>0</v>
      </c>
      <c r="BY499" s="66"/>
      <c r="BZ499" s="146">
        <f t="shared" si="89"/>
        <v>0</v>
      </c>
      <c r="CA499" s="66"/>
      <c r="CB499" s="146">
        <f t="shared" si="90"/>
        <v>0</v>
      </c>
      <c r="CC499" s="66"/>
      <c r="CD499" s="143">
        <f t="shared" si="91"/>
        <v>0</v>
      </c>
      <c r="CE499" s="66"/>
      <c r="CF499" s="143">
        <f t="shared" si="92"/>
        <v>0</v>
      </c>
      <c r="CG499" s="132"/>
      <c r="CH499" s="143">
        <f t="shared" si="93"/>
        <v>0</v>
      </c>
      <c r="CI499" s="132">
        <f t="shared" si="94"/>
        <v>0</v>
      </c>
      <c r="CJ499" s="143">
        <f t="shared" si="94"/>
        <v>0</v>
      </c>
    </row>
    <row r="500" spans="1:88" x14ac:dyDescent="0.3">
      <c r="A500" s="27"/>
      <c r="B500" s="27"/>
      <c r="C500" s="27"/>
      <c r="D500" s="27"/>
      <c r="E500" s="27"/>
      <c r="F500" s="27"/>
      <c r="G500" s="27"/>
      <c r="H500" s="27"/>
      <c r="I500" s="27"/>
      <c r="J500" s="27"/>
      <c r="K500" s="27"/>
      <c r="L500" s="27"/>
      <c r="N500" s="27"/>
      <c r="O500" s="27"/>
      <c r="P500" s="27"/>
      <c r="Q500" s="117" t="s">
        <v>1073</v>
      </c>
      <c r="R500" s="27"/>
      <c r="S500" s="27"/>
      <c r="T500" s="27"/>
      <c r="U500" s="27"/>
      <c r="V500" s="27"/>
      <c r="W500" s="27"/>
      <c r="X500" s="27"/>
      <c r="Y500" s="27"/>
      <c r="AE500" s="27"/>
      <c r="BD500" s="97"/>
      <c r="BE500" s="108"/>
      <c r="BF500" s="108"/>
      <c r="BG500" s="97"/>
      <c r="BH500" s="97"/>
      <c r="BI500" s="97"/>
      <c r="BJ500" s="97"/>
      <c r="BK500" s="110"/>
      <c r="BL500" s="97"/>
      <c r="BM500" s="97"/>
      <c r="BN500" s="97"/>
      <c r="BO500" s="147"/>
      <c r="BP500" s="143">
        <f t="shared" si="84"/>
        <v>0</v>
      </c>
      <c r="BQ500" s="147"/>
      <c r="BR500" s="143">
        <f t="shared" si="85"/>
        <v>0</v>
      </c>
      <c r="BS500" s="132"/>
      <c r="BT500" s="146">
        <f t="shared" si="86"/>
        <v>0</v>
      </c>
      <c r="BU500" s="66"/>
      <c r="BV500" s="143">
        <f t="shared" si="87"/>
        <v>0</v>
      </c>
      <c r="BW500" s="66"/>
      <c r="BX500" s="146">
        <f t="shared" si="88"/>
        <v>0</v>
      </c>
      <c r="BY500" s="66"/>
      <c r="BZ500" s="146">
        <f t="shared" si="89"/>
        <v>0</v>
      </c>
      <c r="CA500" s="66"/>
      <c r="CB500" s="146">
        <f t="shared" si="90"/>
        <v>0</v>
      </c>
      <c r="CC500" s="66"/>
      <c r="CD500" s="143">
        <f t="shared" si="91"/>
        <v>0</v>
      </c>
      <c r="CE500" s="66"/>
      <c r="CF500" s="143">
        <f t="shared" si="92"/>
        <v>0</v>
      </c>
      <c r="CG500" s="132"/>
      <c r="CH500" s="143">
        <f t="shared" si="93"/>
        <v>0</v>
      </c>
      <c r="CI500" s="132">
        <f t="shared" si="94"/>
        <v>0</v>
      </c>
      <c r="CJ500" s="143">
        <f t="shared" si="94"/>
        <v>0</v>
      </c>
    </row>
    <row r="501" spans="1:88" x14ac:dyDescent="0.3">
      <c r="A501" s="27"/>
      <c r="B501" s="27"/>
      <c r="C501" s="27"/>
      <c r="D501" s="27"/>
      <c r="E501" s="27"/>
      <c r="F501" s="27"/>
      <c r="G501" s="27"/>
      <c r="H501" s="27"/>
      <c r="I501" s="27"/>
      <c r="J501" s="27"/>
      <c r="K501" s="27"/>
      <c r="L501" s="27"/>
      <c r="N501" s="27"/>
      <c r="O501" s="27"/>
      <c r="P501" s="27"/>
      <c r="Q501" s="117" t="s">
        <v>1074</v>
      </c>
      <c r="R501" s="27"/>
      <c r="S501" s="27"/>
      <c r="T501" s="27"/>
      <c r="U501" s="27"/>
      <c r="V501" s="27"/>
      <c r="W501" s="27"/>
      <c r="X501" s="27"/>
      <c r="Y501" s="27"/>
      <c r="AE501" s="27"/>
      <c r="BD501" s="97"/>
      <c r="BE501" s="108"/>
      <c r="BF501" s="108"/>
      <c r="BG501" s="97"/>
      <c r="BH501" s="97"/>
      <c r="BI501" s="97"/>
      <c r="BJ501" s="97"/>
      <c r="BK501" s="110"/>
      <c r="BL501" s="97"/>
      <c r="BM501" s="97"/>
      <c r="BN501" s="97"/>
      <c r="BO501" s="147"/>
      <c r="BP501" s="143">
        <f t="shared" si="84"/>
        <v>0</v>
      </c>
      <c r="BQ501" s="147"/>
      <c r="BR501" s="143">
        <f t="shared" si="85"/>
        <v>0</v>
      </c>
      <c r="BS501" s="132"/>
      <c r="BT501" s="146">
        <f t="shared" si="86"/>
        <v>0</v>
      </c>
      <c r="BU501" s="66"/>
      <c r="BV501" s="143">
        <f t="shared" si="87"/>
        <v>0</v>
      </c>
      <c r="BW501" s="66"/>
      <c r="BX501" s="146">
        <f t="shared" si="88"/>
        <v>0</v>
      </c>
      <c r="BY501" s="66"/>
      <c r="BZ501" s="146">
        <f t="shared" si="89"/>
        <v>0</v>
      </c>
      <c r="CA501" s="66"/>
      <c r="CB501" s="146">
        <f t="shared" si="90"/>
        <v>0</v>
      </c>
      <c r="CC501" s="66"/>
      <c r="CD501" s="143">
        <f t="shared" si="91"/>
        <v>0</v>
      </c>
      <c r="CE501" s="66"/>
      <c r="CF501" s="143">
        <f t="shared" si="92"/>
        <v>0</v>
      </c>
      <c r="CG501" s="132"/>
      <c r="CH501" s="143">
        <f t="shared" si="93"/>
        <v>0</v>
      </c>
      <c r="CI501" s="132">
        <f t="shared" si="94"/>
        <v>0</v>
      </c>
      <c r="CJ501" s="143">
        <f t="shared" si="94"/>
        <v>0</v>
      </c>
    </row>
    <row r="502" spans="1:88" x14ac:dyDescent="0.3">
      <c r="A502" s="27"/>
      <c r="B502" s="27"/>
      <c r="C502" s="27"/>
      <c r="D502" s="27"/>
      <c r="E502" s="27"/>
      <c r="F502" s="27"/>
      <c r="G502" s="27"/>
      <c r="H502" s="27"/>
      <c r="I502" s="27"/>
      <c r="J502" s="27"/>
      <c r="K502" s="27"/>
      <c r="L502" s="27"/>
      <c r="N502" s="27"/>
      <c r="O502" s="27"/>
      <c r="P502" s="27"/>
      <c r="Q502" s="117" t="s">
        <v>1075</v>
      </c>
      <c r="R502" s="27"/>
      <c r="S502" s="27"/>
      <c r="T502" s="27"/>
      <c r="U502" s="27"/>
      <c r="V502" s="27"/>
      <c r="W502" s="27"/>
      <c r="X502" s="27"/>
      <c r="Y502" s="27"/>
      <c r="AE502" s="27"/>
      <c r="BD502" s="97"/>
      <c r="BE502" s="108"/>
      <c r="BF502" s="108"/>
      <c r="BG502" s="97"/>
      <c r="BH502" s="97"/>
      <c r="BI502" s="97"/>
      <c r="BJ502" s="97"/>
      <c r="BK502" s="110"/>
      <c r="BL502" s="97"/>
      <c r="BM502" s="97"/>
      <c r="BN502" s="97"/>
      <c r="BO502" s="147"/>
      <c r="BP502" s="143">
        <f t="shared" si="84"/>
        <v>0</v>
      </c>
      <c r="BQ502" s="147"/>
      <c r="BR502" s="143">
        <f t="shared" si="85"/>
        <v>0</v>
      </c>
      <c r="BS502" s="132"/>
      <c r="BT502" s="146">
        <f t="shared" si="86"/>
        <v>0</v>
      </c>
      <c r="BU502" s="66"/>
      <c r="BV502" s="143">
        <f t="shared" si="87"/>
        <v>0</v>
      </c>
      <c r="BW502" s="66"/>
      <c r="BX502" s="146">
        <f t="shared" si="88"/>
        <v>0</v>
      </c>
      <c r="BY502" s="66"/>
      <c r="BZ502" s="146">
        <f t="shared" si="89"/>
        <v>0</v>
      </c>
      <c r="CA502" s="66"/>
      <c r="CB502" s="146">
        <f t="shared" si="90"/>
        <v>0</v>
      </c>
      <c r="CC502" s="66"/>
      <c r="CD502" s="143">
        <f t="shared" si="91"/>
        <v>0</v>
      </c>
      <c r="CE502" s="66"/>
      <c r="CF502" s="143">
        <f t="shared" si="92"/>
        <v>0</v>
      </c>
      <c r="CG502" s="132"/>
      <c r="CH502" s="143">
        <f t="shared" si="93"/>
        <v>0</v>
      </c>
      <c r="CI502" s="132">
        <f t="shared" si="94"/>
        <v>0</v>
      </c>
      <c r="CJ502" s="143">
        <f t="shared" si="94"/>
        <v>0</v>
      </c>
    </row>
    <row r="503" spans="1:88" x14ac:dyDescent="0.3">
      <c r="A503" s="27"/>
      <c r="B503" s="27"/>
      <c r="C503" s="27"/>
      <c r="D503" s="27"/>
      <c r="E503" s="27"/>
      <c r="F503" s="27"/>
      <c r="G503" s="27"/>
      <c r="H503" s="27"/>
      <c r="I503" s="27"/>
      <c r="J503" s="27"/>
      <c r="K503" s="27"/>
      <c r="L503" s="27"/>
      <c r="N503" s="27"/>
      <c r="O503" s="27"/>
      <c r="P503" s="27"/>
      <c r="Q503" s="117" t="s">
        <v>1076</v>
      </c>
      <c r="R503" s="27"/>
      <c r="S503" s="27"/>
      <c r="T503" s="27"/>
      <c r="U503" s="27"/>
      <c r="V503" s="27"/>
      <c r="W503" s="27"/>
      <c r="X503" s="27"/>
      <c r="Y503" s="27"/>
      <c r="AE503" s="27"/>
      <c r="BD503" s="97"/>
      <c r="BE503" s="108"/>
      <c r="BF503" s="108"/>
      <c r="BG503" s="97"/>
      <c r="BH503" s="97"/>
      <c r="BI503" s="97"/>
      <c r="BJ503" s="97"/>
      <c r="BK503" s="110"/>
      <c r="BL503" s="97"/>
      <c r="BM503" s="97"/>
      <c r="BN503" s="97"/>
      <c r="BO503" s="147"/>
      <c r="BP503" s="143">
        <f t="shared" si="84"/>
        <v>0</v>
      </c>
      <c r="BQ503" s="147"/>
      <c r="BR503" s="143">
        <f t="shared" si="85"/>
        <v>0</v>
      </c>
      <c r="BS503" s="132"/>
      <c r="BT503" s="146">
        <f t="shared" si="86"/>
        <v>0</v>
      </c>
      <c r="BU503" s="66"/>
      <c r="BV503" s="143">
        <f t="shared" si="87"/>
        <v>0</v>
      </c>
      <c r="BW503" s="66"/>
      <c r="BX503" s="146">
        <f t="shared" si="88"/>
        <v>0</v>
      </c>
      <c r="BY503" s="66"/>
      <c r="BZ503" s="146">
        <f t="shared" si="89"/>
        <v>0</v>
      </c>
      <c r="CA503" s="66"/>
      <c r="CB503" s="146">
        <f t="shared" si="90"/>
        <v>0</v>
      </c>
      <c r="CC503" s="66"/>
      <c r="CD503" s="143">
        <f t="shared" si="91"/>
        <v>0</v>
      </c>
      <c r="CE503" s="66"/>
      <c r="CF503" s="143">
        <f t="shared" si="92"/>
        <v>0</v>
      </c>
      <c r="CG503" s="132"/>
      <c r="CH503" s="143">
        <f t="shared" si="93"/>
        <v>0</v>
      </c>
      <c r="CI503" s="132">
        <f t="shared" si="94"/>
        <v>0</v>
      </c>
      <c r="CJ503" s="143">
        <f t="shared" si="94"/>
        <v>0</v>
      </c>
    </row>
    <row r="504" spans="1:88" x14ac:dyDescent="0.3">
      <c r="A504" s="27"/>
      <c r="B504" s="27"/>
      <c r="C504" s="27"/>
      <c r="D504" s="27"/>
      <c r="E504" s="27"/>
      <c r="F504" s="27"/>
      <c r="G504" s="27"/>
      <c r="H504" s="27"/>
      <c r="I504" s="27"/>
      <c r="J504" s="27"/>
      <c r="K504" s="27"/>
      <c r="L504" s="27"/>
      <c r="N504" s="27"/>
      <c r="O504" s="27"/>
      <c r="P504" s="27"/>
      <c r="Q504" s="117" t="s">
        <v>1077</v>
      </c>
      <c r="R504" s="27"/>
      <c r="S504" s="27"/>
      <c r="T504" s="27"/>
      <c r="U504" s="27"/>
      <c r="V504" s="27"/>
      <c r="W504" s="27"/>
      <c r="X504" s="27"/>
      <c r="Y504" s="27"/>
      <c r="AE504" s="27"/>
      <c r="BD504" s="97"/>
      <c r="BE504" s="108"/>
      <c r="BF504" s="108"/>
      <c r="BG504" s="97"/>
      <c r="BH504" s="97"/>
      <c r="BI504" s="97"/>
      <c r="BJ504" s="97"/>
      <c r="BK504" s="110"/>
      <c r="BL504" s="97"/>
      <c r="BM504" s="97"/>
      <c r="BN504" s="97"/>
      <c r="BO504" s="147"/>
      <c r="BP504" s="143">
        <f t="shared" si="84"/>
        <v>0</v>
      </c>
      <c r="BQ504" s="147"/>
      <c r="BR504" s="143">
        <f t="shared" si="85"/>
        <v>0</v>
      </c>
      <c r="BS504" s="132"/>
      <c r="BT504" s="146">
        <f t="shared" si="86"/>
        <v>0</v>
      </c>
      <c r="BU504" s="66"/>
      <c r="BV504" s="143">
        <f t="shared" si="87"/>
        <v>0</v>
      </c>
      <c r="BW504" s="66"/>
      <c r="BX504" s="146">
        <f t="shared" si="88"/>
        <v>0</v>
      </c>
      <c r="BY504" s="66"/>
      <c r="BZ504" s="146">
        <f t="shared" si="89"/>
        <v>0</v>
      </c>
      <c r="CA504" s="66"/>
      <c r="CB504" s="146">
        <f t="shared" si="90"/>
        <v>0</v>
      </c>
      <c r="CC504" s="66"/>
      <c r="CD504" s="143">
        <f t="shared" si="91"/>
        <v>0</v>
      </c>
      <c r="CE504" s="66"/>
      <c r="CF504" s="143">
        <f t="shared" si="92"/>
        <v>0</v>
      </c>
      <c r="CG504" s="132"/>
      <c r="CH504" s="143">
        <f t="shared" si="93"/>
        <v>0</v>
      </c>
      <c r="CI504" s="132">
        <f t="shared" si="94"/>
        <v>0</v>
      </c>
      <c r="CJ504" s="143">
        <f t="shared" si="94"/>
        <v>0</v>
      </c>
    </row>
    <row r="505" spans="1:88" x14ac:dyDescent="0.3">
      <c r="A505" s="27"/>
      <c r="B505" s="27"/>
      <c r="C505" s="27"/>
      <c r="D505" s="27"/>
      <c r="E505" s="27"/>
      <c r="F505" s="27"/>
      <c r="G505" s="27"/>
      <c r="H505" s="27"/>
      <c r="I505" s="27"/>
      <c r="J505" s="27"/>
      <c r="K505" s="27"/>
      <c r="L505" s="27"/>
      <c r="N505" s="27"/>
      <c r="O505" s="27"/>
      <c r="P505" s="27"/>
      <c r="Q505" s="117" t="s">
        <v>1078</v>
      </c>
      <c r="R505" s="27"/>
      <c r="S505" s="27"/>
      <c r="T505" s="27"/>
      <c r="U505" s="27"/>
      <c r="V505" s="27"/>
      <c r="W505" s="27"/>
      <c r="X505" s="27"/>
      <c r="Y505" s="27"/>
      <c r="AE505" s="27"/>
      <c r="BD505" s="97"/>
      <c r="BE505" s="108"/>
      <c r="BF505" s="108"/>
      <c r="BG505" s="97"/>
      <c r="BH505" s="97"/>
      <c r="BI505" s="97"/>
      <c r="BJ505" s="97"/>
      <c r="BK505" s="110"/>
      <c r="BL505" s="97"/>
      <c r="BM505" s="97"/>
      <c r="BN505" s="97"/>
      <c r="BO505" s="147"/>
      <c r="BP505" s="143">
        <f t="shared" si="84"/>
        <v>0</v>
      </c>
      <c r="BQ505" s="147"/>
      <c r="BR505" s="143">
        <f t="shared" si="85"/>
        <v>0</v>
      </c>
      <c r="BS505" s="132"/>
      <c r="BT505" s="146">
        <f t="shared" si="86"/>
        <v>0</v>
      </c>
      <c r="BU505" s="66"/>
      <c r="BV505" s="143">
        <f t="shared" si="87"/>
        <v>0</v>
      </c>
      <c r="BW505" s="66"/>
      <c r="BX505" s="146">
        <f t="shared" si="88"/>
        <v>0</v>
      </c>
      <c r="BY505" s="66"/>
      <c r="BZ505" s="146">
        <f t="shared" si="89"/>
        <v>0</v>
      </c>
      <c r="CA505" s="66"/>
      <c r="CB505" s="146">
        <f t="shared" si="90"/>
        <v>0</v>
      </c>
      <c r="CC505" s="66"/>
      <c r="CD505" s="143">
        <f t="shared" si="91"/>
        <v>0</v>
      </c>
      <c r="CE505" s="66"/>
      <c r="CF505" s="143">
        <f t="shared" si="92"/>
        <v>0</v>
      </c>
      <c r="CG505" s="132"/>
      <c r="CH505" s="143">
        <f t="shared" si="93"/>
        <v>0</v>
      </c>
      <c r="CI505" s="132">
        <f t="shared" si="94"/>
        <v>0</v>
      </c>
      <c r="CJ505" s="143">
        <f t="shared" si="94"/>
        <v>0</v>
      </c>
    </row>
    <row r="506" spans="1:88" ht="27.6" x14ac:dyDescent="0.3">
      <c r="A506" s="27"/>
      <c r="B506" s="27"/>
      <c r="C506" s="27"/>
      <c r="D506" s="27"/>
      <c r="E506" s="27"/>
      <c r="F506" s="27"/>
      <c r="G506" s="27"/>
      <c r="H506" s="27"/>
      <c r="I506" s="27"/>
      <c r="J506" s="27"/>
      <c r="K506" s="27"/>
      <c r="L506" s="27"/>
      <c r="N506" s="27"/>
      <c r="O506" s="27"/>
      <c r="P506" s="27"/>
      <c r="Q506" s="117" t="s">
        <v>1079</v>
      </c>
      <c r="R506" s="27"/>
      <c r="S506" s="27"/>
      <c r="T506" s="27"/>
      <c r="U506" s="27"/>
      <c r="V506" s="27"/>
      <c r="W506" s="27"/>
      <c r="X506" s="27"/>
      <c r="Y506" s="27"/>
      <c r="AE506" s="27"/>
      <c r="BD506" s="97"/>
      <c r="BE506" s="108"/>
      <c r="BF506" s="108"/>
      <c r="BG506" s="97"/>
      <c r="BH506" s="97"/>
      <c r="BI506" s="97"/>
      <c r="BJ506" s="97"/>
      <c r="BK506" s="110"/>
      <c r="BL506" s="97"/>
      <c r="BM506" s="97"/>
      <c r="BN506" s="97"/>
      <c r="BO506" s="147"/>
      <c r="BP506" s="143">
        <f t="shared" si="84"/>
        <v>0</v>
      </c>
      <c r="BQ506" s="147"/>
      <c r="BR506" s="143">
        <f t="shared" si="85"/>
        <v>0</v>
      </c>
      <c r="BS506" s="132"/>
      <c r="BT506" s="146">
        <f t="shared" si="86"/>
        <v>0</v>
      </c>
      <c r="BU506" s="66"/>
      <c r="BV506" s="143">
        <f t="shared" si="87"/>
        <v>0</v>
      </c>
      <c r="BW506" s="66"/>
      <c r="BX506" s="146">
        <f t="shared" si="88"/>
        <v>0</v>
      </c>
      <c r="BY506" s="66"/>
      <c r="BZ506" s="146">
        <f t="shared" si="89"/>
        <v>0</v>
      </c>
      <c r="CA506" s="66"/>
      <c r="CB506" s="146">
        <f t="shared" si="90"/>
        <v>0</v>
      </c>
      <c r="CC506" s="66"/>
      <c r="CD506" s="143">
        <f t="shared" si="91"/>
        <v>0</v>
      </c>
      <c r="CE506" s="66"/>
      <c r="CF506" s="143">
        <f t="shared" si="92"/>
        <v>0</v>
      </c>
      <c r="CG506" s="132"/>
      <c r="CH506" s="143">
        <f t="shared" si="93"/>
        <v>0</v>
      </c>
      <c r="CI506" s="132">
        <f t="shared" si="94"/>
        <v>0</v>
      </c>
      <c r="CJ506" s="143">
        <f t="shared" si="94"/>
        <v>0</v>
      </c>
    </row>
    <row r="507" spans="1:88" x14ac:dyDescent="0.3">
      <c r="A507" s="27"/>
      <c r="B507" s="27"/>
      <c r="C507" s="27"/>
      <c r="D507" s="27"/>
      <c r="E507" s="27"/>
      <c r="F507" s="27"/>
      <c r="G507" s="27"/>
      <c r="H507" s="27"/>
      <c r="I507" s="27"/>
      <c r="J507" s="27"/>
      <c r="K507" s="27"/>
      <c r="L507" s="27"/>
      <c r="N507" s="27"/>
      <c r="O507" s="27"/>
      <c r="P507" s="27"/>
      <c r="Q507" s="117" t="s">
        <v>460</v>
      </c>
      <c r="R507" s="27"/>
      <c r="S507" s="27"/>
      <c r="T507" s="27"/>
      <c r="U507" s="27"/>
      <c r="V507" s="27"/>
      <c r="W507" s="27"/>
      <c r="X507" s="27"/>
      <c r="Y507" s="27"/>
      <c r="AE507" s="27"/>
      <c r="BD507" s="97"/>
      <c r="BE507" s="108"/>
      <c r="BF507" s="108"/>
      <c r="BG507" s="97"/>
      <c r="BH507" s="97"/>
      <c r="BI507" s="97"/>
      <c r="BJ507" s="97"/>
      <c r="BK507" s="110"/>
      <c r="BL507" s="97"/>
      <c r="BM507" s="97"/>
      <c r="BN507" s="97"/>
      <c r="BO507" s="147"/>
      <c r="BP507" s="143">
        <f t="shared" si="84"/>
        <v>0</v>
      </c>
      <c r="BQ507" s="147"/>
      <c r="BR507" s="143">
        <f t="shared" si="85"/>
        <v>0</v>
      </c>
      <c r="BS507" s="132"/>
      <c r="BT507" s="146">
        <f t="shared" si="86"/>
        <v>0</v>
      </c>
      <c r="BU507" s="66"/>
      <c r="BV507" s="143">
        <f t="shared" si="87"/>
        <v>0</v>
      </c>
      <c r="BW507" s="66"/>
      <c r="BX507" s="146">
        <f t="shared" si="88"/>
        <v>0</v>
      </c>
      <c r="BY507" s="66"/>
      <c r="BZ507" s="146">
        <f t="shared" si="89"/>
        <v>0</v>
      </c>
      <c r="CA507" s="66"/>
      <c r="CB507" s="146">
        <f t="shared" si="90"/>
        <v>0</v>
      </c>
      <c r="CC507" s="66"/>
      <c r="CD507" s="143">
        <f t="shared" si="91"/>
        <v>0</v>
      </c>
      <c r="CE507" s="66"/>
      <c r="CF507" s="143">
        <f t="shared" si="92"/>
        <v>0</v>
      </c>
      <c r="CG507" s="132"/>
      <c r="CH507" s="143">
        <f t="shared" si="93"/>
        <v>0</v>
      </c>
      <c r="CI507" s="132">
        <f t="shared" si="94"/>
        <v>0</v>
      </c>
      <c r="CJ507" s="143">
        <f t="shared" si="94"/>
        <v>0</v>
      </c>
    </row>
    <row r="508" spans="1:88" x14ac:dyDescent="0.3">
      <c r="A508" s="27"/>
      <c r="B508" s="27"/>
      <c r="C508" s="27"/>
      <c r="D508" s="27"/>
      <c r="E508" s="27"/>
      <c r="F508" s="27"/>
      <c r="G508" s="27"/>
      <c r="H508" s="27"/>
      <c r="I508" s="27"/>
      <c r="J508" s="27"/>
      <c r="K508" s="27"/>
      <c r="L508" s="27"/>
      <c r="N508" s="27"/>
      <c r="O508" s="27"/>
      <c r="P508" s="27"/>
      <c r="Q508" s="117" t="s">
        <v>1080</v>
      </c>
      <c r="R508" s="27"/>
      <c r="S508" s="27"/>
      <c r="T508" s="27"/>
      <c r="U508" s="27"/>
      <c r="V508" s="27"/>
      <c r="W508" s="27"/>
      <c r="X508" s="27"/>
      <c r="Y508" s="27"/>
      <c r="AE508" s="27"/>
      <c r="BD508" s="97"/>
      <c r="BE508" s="108"/>
      <c r="BF508" s="108"/>
      <c r="BG508" s="97"/>
      <c r="BH508" s="97"/>
      <c r="BI508" s="97"/>
      <c r="BJ508" s="97"/>
      <c r="BK508" s="110"/>
      <c r="BL508" s="97"/>
      <c r="BM508" s="97"/>
      <c r="BN508" s="97"/>
      <c r="BO508" s="147"/>
      <c r="BP508" s="143">
        <f t="shared" si="84"/>
        <v>0</v>
      </c>
      <c r="BQ508" s="147"/>
      <c r="BR508" s="143">
        <f t="shared" si="85"/>
        <v>0</v>
      </c>
      <c r="BS508" s="132"/>
      <c r="BT508" s="146">
        <f t="shared" si="86"/>
        <v>0</v>
      </c>
      <c r="BU508" s="66"/>
      <c r="BV508" s="143">
        <f t="shared" si="87"/>
        <v>0</v>
      </c>
      <c r="BW508" s="66"/>
      <c r="BX508" s="146">
        <f t="shared" si="88"/>
        <v>0</v>
      </c>
      <c r="BY508" s="66"/>
      <c r="BZ508" s="146">
        <f t="shared" si="89"/>
        <v>0</v>
      </c>
      <c r="CA508" s="66"/>
      <c r="CB508" s="146">
        <f t="shared" si="90"/>
        <v>0</v>
      </c>
      <c r="CC508" s="66"/>
      <c r="CD508" s="143">
        <f t="shared" si="91"/>
        <v>0</v>
      </c>
      <c r="CE508" s="66"/>
      <c r="CF508" s="143">
        <f t="shared" si="92"/>
        <v>0</v>
      </c>
      <c r="CG508" s="132"/>
      <c r="CH508" s="143">
        <f t="shared" si="93"/>
        <v>0</v>
      </c>
      <c r="CI508" s="132">
        <f t="shared" si="94"/>
        <v>0</v>
      </c>
      <c r="CJ508" s="143">
        <f t="shared" si="94"/>
        <v>0</v>
      </c>
    </row>
    <row r="509" spans="1:88" x14ac:dyDescent="0.3">
      <c r="A509" s="27"/>
      <c r="B509" s="27"/>
      <c r="C509" s="27"/>
      <c r="D509" s="27"/>
      <c r="E509" s="27"/>
      <c r="F509" s="27"/>
      <c r="G509" s="27"/>
      <c r="H509" s="27"/>
      <c r="I509" s="27"/>
      <c r="J509" s="27"/>
      <c r="K509" s="27"/>
      <c r="L509" s="27"/>
      <c r="N509" s="27"/>
      <c r="O509" s="27"/>
      <c r="P509" s="27"/>
      <c r="Q509" s="117" t="s">
        <v>1081</v>
      </c>
      <c r="R509" s="27"/>
      <c r="S509" s="27"/>
      <c r="T509" s="27"/>
      <c r="U509" s="27"/>
      <c r="V509" s="27"/>
      <c r="W509" s="27"/>
      <c r="X509" s="27"/>
      <c r="Y509" s="27"/>
      <c r="AE509" s="27"/>
      <c r="BD509" s="97"/>
      <c r="BE509" s="108"/>
      <c r="BF509" s="108"/>
      <c r="BG509" s="97"/>
      <c r="BH509" s="97"/>
      <c r="BI509" s="97"/>
      <c r="BJ509" s="97"/>
      <c r="BK509" s="110"/>
      <c r="BL509" s="97"/>
      <c r="BM509" s="97"/>
      <c r="BN509" s="97"/>
      <c r="BO509" s="147"/>
      <c r="BP509" s="143">
        <f t="shared" si="84"/>
        <v>0</v>
      </c>
      <c r="BQ509" s="147"/>
      <c r="BR509" s="143">
        <f t="shared" si="85"/>
        <v>0</v>
      </c>
      <c r="BS509" s="132"/>
      <c r="BT509" s="146">
        <f t="shared" si="86"/>
        <v>0</v>
      </c>
      <c r="BU509" s="66"/>
      <c r="BV509" s="143">
        <f t="shared" si="87"/>
        <v>0</v>
      </c>
      <c r="BW509" s="66"/>
      <c r="BX509" s="146">
        <f t="shared" si="88"/>
        <v>0</v>
      </c>
      <c r="BY509" s="66"/>
      <c r="BZ509" s="146">
        <f t="shared" si="89"/>
        <v>0</v>
      </c>
      <c r="CA509" s="66"/>
      <c r="CB509" s="146">
        <f t="shared" si="90"/>
        <v>0</v>
      </c>
      <c r="CC509" s="66"/>
      <c r="CD509" s="143">
        <f t="shared" si="91"/>
        <v>0</v>
      </c>
      <c r="CE509" s="66"/>
      <c r="CF509" s="143">
        <f t="shared" si="92"/>
        <v>0</v>
      </c>
      <c r="CG509" s="132"/>
      <c r="CH509" s="143">
        <f t="shared" si="93"/>
        <v>0</v>
      </c>
      <c r="CI509" s="132">
        <f t="shared" si="94"/>
        <v>0</v>
      </c>
      <c r="CJ509" s="143">
        <f t="shared" si="94"/>
        <v>0</v>
      </c>
    </row>
    <row r="510" spans="1:88" x14ac:dyDescent="0.3">
      <c r="A510" s="27"/>
      <c r="B510" s="27"/>
      <c r="C510" s="27"/>
      <c r="D510" s="27"/>
      <c r="E510" s="27"/>
      <c r="F510" s="27"/>
      <c r="G510" s="27"/>
      <c r="H510" s="27"/>
      <c r="I510" s="27"/>
      <c r="J510" s="27"/>
      <c r="K510" s="27"/>
      <c r="L510" s="27"/>
      <c r="N510" s="27"/>
      <c r="O510" s="27"/>
      <c r="P510" s="27"/>
      <c r="Q510" s="117" t="s">
        <v>1082</v>
      </c>
      <c r="R510" s="27"/>
      <c r="S510" s="27"/>
      <c r="T510" s="27"/>
      <c r="U510" s="27"/>
      <c r="V510" s="27"/>
      <c r="W510" s="27"/>
      <c r="X510" s="27"/>
      <c r="Y510" s="27"/>
      <c r="AE510" s="27"/>
      <c r="BD510" s="97"/>
      <c r="BE510" s="108"/>
      <c r="BF510" s="108"/>
      <c r="BG510" s="97"/>
      <c r="BH510" s="97"/>
      <c r="BI510" s="97"/>
      <c r="BJ510" s="97"/>
      <c r="BK510" s="110"/>
      <c r="BL510" s="97"/>
      <c r="BM510" s="97"/>
      <c r="BN510" s="97"/>
      <c r="BO510" s="147"/>
      <c r="BP510" s="143">
        <f t="shared" si="84"/>
        <v>0</v>
      </c>
      <c r="BQ510" s="147"/>
      <c r="BR510" s="143">
        <f t="shared" si="85"/>
        <v>0</v>
      </c>
      <c r="BS510" s="132"/>
      <c r="BT510" s="146">
        <f t="shared" si="86"/>
        <v>0</v>
      </c>
      <c r="BU510" s="66"/>
      <c r="BV510" s="143">
        <f t="shared" si="87"/>
        <v>0</v>
      </c>
      <c r="BW510" s="66"/>
      <c r="BX510" s="146">
        <f t="shared" si="88"/>
        <v>0</v>
      </c>
      <c r="BY510" s="66"/>
      <c r="BZ510" s="146">
        <f t="shared" si="89"/>
        <v>0</v>
      </c>
      <c r="CA510" s="66"/>
      <c r="CB510" s="146">
        <f t="shared" si="90"/>
        <v>0</v>
      </c>
      <c r="CC510" s="66"/>
      <c r="CD510" s="143">
        <f t="shared" si="91"/>
        <v>0</v>
      </c>
      <c r="CE510" s="66"/>
      <c r="CF510" s="143">
        <f t="shared" si="92"/>
        <v>0</v>
      </c>
      <c r="CG510" s="132"/>
      <c r="CH510" s="143">
        <f t="shared" si="93"/>
        <v>0</v>
      </c>
      <c r="CI510" s="132">
        <f t="shared" si="94"/>
        <v>0</v>
      </c>
      <c r="CJ510" s="143">
        <f t="shared" si="94"/>
        <v>0</v>
      </c>
    </row>
    <row r="511" spans="1:88" x14ac:dyDescent="0.3">
      <c r="A511" s="27"/>
      <c r="B511" s="27"/>
      <c r="C511" s="27"/>
      <c r="D511" s="27"/>
      <c r="E511" s="27"/>
      <c r="F511" s="27"/>
      <c r="G511" s="27"/>
      <c r="H511" s="27"/>
      <c r="I511" s="27"/>
      <c r="J511" s="27"/>
      <c r="K511" s="27"/>
      <c r="L511" s="27"/>
      <c r="N511" s="27"/>
      <c r="O511" s="27"/>
      <c r="P511" s="27"/>
      <c r="Q511" s="117" t="s">
        <v>1083</v>
      </c>
      <c r="R511" s="27"/>
      <c r="S511" s="27"/>
      <c r="T511" s="27"/>
      <c r="U511" s="27"/>
      <c r="V511" s="27"/>
      <c r="W511" s="27"/>
      <c r="X511" s="27"/>
      <c r="Y511" s="27"/>
      <c r="AE511" s="27"/>
      <c r="BD511" s="97"/>
      <c r="BE511" s="108"/>
      <c r="BF511" s="108"/>
      <c r="BG511" s="97"/>
      <c r="BH511" s="97"/>
      <c r="BI511" s="97"/>
      <c r="BJ511" s="97"/>
      <c r="BK511" s="110"/>
      <c r="BL511" s="97"/>
      <c r="BM511" s="97"/>
      <c r="BN511" s="97"/>
      <c r="BO511" s="142"/>
      <c r="BP511" s="143">
        <f t="shared" si="84"/>
        <v>0</v>
      </c>
      <c r="BQ511" s="142"/>
      <c r="BR511" s="143">
        <f t="shared" si="85"/>
        <v>0</v>
      </c>
      <c r="BS511" s="132"/>
      <c r="BT511" s="146">
        <f t="shared" si="86"/>
        <v>0</v>
      </c>
      <c r="BU511" s="132"/>
      <c r="BV511" s="143">
        <f t="shared" si="87"/>
        <v>0</v>
      </c>
      <c r="BW511" s="132"/>
      <c r="BX511" s="146">
        <f t="shared" si="88"/>
        <v>0</v>
      </c>
      <c r="BY511" s="132"/>
      <c r="BZ511" s="146">
        <f t="shared" si="89"/>
        <v>0</v>
      </c>
      <c r="CA511" s="132"/>
      <c r="CB511" s="146">
        <f t="shared" si="90"/>
        <v>0</v>
      </c>
      <c r="CC511" s="132"/>
      <c r="CD511" s="143">
        <f t="shared" si="91"/>
        <v>0</v>
      </c>
      <c r="CE511" s="132"/>
      <c r="CF511" s="143">
        <f t="shared" si="92"/>
        <v>0</v>
      </c>
      <c r="CG511" s="132"/>
      <c r="CH511" s="143">
        <f t="shared" si="93"/>
        <v>0</v>
      </c>
      <c r="CI511" s="132">
        <f t="shared" si="94"/>
        <v>0</v>
      </c>
      <c r="CJ511" s="143">
        <f t="shared" si="94"/>
        <v>0</v>
      </c>
    </row>
    <row r="512" spans="1:88" x14ac:dyDescent="0.3">
      <c r="A512" s="27"/>
      <c r="B512" s="27"/>
      <c r="C512" s="27"/>
      <c r="D512" s="27"/>
      <c r="E512" s="27"/>
      <c r="F512" s="27"/>
      <c r="G512" s="27"/>
      <c r="H512" s="27"/>
      <c r="I512" s="27"/>
      <c r="J512" s="27"/>
      <c r="K512" s="27"/>
      <c r="L512" s="27"/>
      <c r="N512" s="27"/>
      <c r="O512" s="27"/>
      <c r="P512" s="27"/>
      <c r="Q512" s="117" t="s">
        <v>1084</v>
      </c>
      <c r="R512" s="27"/>
      <c r="S512" s="27"/>
      <c r="T512" s="27"/>
      <c r="U512" s="27"/>
      <c r="V512" s="27"/>
      <c r="W512" s="27"/>
      <c r="X512" s="27"/>
      <c r="Y512" s="27"/>
      <c r="AE512" s="27"/>
      <c r="BD512" s="97"/>
      <c r="BE512" s="108"/>
      <c r="BF512" s="108"/>
      <c r="BG512" s="97"/>
      <c r="BH512" s="97"/>
      <c r="BI512" s="97"/>
      <c r="BJ512" s="97"/>
      <c r="BK512" s="110"/>
      <c r="BL512" s="97"/>
      <c r="BM512" s="97"/>
      <c r="BN512" s="97"/>
      <c r="BO512" s="147"/>
      <c r="BP512" s="143">
        <f t="shared" si="84"/>
        <v>0</v>
      </c>
      <c r="BQ512" s="147"/>
      <c r="BR512" s="143">
        <f t="shared" si="85"/>
        <v>0</v>
      </c>
      <c r="BS512" s="132"/>
      <c r="BT512" s="146">
        <f t="shared" si="86"/>
        <v>0</v>
      </c>
      <c r="BU512" s="66"/>
      <c r="BV512" s="143">
        <f t="shared" si="87"/>
        <v>0</v>
      </c>
      <c r="BW512" s="66"/>
      <c r="BX512" s="146">
        <f t="shared" si="88"/>
        <v>0</v>
      </c>
      <c r="BY512" s="66"/>
      <c r="BZ512" s="146">
        <f t="shared" si="89"/>
        <v>0</v>
      </c>
      <c r="CA512" s="66"/>
      <c r="CB512" s="146">
        <f t="shared" si="90"/>
        <v>0</v>
      </c>
      <c r="CC512" s="66"/>
      <c r="CD512" s="143">
        <f t="shared" si="91"/>
        <v>0</v>
      </c>
      <c r="CE512" s="66"/>
      <c r="CF512" s="143">
        <f t="shared" si="92"/>
        <v>0</v>
      </c>
      <c r="CG512" s="132"/>
      <c r="CH512" s="143">
        <f t="shared" si="93"/>
        <v>0</v>
      </c>
      <c r="CI512" s="132">
        <f t="shared" si="94"/>
        <v>0</v>
      </c>
      <c r="CJ512" s="143">
        <f t="shared" si="94"/>
        <v>0</v>
      </c>
    </row>
    <row r="513" spans="1:88" x14ac:dyDescent="0.3">
      <c r="A513" s="27"/>
      <c r="B513" s="27"/>
      <c r="C513" s="27"/>
      <c r="D513" s="27"/>
      <c r="E513" s="27"/>
      <c r="F513" s="27"/>
      <c r="G513" s="27"/>
      <c r="H513" s="27"/>
      <c r="I513" s="27"/>
      <c r="J513" s="27"/>
      <c r="K513" s="27"/>
      <c r="L513" s="27"/>
      <c r="N513" s="27"/>
      <c r="O513" s="27"/>
      <c r="P513" s="27"/>
      <c r="Q513" s="117" t="s">
        <v>1085</v>
      </c>
      <c r="R513" s="27"/>
      <c r="S513" s="27"/>
      <c r="T513" s="27"/>
      <c r="U513" s="27"/>
      <c r="V513" s="27"/>
      <c r="W513" s="27"/>
      <c r="X513" s="27"/>
      <c r="Y513" s="27"/>
      <c r="AE513" s="27"/>
      <c r="BD513" s="97"/>
      <c r="BE513" s="108"/>
      <c r="BF513" s="108"/>
      <c r="BG513" s="97"/>
      <c r="BH513" s="97"/>
      <c r="BI513" s="97"/>
      <c r="BJ513" s="97"/>
      <c r="BK513" s="110"/>
      <c r="BL513" s="97"/>
      <c r="BM513" s="97"/>
      <c r="BN513" s="97"/>
      <c r="BO513" s="147"/>
      <c r="BP513" s="143">
        <f t="shared" si="84"/>
        <v>0</v>
      </c>
      <c r="BQ513" s="147"/>
      <c r="BR513" s="143">
        <f t="shared" si="85"/>
        <v>0</v>
      </c>
      <c r="BS513" s="132"/>
      <c r="BT513" s="146">
        <f t="shared" si="86"/>
        <v>0</v>
      </c>
      <c r="BU513" s="66"/>
      <c r="BV513" s="143">
        <f t="shared" si="87"/>
        <v>0</v>
      </c>
      <c r="BW513" s="66"/>
      <c r="BX513" s="146">
        <f t="shared" si="88"/>
        <v>0</v>
      </c>
      <c r="BY513" s="66"/>
      <c r="BZ513" s="146">
        <f t="shared" si="89"/>
        <v>0</v>
      </c>
      <c r="CA513" s="66"/>
      <c r="CB513" s="146">
        <f t="shared" si="90"/>
        <v>0</v>
      </c>
      <c r="CC513" s="66"/>
      <c r="CD513" s="143">
        <f t="shared" si="91"/>
        <v>0</v>
      </c>
      <c r="CE513" s="66"/>
      <c r="CF513" s="143">
        <f t="shared" si="92"/>
        <v>0</v>
      </c>
      <c r="CG513" s="132"/>
      <c r="CH513" s="143">
        <f t="shared" si="93"/>
        <v>0</v>
      </c>
      <c r="CI513" s="132">
        <f t="shared" si="94"/>
        <v>0</v>
      </c>
      <c r="CJ513" s="143">
        <f t="shared" si="94"/>
        <v>0</v>
      </c>
    </row>
    <row r="514" spans="1:88" x14ac:dyDescent="0.3">
      <c r="A514" s="27"/>
      <c r="B514" s="27"/>
      <c r="C514" s="27"/>
      <c r="D514" s="27"/>
      <c r="E514" s="27"/>
      <c r="F514" s="27"/>
      <c r="G514" s="27"/>
      <c r="H514" s="27"/>
      <c r="I514" s="27"/>
      <c r="J514" s="27"/>
      <c r="K514" s="27"/>
      <c r="L514" s="27"/>
      <c r="N514" s="27"/>
      <c r="O514" s="27"/>
      <c r="P514" s="27"/>
      <c r="Q514" s="117" t="s">
        <v>1086</v>
      </c>
      <c r="R514" s="27"/>
      <c r="S514" s="27"/>
      <c r="T514" s="27"/>
      <c r="U514" s="27"/>
      <c r="V514" s="27"/>
      <c r="W514" s="27"/>
      <c r="X514" s="27"/>
      <c r="Y514" s="27"/>
      <c r="AE514" s="27"/>
      <c r="BD514" s="97"/>
      <c r="BE514" s="108"/>
      <c r="BF514" s="108"/>
      <c r="BG514" s="97"/>
      <c r="BH514" s="97"/>
      <c r="BI514" s="97"/>
      <c r="BJ514" s="97"/>
      <c r="BK514" s="110"/>
      <c r="BL514" s="97"/>
      <c r="BM514" s="97"/>
      <c r="BN514" s="97"/>
      <c r="BO514" s="147"/>
      <c r="BP514" s="143">
        <f t="shared" si="84"/>
        <v>0</v>
      </c>
      <c r="BQ514" s="147"/>
      <c r="BR514" s="143">
        <f t="shared" si="85"/>
        <v>0</v>
      </c>
      <c r="BS514" s="132"/>
      <c r="BT514" s="146">
        <f t="shared" si="86"/>
        <v>0</v>
      </c>
      <c r="BU514" s="66"/>
      <c r="BV514" s="143">
        <f t="shared" si="87"/>
        <v>0</v>
      </c>
      <c r="BW514" s="66"/>
      <c r="BX514" s="146">
        <f t="shared" si="88"/>
        <v>0</v>
      </c>
      <c r="BY514" s="66"/>
      <c r="BZ514" s="146">
        <f t="shared" si="89"/>
        <v>0</v>
      </c>
      <c r="CA514" s="66"/>
      <c r="CB514" s="146">
        <f t="shared" si="90"/>
        <v>0</v>
      </c>
      <c r="CC514" s="66"/>
      <c r="CD514" s="143">
        <f t="shared" si="91"/>
        <v>0</v>
      </c>
      <c r="CE514" s="66"/>
      <c r="CF514" s="143">
        <f t="shared" si="92"/>
        <v>0</v>
      </c>
      <c r="CG514" s="132"/>
      <c r="CH514" s="143">
        <f t="shared" si="93"/>
        <v>0</v>
      </c>
      <c r="CI514" s="132">
        <f t="shared" si="94"/>
        <v>0</v>
      </c>
      <c r="CJ514" s="143">
        <f t="shared" si="94"/>
        <v>0</v>
      </c>
    </row>
    <row r="515" spans="1:88" x14ac:dyDescent="0.3">
      <c r="A515" s="27"/>
      <c r="B515" s="27"/>
      <c r="C515" s="27"/>
      <c r="D515" s="27"/>
      <c r="E515" s="27"/>
      <c r="F515" s="27"/>
      <c r="G515" s="27"/>
      <c r="H515" s="27"/>
      <c r="I515" s="27"/>
      <c r="J515" s="27"/>
      <c r="K515" s="27"/>
      <c r="L515" s="27"/>
      <c r="N515" s="27"/>
      <c r="O515" s="27"/>
      <c r="P515" s="27"/>
      <c r="Q515" s="117" t="s">
        <v>1087</v>
      </c>
      <c r="R515" s="27"/>
      <c r="S515" s="27"/>
      <c r="T515" s="27"/>
      <c r="U515" s="27"/>
      <c r="V515" s="27"/>
      <c r="W515" s="27"/>
      <c r="X515" s="27"/>
      <c r="Y515" s="27"/>
      <c r="AE515" s="27"/>
      <c r="BD515" s="97"/>
      <c r="BE515" s="108"/>
      <c r="BF515" s="108"/>
      <c r="BG515" s="97"/>
      <c r="BH515" s="97"/>
      <c r="BI515" s="97"/>
      <c r="BJ515" s="97"/>
      <c r="BK515" s="110"/>
      <c r="BL515" s="97"/>
      <c r="BM515" s="97"/>
      <c r="BN515" s="97"/>
      <c r="BO515" s="147"/>
      <c r="BP515" s="143">
        <f t="shared" si="84"/>
        <v>0</v>
      </c>
      <c r="BQ515" s="147"/>
      <c r="BR515" s="143">
        <f t="shared" si="85"/>
        <v>0</v>
      </c>
      <c r="BS515" s="132"/>
      <c r="BT515" s="146">
        <f t="shared" si="86"/>
        <v>0</v>
      </c>
      <c r="BU515" s="66"/>
      <c r="BV515" s="143">
        <f t="shared" si="87"/>
        <v>0</v>
      </c>
      <c r="BW515" s="66"/>
      <c r="BX515" s="146">
        <f t="shared" si="88"/>
        <v>0</v>
      </c>
      <c r="BY515" s="66"/>
      <c r="BZ515" s="146">
        <f t="shared" si="89"/>
        <v>0</v>
      </c>
      <c r="CA515" s="66"/>
      <c r="CB515" s="146">
        <f t="shared" si="90"/>
        <v>0</v>
      </c>
      <c r="CC515" s="66"/>
      <c r="CD515" s="143">
        <f t="shared" si="91"/>
        <v>0</v>
      </c>
      <c r="CE515" s="66"/>
      <c r="CF515" s="143">
        <f t="shared" si="92"/>
        <v>0</v>
      </c>
      <c r="CG515" s="132"/>
      <c r="CH515" s="143">
        <f t="shared" si="93"/>
        <v>0</v>
      </c>
      <c r="CI515" s="132">
        <f t="shared" si="94"/>
        <v>0</v>
      </c>
      <c r="CJ515" s="143">
        <f t="shared" si="94"/>
        <v>0</v>
      </c>
    </row>
    <row r="516" spans="1:88" x14ac:dyDescent="0.3">
      <c r="A516" s="27"/>
      <c r="B516" s="27"/>
      <c r="C516" s="27"/>
      <c r="D516" s="27"/>
      <c r="E516" s="27"/>
      <c r="F516" s="27"/>
      <c r="G516" s="27"/>
      <c r="H516" s="27"/>
      <c r="I516" s="27"/>
      <c r="J516" s="27"/>
      <c r="K516" s="27"/>
      <c r="L516" s="27"/>
      <c r="N516" s="27"/>
      <c r="O516" s="27"/>
      <c r="P516" s="27"/>
      <c r="Q516" s="117" t="s">
        <v>1088</v>
      </c>
      <c r="R516" s="27"/>
      <c r="S516" s="27"/>
      <c r="T516" s="27"/>
      <c r="U516" s="27"/>
      <c r="V516" s="27"/>
      <c r="W516" s="27"/>
      <c r="X516" s="27"/>
      <c r="Y516" s="27"/>
      <c r="AE516" s="27"/>
      <c r="BD516" s="97"/>
      <c r="BE516" s="108"/>
      <c r="BF516" s="108"/>
      <c r="BG516" s="97"/>
      <c r="BH516" s="97"/>
      <c r="BI516" s="97"/>
      <c r="BJ516" s="97"/>
      <c r="BK516" s="110"/>
      <c r="BL516" s="97"/>
      <c r="BM516" s="97"/>
      <c r="BN516" s="97"/>
      <c r="BO516" s="147"/>
      <c r="BP516" s="143">
        <f t="shared" si="84"/>
        <v>0</v>
      </c>
      <c r="BQ516" s="147"/>
      <c r="BR516" s="143">
        <f t="shared" si="85"/>
        <v>0</v>
      </c>
      <c r="BS516" s="132"/>
      <c r="BT516" s="146">
        <f t="shared" si="86"/>
        <v>0</v>
      </c>
      <c r="BU516" s="66"/>
      <c r="BV516" s="143">
        <f t="shared" si="87"/>
        <v>0</v>
      </c>
      <c r="BW516" s="66"/>
      <c r="BX516" s="146">
        <f t="shared" si="88"/>
        <v>0</v>
      </c>
      <c r="BY516" s="66"/>
      <c r="BZ516" s="146">
        <f t="shared" si="89"/>
        <v>0</v>
      </c>
      <c r="CA516" s="66"/>
      <c r="CB516" s="146">
        <f t="shared" si="90"/>
        <v>0</v>
      </c>
      <c r="CC516" s="66"/>
      <c r="CD516" s="143">
        <f t="shared" si="91"/>
        <v>0</v>
      </c>
      <c r="CE516" s="66"/>
      <c r="CF516" s="143">
        <f t="shared" si="92"/>
        <v>0</v>
      </c>
      <c r="CG516" s="132"/>
      <c r="CH516" s="143">
        <f t="shared" si="93"/>
        <v>0</v>
      </c>
      <c r="CI516" s="132">
        <f t="shared" si="94"/>
        <v>0</v>
      </c>
      <c r="CJ516" s="143">
        <f t="shared" si="94"/>
        <v>0</v>
      </c>
    </row>
    <row r="517" spans="1:88" x14ac:dyDescent="0.3">
      <c r="A517" s="27"/>
      <c r="B517" s="27"/>
      <c r="C517" s="27"/>
      <c r="D517" s="27"/>
      <c r="E517" s="27"/>
      <c r="F517" s="27"/>
      <c r="G517" s="27"/>
      <c r="H517" s="27"/>
      <c r="I517" s="27"/>
      <c r="J517" s="27"/>
      <c r="K517" s="27"/>
      <c r="L517" s="27"/>
      <c r="N517" s="27"/>
      <c r="O517" s="27"/>
      <c r="P517" s="27"/>
      <c r="Q517" s="117" t="s">
        <v>1089</v>
      </c>
      <c r="R517" s="27"/>
      <c r="S517" s="27"/>
      <c r="T517" s="27"/>
      <c r="U517" s="27"/>
      <c r="V517" s="27"/>
      <c r="W517" s="27"/>
      <c r="X517" s="27"/>
      <c r="Y517" s="27"/>
      <c r="AE517" s="27"/>
      <c r="BD517" s="97"/>
      <c r="BE517" s="108"/>
      <c r="BF517" s="108"/>
      <c r="BG517" s="97"/>
      <c r="BH517" s="97"/>
      <c r="BI517" s="97"/>
      <c r="BJ517" s="97"/>
      <c r="BK517" s="110"/>
      <c r="BL517" s="97"/>
      <c r="BM517" s="97"/>
      <c r="BN517" s="97"/>
      <c r="BO517" s="147"/>
      <c r="BP517" s="143">
        <f t="shared" si="84"/>
        <v>0</v>
      </c>
      <c r="BQ517" s="147"/>
      <c r="BR517" s="143">
        <f t="shared" si="85"/>
        <v>0</v>
      </c>
      <c r="BS517" s="132"/>
      <c r="BT517" s="146">
        <f t="shared" si="86"/>
        <v>0</v>
      </c>
      <c r="BU517" s="66"/>
      <c r="BV517" s="143">
        <f t="shared" si="87"/>
        <v>0</v>
      </c>
      <c r="BW517" s="66"/>
      <c r="BX517" s="146">
        <f t="shared" si="88"/>
        <v>0</v>
      </c>
      <c r="BY517" s="66"/>
      <c r="BZ517" s="146">
        <f t="shared" si="89"/>
        <v>0</v>
      </c>
      <c r="CA517" s="66"/>
      <c r="CB517" s="146">
        <f t="shared" si="90"/>
        <v>0</v>
      </c>
      <c r="CC517" s="66"/>
      <c r="CD517" s="143">
        <f t="shared" si="91"/>
        <v>0</v>
      </c>
      <c r="CE517" s="66"/>
      <c r="CF517" s="143">
        <f t="shared" si="92"/>
        <v>0</v>
      </c>
      <c r="CG517" s="132"/>
      <c r="CH517" s="143">
        <f t="shared" si="93"/>
        <v>0</v>
      </c>
      <c r="CI517" s="132">
        <f t="shared" si="94"/>
        <v>0</v>
      </c>
      <c r="CJ517" s="143">
        <f t="shared" si="94"/>
        <v>0</v>
      </c>
    </row>
    <row r="518" spans="1:88" x14ac:dyDescent="0.3">
      <c r="A518" s="27"/>
      <c r="B518" s="27"/>
      <c r="C518" s="27"/>
      <c r="D518" s="27"/>
      <c r="E518" s="27"/>
      <c r="F518" s="27"/>
      <c r="G518" s="27"/>
      <c r="H518" s="27"/>
      <c r="I518" s="27"/>
      <c r="J518" s="27"/>
      <c r="K518" s="27"/>
      <c r="L518" s="27"/>
      <c r="N518" s="27"/>
      <c r="O518" s="27"/>
      <c r="P518" s="27"/>
      <c r="Q518" s="117" t="s">
        <v>1090</v>
      </c>
      <c r="R518" s="27"/>
      <c r="S518" s="27"/>
      <c r="T518" s="27"/>
      <c r="U518" s="27"/>
      <c r="V518" s="27"/>
      <c r="W518" s="27"/>
      <c r="X518" s="27"/>
      <c r="Y518" s="27"/>
      <c r="AE518" s="27"/>
      <c r="BD518" s="97"/>
      <c r="BE518" s="108"/>
      <c r="BF518" s="108"/>
      <c r="BG518" s="97"/>
      <c r="BH518" s="97"/>
      <c r="BI518" s="97"/>
      <c r="BJ518" s="97"/>
      <c r="BK518" s="110"/>
      <c r="BL518" s="97"/>
      <c r="BM518" s="97"/>
      <c r="BN518" s="97"/>
      <c r="BO518" s="147"/>
      <c r="BP518" s="143">
        <f t="shared" si="84"/>
        <v>0</v>
      </c>
      <c r="BQ518" s="147"/>
      <c r="BR518" s="143">
        <f t="shared" si="85"/>
        <v>0</v>
      </c>
      <c r="BS518" s="132"/>
      <c r="BT518" s="146">
        <f t="shared" si="86"/>
        <v>0</v>
      </c>
      <c r="BU518" s="66"/>
      <c r="BV518" s="143">
        <f t="shared" si="87"/>
        <v>0</v>
      </c>
      <c r="BW518" s="66"/>
      <c r="BX518" s="146">
        <f t="shared" si="88"/>
        <v>0</v>
      </c>
      <c r="BY518" s="66"/>
      <c r="BZ518" s="146">
        <f t="shared" si="89"/>
        <v>0</v>
      </c>
      <c r="CA518" s="66"/>
      <c r="CB518" s="146">
        <f t="shared" si="90"/>
        <v>0</v>
      </c>
      <c r="CC518" s="66"/>
      <c r="CD518" s="143">
        <f t="shared" si="91"/>
        <v>0</v>
      </c>
      <c r="CE518" s="66"/>
      <c r="CF518" s="143">
        <f t="shared" si="92"/>
        <v>0</v>
      </c>
      <c r="CG518" s="132"/>
      <c r="CH518" s="143">
        <f t="shared" si="93"/>
        <v>0</v>
      </c>
      <c r="CI518" s="132">
        <f t="shared" si="94"/>
        <v>0</v>
      </c>
      <c r="CJ518" s="143">
        <f t="shared" si="94"/>
        <v>0</v>
      </c>
    </row>
    <row r="519" spans="1:88" x14ac:dyDescent="0.3">
      <c r="A519" s="27"/>
      <c r="B519" s="27"/>
      <c r="C519" s="27"/>
      <c r="D519" s="27"/>
      <c r="E519" s="27"/>
      <c r="F519" s="27"/>
      <c r="G519" s="27"/>
      <c r="H519" s="27"/>
      <c r="I519" s="27"/>
      <c r="J519" s="27"/>
      <c r="K519" s="27"/>
      <c r="L519" s="27"/>
      <c r="N519" s="27"/>
      <c r="O519" s="27"/>
      <c r="P519" s="27"/>
      <c r="Q519" s="117" t="s">
        <v>1091</v>
      </c>
      <c r="R519" s="27"/>
      <c r="S519" s="27"/>
      <c r="T519" s="27"/>
      <c r="U519" s="27"/>
      <c r="V519" s="27"/>
      <c r="W519" s="27"/>
      <c r="X519" s="27"/>
      <c r="Y519" s="27"/>
      <c r="AE519" s="27"/>
      <c r="BD519" s="97"/>
      <c r="BE519" s="108"/>
      <c r="BF519" s="108"/>
      <c r="BG519" s="97"/>
      <c r="BH519" s="97"/>
      <c r="BI519" s="97"/>
      <c r="BJ519" s="97"/>
      <c r="BK519" s="110"/>
      <c r="BL519" s="97"/>
      <c r="BM519" s="97"/>
      <c r="BN519" s="97"/>
      <c r="BO519" s="147"/>
      <c r="BP519" s="143">
        <f t="shared" si="84"/>
        <v>0</v>
      </c>
      <c r="BQ519" s="147"/>
      <c r="BR519" s="143">
        <f t="shared" si="85"/>
        <v>0</v>
      </c>
      <c r="BS519" s="132"/>
      <c r="BT519" s="146">
        <f t="shared" si="86"/>
        <v>0</v>
      </c>
      <c r="BU519" s="66"/>
      <c r="BV519" s="143">
        <f t="shared" si="87"/>
        <v>0</v>
      </c>
      <c r="BW519" s="66"/>
      <c r="BX519" s="146">
        <f t="shared" si="88"/>
        <v>0</v>
      </c>
      <c r="BY519" s="66"/>
      <c r="BZ519" s="146">
        <f t="shared" si="89"/>
        <v>0</v>
      </c>
      <c r="CA519" s="66"/>
      <c r="CB519" s="146">
        <f t="shared" si="90"/>
        <v>0</v>
      </c>
      <c r="CC519" s="66"/>
      <c r="CD519" s="143">
        <f t="shared" si="91"/>
        <v>0</v>
      </c>
      <c r="CE519" s="66"/>
      <c r="CF519" s="143">
        <f t="shared" si="92"/>
        <v>0</v>
      </c>
      <c r="CG519" s="132"/>
      <c r="CH519" s="143">
        <f t="shared" si="93"/>
        <v>0</v>
      </c>
      <c r="CI519" s="132">
        <f t="shared" si="94"/>
        <v>0</v>
      </c>
      <c r="CJ519" s="143">
        <f t="shared" si="94"/>
        <v>0</v>
      </c>
    </row>
    <row r="520" spans="1:88" x14ac:dyDescent="0.3">
      <c r="A520" s="27"/>
      <c r="B520" s="27"/>
      <c r="C520" s="27"/>
      <c r="D520" s="27"/>
      <c r="E520" s="27"/>
      <c r="F520" s="27"/>
      <c r="G520" s="27"/>
      <c r="H520" s="27"/>
      <c r="I520" s="27"/>
      <c r="J520" s="27"/>
      <c r="K520" s="27"/>
      <c r="L520" s="27"/>
      <c r="N520" s="27"/>
      <c r="O520" s="27"/>
      <c r="P520" s="27"/>
      <c r="Q520" s="117" t="s">
        <v>1092</v>
      </c>
      <c r="R520" s="27"/>
      <c r="S520" s="27"/>
      <c r="T520" s="27"/>
      <c r="U520" s="27"/>
      <c r="V520" s="27"/>
      <c r="W520" s="27"/>
      <c r="X520" s="27"/>
      <c r="Y520" s="27"/>
      <c r="AE520" s="27"/>
      <c r="BD520" s="97"/>
      <c r="BE520" s="108"/>
      <c r="BF520" s="108"/>
      <c r="BG520" s="97"/>
      <c r="BH520" s="97"/>
      <c r="BI520" s="97"/>
      <c r="BJ520" s="97"/>
      <c r="BK520" s="110"/>
      <c r="BL520" s="97"/>
      <c r="BM520" s="97"/>
      <c r="BN520" s="97"/>
      <c r="BO520" s="147"/>
      <c r="BP520" s="143">
        <f t="shared" si="84"/>
        <v>0</v>
      </c>
      <c r="BQ520" s="147"/>
      <c r="BR520" s="143">
        <f t="shared" si="85"/>
        <v>0</v>
      </c>
      <c r="BS520" s="132"/>
      <c r="BT520" s="146">
        <f t="shared" si="86"/>
        <v>0</v>
      </c>
      <c r="BU520" s="66"/>
      <c r="BV520" s="143">
        <f t="shared" si="87"/>
        <v>0</v>
      </c>
      <c r="BW520" s="66"/>
      <c r="BX520" s="146">
        <f t="shared" si="88"/>
        <v>0</v>
      </c>
      <c r="BY520" s="66"/>
      <c r="BZ520" s="146">
        <f t="shared" si="89"/>
        <v>0</v>
      </c>
      <c r="CA520" s="66"/>
      <c r="CB520" s="146">
        <f t="shared" si="90"/>
        <v>0</v>
      </c>
      <c r="CC520" s="66"/>
      <c r="CD520" s="143">
        <f t="shared" si="91"/>
        <v>0</v>
      </c>
      <c r="CE520" s="66"/>
      <c r="CF520" s="143">
        <f t="shared" si="92"/>
        <v>0</v>
      </c>
      <c r="CG520" s="132"/>
      <c r="CH520" s="143">
        <f t="shared" si="93"/>
        <v>0</v>
      </c>
      <c r="CI520" s="132">
        <f t="shared" si="94"/>
        <v>0</v>
      </c>
      <c r="CJ520" s="143">
        <f t="shared" si="94"/>
        <v>0</v>
      </c>
    </row>
    <row r="521" spans="1:88" x14ac:dyDescent="0.3">
      <c r="A521" s="27"/>
      <c r="B521" s="27"/>
      <c r="C521" s="27"/>
      <c r="D521" s="27"/>
      <c r="E521" s="27"/>
      <c r="F521" s="27"/>
      <c r="G521" s="27"/>
      <c r="H521" s="27"/>
      <c r="I521" s="27"/>
      <c r="J521" s="27"/>
      <c r="K521" s="27"/>
      <c r="L521" s="27"/>
      <c r="N521" s="27"/>
      <c r="O521" s="27"/>
      <c r="P521" s="27"/>
      <c r="Q521" s="117" t="s">
        <v>1093</v>
      </c>
      <c r="R521" s="27"/>
      <c r="S521" s="27"/>
      <c r="T521" s="27"/>
      <c r="U521" s="27"/>
      <c r="V521" s="27"/>
      <c r="W521" s="27"/>
      <c r="X521" s="27"/>
      <c r="Y521" s="27"/>
      <c r="AE521" s="27"/>
      <c r="BD521" s="97"/>
      <c r="BE521" s="108"/>
      <c r="BF521" s="108"/>
      <c r="BG521" s="97"/>
      <c r="BH521" s="97"/>
      <c r="BI521" s="97"/>
      <c r="BJ521" s="97"/>
      <c r="BK521" s="110"/>
      <c r="BL521" s="97"/>
      <c r="BM521" s="97"/>
      <c r="BN521" s="97"/>
      <c r="BO521" s="147"/>
      <c r="BP521" s="143">
        <f t="shared" si="84"/>
        <v>0</v>
      </c>
      <c r="BQ521" s="147"/>
      <c r="BR521" s="143">
        <f t="shared" si="85"/>
        <v>0</v>
      </c>
      <c r="BS521" s="132"/>
      <c r="BT521" s="146">
        <f t="shared" si="86"/>
        <v>0</v>
      </c>
      <c r="BU521" s="66"/>
      <c r="BV521" s="143">
        <f t="shared" si="87"/>
        <v>0</v>
      </c>
      <c r="BW521" s="66"/>
      <c r="BX521" s="146">
        <f t="shared" si="88"/>
        <v>0</v>
      </c>
      <c r="BY521" s="66"/>
      <c r="BZ521" s="146">
        <f t="shared" si="89"/>
        <v>0</v>
      </c>
      <c r="CA521" s="66"/>
      <c r="CB521" s="146">
        <f t="shared" si="90"/>
        <v>0</v>
      </c>
      <c r="CC521" s="66"/>
      <c r="CD521" s="143">
        <f t="shared" si="91"/>
        <v>0</v>
      </c>
      <c r="CE521" s="66"/>
      <c r="CF521" s="143">
        <f t="shared" si="92"/>
        <v>0</v>
      </c>
      <c r="CG521" s="132"/>
      <c r="CH521" s="143">
        <f t="shared" si="93"/>
        <v>0</v>
      </c>
      <c r="CI521" s="132">
        <f t="shared" si="94"/>
        <v>0</v>
      </c>
      <c r="CJ521" s="143">
        <f t="shared" si="94"/>
        <v>0</v>
      </c>
    </row>
    <row r="522" spans="1:88" x14ac:dyDescent="0.3">
      <c r="A522" s="27"/>
      <c r="B522" s="27"/>
      <c r="C522" s="27"/>
      <c r="D522" s="27"/>
      <c r="E522" s="27"/>
      <c r="F522" s="27"/>
      <c r="G522" s="27"/>
      <c r="H522" s="27"/>
      <c r="I522" s="27"/>
      <c r="J522" s="27"/>
      <c r="K522" s="27"/>
      <c r="L522" s="27"/>
      <c r="N522" s="27"/>
      <c r="O522" s="27"/>
      <c r="P522" s="27"/>
      <c r="Q522" s="117" t="s">
        <v>1094</v>
      </c>
      <c r="R522" s="27"/>
      <c r="S522" s="27"/>
      <c r="T522" s="27"/>
      <c r="U522" s="27"/>
      <c r="V522" s="27"/>
      <c r="W522" s="27"/>
      <c r="X522" s="27"/>
      <c r="Y522" s="27"/>
      <c r="AE522" s="27"/>
      <c r="BD522" s="97"/>
      <c r="BE522" s="108"/>
      <c r="BF522" s="108"/>
      <c r="BG522" s="97"/>
      <c r="BH522" s="97"/>
      <c r="BI522" s="97"/>
      <c r="BJ522" s="97"/>
      <c r="BK522" s="110"/>
      <c r="BL522" s="97"/>
      <c r="BM522" s="97"/>
      <c r="BN522" s="97"/>
      <c r="BO522" s="147"/>
      <c r="BP522" s="143">
        <f t="shared" ref="BP522:BP585" si="95">BO522*AX522</f>
        <v>0</v>
      </c>
      <c r="BQ522" s="147"/>
      <c r="BR522" s="143">
        <f t="shared" ref="BR522:BR585" si="96">BQ522*AX522</f>
        <v>0</v>
      </c>
      <c r="BS522" s="132"/>
      <c r="BT522" s="146">
        <f t="shared" ref="BT522:BT585" si="97">BS522*AX522</f>
        <v>0</v>
      </c>
      <c r="BU522" s="66"/>
      <c r="BV522" s="143">
        <f t="shared" ref="BV522:BV585" si="98">BU522*AX522</f>
        <v>0</v>
      </c>
      <c r="BW522" s="66"/>
      <c r="BX522" s="146">
        <f t="shared" ref="BX522:BX585" si="99">BW522*AX522</f>
        <v>0</v>
      </c>
      <c r="BY522" s="66"/>
      <c r="BZ522" s="146">
        <f t="shared" ref="BZ522:BZ585" si="100">BY522*AX522</f>
        <v>0</v>
      </c>
      <c r="CA522" s="66"/>
      <c r="CB522" s="146">
        <f t="shared" ref="CB522:CB585" si="101">CA522*AX522</f>
        <v>0</v>
      </c>
      <c r="CC522" s="66"/>
      <c r="CD522" s="143">
        <f t="shared" ref="CD522:CD585" si="102">CC522*AX522</f>
        <v>0</v>
      </c>
      <c r="CE522" s="66"/>
      <c r="CF522" s="143">
        <f t="shared" ref="CF522:CF585" si="103">CE522*AX522</f>
        <v>0</v>
      </c>
      <c r="CG522" s="132"/>
      <c r="CH522" s="143">
        <f t="shared" ref="CH522:CH585" si="104">CG522*AX522</f>
        <v>0</v>
      </c>
      <c r="CI522" s="132">
        <f t="shared" ref="CI522:CJ585" si="105">SUM(BO522,BQ522,BS522,BU522,BW522,BY522,CA522,CC522,CE522,CG522)</f>
        <v>0</v>
      </c>
      <c r="CJ522" s="143">
        <f t="shared" si="105"/>
        <v>0</v>
      </c>
    </row>
    <row r="523" spans="1:88" ht="27.6" x14ac:dyDescent="0.3">
      <c r="A523" s="27"/>
      <c r="B523" s="27"/>
      <c r="C523" s="27"/>
      <c r="D523" s="27"/>
      <c r="E523" s="27"/>
      <c r="F523" s="27"/>
      <c r="G523" s="27"/>
      <c r="H523" s="27"/>
      <c r="I523" s="27"/>
      <c r="J523" s="27"/>
      <c r="K523" s="27"/>
      <c r="L523" s="27"/>
      <c r="N523" s="27"/>
      <c r="O523" s="27"/>
      <c r="P523" s="27"/>
      <c r="Q523" s="117" t="s">
        <v>1095</v>
      </c>
      <c r="R523" s="27"/>
      <c r="S523" s="27"/>
      <c r="T523" s="27"/>
      <c r="U523" s="27"/>
      <c r="V523" s="27"/>
      <c r="W523" s="27"/>
      <c r="X523" s="27"/>
      <c r="Y523" s="27"/>
      <c r="AE523" s="27"/>
      <c r="BD523" s="97"/>
      <c r="BE523" s="108"/>
      <c r="BF523" s="108"/>
      <c r="BG523" s="97"/>
      <c r="BH523" s="97"/>
      <c r="BI523" s="97"/>
      <c r="BJ523" s="97"/>
      <c r="BK523" s="110"/>
      <c r="BL523" s="97"/>
      <c r="BM523" s="97"/>
      <c r="BN523" s="97"/>
      <c r="BO523" s="147"/>
      <c r="BP523" s="143">
        <f t="shared" si="95"/>
        <v>0</v>
      </c>
      <c r="BQ523" s="147"/>
      <c r="BR523" s="143">
        <f t="shared" si="96"/>
        <v>0</v>
      </c>
      <c r="BS523" s="132"/>
      <c r="BT523" s="146">
        <f t="shared" si="97"/>
        <v>0</v>
      </c>
      <c r="BU523" s="66"/>
      <c r="BV523" s="143">
        <f t="shared" si="98"/>
        <v>0</v>
      </c>
      <c r="BW523" s="66"/>
      <c r="BX523" s="146">
        <f t="shared" si="99"/>
        <v>0</v>
      </c>
      <c r="BY523" s="66"/>
      <c r="BZ523" s="146">
        <f t="shared" si="100"/>
        <v>0</v>
      </c>
      <c r="CA523" s="66"/>
      <c r="CB523" s="146">
        <f t="shared" si="101"/>
        <v>0</v>
      </c>
      <c r="CC523" s="66"/>
      <c r="CD523" s="143">
        <f t="shared" si="102"/>
        <v>0</v>
      </c>
      <c r="CE523" s="66"/>
      <c r="CF523" s="143">
        <f t="shared" si="103"/>
        <v>0</v>
      </c>
      <c r="CG523" s="132"/>
      <c r="CH523" s="143">
        <f t="shared" si="104"/>
        <v>0</v>
      </c>
      <c r="CI523" s="132">
        <f t="shared" si="105"/>
        <v>0</v>
      </c>
      <c r="CJ523" s="143">
        <f t="shared" si="105"/>
        <v>0</v>
      </c>
    </row>
    <row r="524" spans="1:88" x14ac:dyDescent="0.3">
      <c r="A524" s="27"/>
      <c r="B524" s="27"/>
      <c r="C524" s="27"/>
      <c r="D524" s="27"/>
      <c r="E524" s="27"/>
      <c r="F524" s="27"/>
      <c r="G524" s="27"/>
      <c r="H524" s="27"/>
      <c r="I524" s="27"/>
      <c r="J524" s="27"/>
      <c r="K524" s="27"/>
      <c r="L524" s="27"/>
      <c r="N524" s="27"/>
      <c r="O524" s="27"/>
      <c r="P524" s="27"/>
      <c r="Q524" s="117" t="s">
        <v>1096</v>
      </c>
      <c r="R524" s="27"/>
      <c r="S524" s="27"/>
      <c r="T524" s="27"/>
      <c r="U524" s="27"/>
      <c r="V524" s="27"/>
      <c r="W524" s="27"/>
      <c r="X524" s="27"/>
      <c r="Y524" s="27"/>
      <c r="AE524" s="27"/>
      <c r="BD524" s="97"/>
      <c r="BE524" s="108"/>
      <c r="BF524" s="108"/>
      <c r="BG524" s="97"/>
      <c r="BH524" s="97"/>
      <c r="BI524" s="97"/>
      <c r="BJ524" s="97"/>
      <c r="BK524" s="110"/>
      <c r="BL524" s="97"/>
      <c r="BM524" s="97"/>
      <c r="BN524" s="97"/>
      <c r="BO524" s="147"/>
      <c r="BP524" s="143">
        <f t="shared" si="95"/>
        <v>0</v>
      </c>
      <c r="BQ524" s="147"/>
      <c r="BR524" s="143">
        <f t="shared" si="96"/>
        <v>0</v>
      </c>
      <c r="BS524" s="132"/>
      <c r="BT524" s="146">
        <f t="shared" si="97"/>
        <v>0</v>
      </c>
      <c r="BU524" s="66"/>
      <c r="BV524" s="143">
        <f t="shared" si="98"/>
        <v>0</v>
      </c>
      <c r="BW524" s="66"/>
      <c r="BX524" s="146">
        <f t="shared" si="99"/>
        <v>0</v>
      </c>
      <c r="BY524" s="66"/>
      <c r="BZ524" s="146">
        <f t="shared" si="100"/>
        <v>0</v>
      </c>
      <c r="CA524" s="66"/>
      <c r="CB524" s="146">
        <f t="shared" si="101"/>
        <v>0</v>
      </c>
      <c r="CC524" s="66"/>
      <c r="CD524" s="143">
        <f t="shared" si="102"/>
        <v>0</v>
      </c>
      <c r="CE524" s="66"/>
      <c r="CF524" s="143">
        <f t="shared" si="103"/>
        <v>0</v>
      </c>
      <c r="CG524" s="132"/>
      <c r="CH524" s="143">
        <f t="shared" si="104"/>
        <v>0</v>
      </c>
      <c r="CI524" s="132">
        <f t="shared" si="105"/>
        <v>0</v>
      </c>
      <c r="CJ524" s="143">
        <f t="shared" si="105"/>
        <v>0</v>
      </c>
    </row>
    <row r="525" spans="1:88" x14ac:dyDescent="0.3">
      <c r="A525" s="27"/>
      <c r="B525" s="27"/>
      <c r="C525" s="27"/>
      <c r="D525" s="27"/>
      <c r="E525" s="27"/>
      <c r="F525" s="27"/>
      <c r="G525" s="27"/>
      <c r="H525" s="27"/>
      <c r="I525" s="27"/>
      <c r="J525" s="27"/>
      <c r="K525" s="27"/>
      <c r="L525" s="27"/>
      <c r="N525" s="27"/>
      <c r="O525" s="27"/>
      <c r="P525" s="27"/>
      <c r="Q525" s="117" t="s">
        <v>1097</v>
      </c>
      <c r="R525" s="27"/>
      <c r="S525" s="27"/>
      <c r="T525" s="27"/>
      <c r="U525" s="27"/>
      <c r="V525" s="27"/>
      <c r="W525" s="27"/>
      <c r="X525" s="27"/>
      <c r="Y525" s="27"/>
      <c r="AE525" s="27"/>
      <c r="BD525" s="97"/>
      <c r="BE525" s="108"/>
      <c r="BF525" s="108"/>
      <c r="BG525" s="97"/>
      <c r="BH525" s="97"/>
      <c r="BI525" s="97"/>
      <c r="BJ525" s="97"/>
      <c r="BK525" s="110"/>
      <c r="BL525" s="97"/>
      <c r="BM525" s="97"/>
      <c r="BN525" s="97"/>
      <c r="BO525" s="147"/>
      <c r="BP525" s="143">
        <f t="shared" si="95"/>
        <v>0</v>
      </c>
      <c r="BQ525" s="147"/>
      <c r="BR525" s="143">
        <f t="shared" si="96"/>
        <v>0</v>
      </c>
      <c r="BS525" s="132"/>
      <c r="BT525" s="146">
        <f t="shared" si="97"/>
        <v>0</v>
      </c>
      <c r="BU525" s="66"/>
      <c r="BV525" s="143">
        <f t="shared" si="98"/>
        <v>0</v>
      </c>
      <c r="BW525" s="66"/>
      <c r="BX525" s="146">
        <f t="shared" si="99"/>
        <v>0</v>
      </c>
      <c r="BY525" s="66"/>
      <c r="BZ525" s="146">
        <f t="shared" si="100"/>
        <v>0</v>
      </c>
      <c r="CA525" s="66"/>
      <c r="CB525" s="146">
        <f t="shared" si="101"/>
        <v>0</v>
      </c>
      <c r="CC525" s="66"/>
      <c r="CD525" s="143">
        <f t="shared" si="102"/>
        <v>0</v>
      </c>
      <c r="CE525" s="66"/>
      <c r="CF525" s="143">
        <f t="shared" si="103"/>
        <v>0</v>
      </c>
      <c r="CG525" s="132"/>
      <c r="CH525" s="143">
        <f t="shared" si="104"/>
        <v>0</v>
      </c>
      <c r="CI525" s="132">
        <f t="shared" si="105"/>
        <v>0</v>
      </c>
      <c r="CJ525" s="143">
        <f t="shared" si="105"/>
        <v>0</v>
      </c>
    </row>
    <row r="526" spans="1:88" x14ac:dyDescent="0.3">
      <c r="A526" s="27"/>
      <c r="B526" s="27"/>
      <c r="C526" s="27"/>
      <c r="D526" s="27"/>
      <c r="E526" s="27"/>
      <c r="F526" s="27"/>
      <c r="G526" s="27"/>
      <c r="H526" s="27"/>
      <c r="I526" s="27"/>
      <c r="J526" s="27"/>
      <c r="K526" s="27"/>
      <c r="L526" s="27"/>
      <c r="N526" s="27"/>
      <c r="O526" s="27"/>
      <c r="P526" s="27"/>
      <c r="Q526" s="117" t="s">
        <v>1098</v>
      </c>
      <c r="R526" s="27"/>
      <c r="S526" s="27"/>
      <c r="T526" s="27"/>
      <c r="U526" s="27"/>
      <c r="V526" s="27"/>
      <c r="W526" s="27"/>
      <c r="X526" s="27"/>
      <c r="Y526" s="27"/>
      <c r="AE526" s="27"/>
      <c r="BD526" s="97"/>
      <c r="BE526" s="108"/>
      <c r="BF526" s="108"/>
      <c r="BG526" s="97"/>
      <c r="BH526" s="97"/>
      <c r="BI526" s="97"/>
      <c r="BJ526" s="97"/>
      <c r="BK526" s="110"/>
      <c r="BL526" s="97"/>
      <c r="BM526" s="97"/>
      <c r="BN526" s="97"/>
      <c r="BO526" s="147"/>
      <c r="BP526" s="143">
        <f t="shared" si="95"/>
        <v>0</v>
      </c>
      <c r="BQ526" s="147"/>
      <c r="BR526" s="143">
        <f t="shared" si="96"/>
        <v>0</v>
      </c>
      <c r="BS526" s="132"/>
      <c r="BT526" s="146">
        <f t="shared" si="97"/>
        <v>0</v>
      </c>
      <c r="BU526" s="66"/>
      <c r="BV526" s="143">
        <f t="shared" si="98"/>
        <v>0</v>
      </c>
      <c r="BW526" s="66"/>
      <c r="BX526" s="146">
        <f t="shared" si="99"/>
        <v>0</v>
      </c>
      <c r="BY526" s="66"/>
      <c r="BZ526" s="146">
        <f t="shared" si="100"/>
        <v>0</v>
      </c>
      <c r="CA526" s="66"/>
      <c r="CB526" s="146">
        <f t="shared" si="101"/>
        <v>0</v>
      </c>
      <c r="CC526" s="66"/>
      <c r="CD526" s="143">
        <f t="shared" si="102"/>
        <v>0</v>
      </c>
      <c r="CE526" s="66"/>
      <c r="CF526" s="143">
        <f t="shared" si="103"/>
        <v>0</v>
      </c>
      <c r="CG526" s="132"/>
      <c r="CH526" s="143">
        <f t="shared" si="104"/>
        <v>0</v>
      </c>
      <c r="CI526" s="132">
        <f t="shared" si="105"/>
        <v>0</v>
      </c>
      <c r="CJ526" s="143">
        <f t="shared" si="105"/>
        <v>0</v>
      </c>
    </row>
    <row r="527" spans="1:88" x14ac:dyDescent="0.3">
      <c r="A527" s="27"/>
      <c r="B527" s="27"/>
      <c r="C527" s="27"/>
      <c r="D527" s="27"/>
      <c r="E527" s="27"/>
      <c r="F527" s="27"/>
      <c r="G527" s="27"/>
      <c r="H527" s="27"/>
      <c r="I527" s="27"/>
      <c r="J527" s="27"/>
      <c r="K527" s="27"/>
      <c r="L527" s="27"/>
      <c r="N527" s="27"/>
      <c r="O527" s="27"/>
      <c r="P527" s="27"/>
      <c r="Q527" s="117" t="s">
        <v>1099</v>
      </c>
      <c r="R527" s="27"/>
      <c r="S527" s="27"/>
      <c r="T527" s="27"/>
      <c r="U527" s="27"/>
      <c r="V527" s="27"/>
      <c r="W527" s="27"/>
      <c r="X527" s="27"/>
      <c r="Y527" s="27"/>
      <c r="AE527" s="27"/>
      <c r="BD527" s="97"/>
      <c r="BE527" s="108"/>
      <c r="BF527" s="108"/>
      <c r="BG527" s="97"/>
      <c r="BH527" s="97"/>
      <c r="BI527" s="97"/>
      <c r="BJ527" s="97"/>
      <c r="BK527" s="110"/>
      <c r="BL527" s="97"/>
      <c r="BM527" s="97"/>
      <c r="BN527" s="97"/>
      <c r="BO527" s="147"/>
      <c r="BP527" s="143">
        <f t="shared" si="95"/>
        <v>0</v>
      </c>
      <c r="BQ527" s="147"/>
      <c r="BR527" s="143">
        <f t="shared" si="96"/>
        <v>0</v>
      </c>
      <c r="BS527" s="132"/>
      <c r="BT527" s="146">
        <f t="shared" si="97"/>
        <v>0</v>
      </c>
      <c r="BU527" s="66"/>
      <c r="BV527" s="143">
        <f t="shared" si="98"/>
        <v>0</v>
      </c>
      <c r="BW527" s="66"/>
      <c r="BX527" s="146">
        <f t="shared" si="99"/>
        <v>0</v>
      </c>
      <c r="BY527" s="66"/>
      <c r="BZ527" s="146">
        <f t="shared" si="100"/>
        <v>0</v>
      </c>
      <c r="CA527" s="66"/>
      <c r="CB527" s="146">
        <f t="shared" si="101"/>
        <v>0</v>
      </c>
      <c r="CC527" s="66"/>
      <c r="CD527" s="143">
        <f t="shared" si="102"/>
        <v>0</v>
      </c>
      <c r="CE527" s="66"/>
      <c r="CF527" s="143">
        <f t="shared" si="103"/>
        <v>0</v>
      </c>
      <c r="CG527" s="132"/>
      <c r="CH527" s="143">
        <f t="shared" si="104"/>
        <v>0</v>
      </c>
      <c r="CI527" s="132">
        <f t="shared" si="105"/>
        <v>0</v>
      </c>
      <c r="CJ527" s="143">
        <f t="shared" si="105"/>
        <v>0</v>
      </c>
    </row>
    <row r="528" spans="1:88" x14ac:dyDescent="0.3">
      <c r="A528" s="27"/>
      <c r="B528" s="27"/>
      <c r="C528" s="27"/>
      <c r="D528" s="27"/>
      <c r="E528" s="27"/>
      <c r="F528" s="27"/>
      <c r="G528" s="27"/>
      <c r="H528" s="27"/>
      <c r="I528" s="27"/>
      <c r="J528" s="27"/>
      <c r="K528" s="27"/>
      <c r="L528" s="27"/>
      <c r="N528" s="27"/>
      <c r="O528" s="27"/>
      <c r="P528" s="27"/>
      <c r="Q528" s="117" t="s">
        <v>1100</v>
      </c>
      <c r="R528" s="27"/>
      <c r="S528" s="27"/>
      <c r="T528" s="27"/>
      <c r="U528" s="27"/>
      <c r="V528" s="27"/>
      <c r="W528" s="27"/>
      <c r="X528" s="27"/>
      <c r="Y528" s="27"/>
      <c r="AE528" s="27"/>
      <c r="BD528" s="97"/>
      <c r="BE528" s="108"/>
      <c r="BF528" s="108"/>
      <c r="BG528" s="97"/>
      <c r="BH528" s="97"/>
      <c r="BI528" s="97"/>
      <c r="BJ528" s="97"/>
      <c r="BK528" s="110"/>
      <c r="BL528" s="97"/>
      <c r="BM528" s="97"/>
      <c r="BN528" s="97"/>
      <c r="BO528" s="147"/>
      <c r="BP528" s="143">
        <f t="shared" si="95"/>
        <v>0</v>
      </c>
      <c r="BQ528" s="147"/>
      <c r="BR528" s="143">
        <f t="shared" si="96"/>
        <v>0</v>
      </c>
      <c r="BS528" s="132"/>
      <c r="BT528" s="146">
        <f t="shared" si="97"/>
        <v>0</v>
      </c>
      <c r="BU528" s="66"/>
      <c r="BV528" s="143">
        <f t="shared" si="98"/>
        <v>0</v>
      </c>
      <c r="BW528" s="66"/>
      <c r="BX528" s="146">
        <f t="shared" si="99"/>
        <v>0</v>
      </c>
      <c r="BY528" s="66"/>
      <c r="BZ528" s="146">
        <f t="shared" si="100"/>
        <v>0</v>
      </c>
      <c r="CA528" s="66"/>
      <c r="CB528" s="146">
        <f t="shared" si="101"/>
        <v>0</v>
      </c>
      <c r="CC528" s="66"/>
      <c r="CD528" s="143">
        <f t="shared" si="102"/>
        <v>0</v>
      </c>
      <c r="CE528" s="66"/>
      <c r="CF528" s="143">
        <f t="shared" si="103"/>
        <v>0</v>
      </c>
      <c r="CG528" s="132"/>
      <c r="CH528" s="143">
        <f t="shared" si="104"/>
        <v>0</v>
      </c>
      <c r="CI528" s="132">
        <f t="shared" si="105"/>
        <v>0</v>
      </c>
      <c r="CJ528" s="143">
        <f t="shared" si="105"/>
        <v>0</v>
      </c>
    </row>
    <row r="529" spans="1:88" x14ac:dyDescent="0.3">
      <c r="A529" s="27"/>
      <c r="B529" s="27"/>
      <c r="C529" s="27"/>
      <c r="D529" s="27"/>
      <c r="E529" s="27"/>
      <c r="F529" s="27"/>
      <c r="G529" s="27"/>
      <c r="H529" s="27"/>
      <c r="I529" s="27"/>
      <c r="J529" s="27"/>
      <c r="K529" s="27"/>
      <c r="L529" s="27"/>
      <c r="N529" s="27"/>
      <c r="O529" s="27"/>
      <c r="P529" s="27"/>
      <c r="Q529" s="117" t="s">
        <v>1101</v>
      </c>
      <c r="R529" s="27"/>
      <c r="S529" s="27"/>
      <c r="T529" s="27"/>
      <c r="U529" s="27"/>
      <c r="V529" s="27"/>
      <c r="W529" s="27"/>
      <c r="X529" s="27"/>
      <c r="Y529" s="27"/>
      <c r="AE529" s="27"/>
      <c r="BD529" s="97"/>
      <c r="BE529" s="108"/>
      <c r="BF529" s="108"/>
      <c r="BG529" s="97"/>
      <c r="BH529" s="97"/>
      <c r="BI529" s="97"/>
      <c r="BJ529" s="97"/>
      <c r="BK529" s="110"/>
      <c r="BL529" s="97"/>
      <c r="BM529" s="97"/>
      <c r="BN529" s="97"/>
      <c r="BO529" s="147"/>
      <c r="BP529" s="143">
        <f t="shared" si="95"/>
        <v>0</v>
      </c>
      <c r="BQ529" s="147"/>
      <c r="BR529" s="143">
        <f t="shared" si="96"/>
        <v>0</v>
      </c>
      <c r="BS529" s="132"/>
      <c r="BT529" s="146">
        <f t="shared" si="97"/>
        <v>0</v>
      </c>
      <c r="BU529" s="66"/>
      <c r="BV529" s="143">
        <f t="shared" si="98"/>
        <v>0</v>
      </c>
      <c r="BW529" s="66"/>
      <c r="BX529" s="146">
        <f t="shared" si="99"/>
        <v>0</v>
      </c>
      <c r="BY529" s="66"/>
      <c r="BZ529" s="146">
        <f t="shared" si="100"/>
        <v>0</v>
      </c>
      <c r="CA529" s="66"/>
      <c r="CB529" s="146">
        <f t="shared" si="101"/>
        <v>0</v>
      </c>
      <c r="CC529" s="66"/>
      <c r="CD529" s="143">
        <f t="shared" si="102"/>
        <v>0</v>
      </c>
      <c r="CE529" s="66"/>
      <c r="CF529" s="143">
        <f t="shared" si="103"/>
        <v>0</v>
      </c>
      <c r="CG529" s="132"/>
      <c r="CH529" s="143">
        <f t="shared" si="104"/>
        <v>0</v>
      </c>
      <c r="CI529" s="132">
        <f t="shared" si="105"/>
        <v>0</v>
      </c>
      <c r="CJ529" s="143">
        <f t="shared" si="105"/>
        <v>0</v>
      </c>
    </row>
    <row r="530" spans="1:88" x14ac:dyDescent="0.3">
      <c r="A530" s="27"/>
      <c r="B530" s="27"/>
      <c r="C530" s="27"/>
      <c r="D530" s="27"/>
      <c r="E530" s="27"/>
      <c r="F530" s="27"/>
      <c r="G530" s="27"/>
      <c r="H530" s="27"/>
      <c r="I530" s="27"/>
      <c r="J530" s="27"/>
      <c r="K530" s="27"/>
      <c r="L530" s="27"/>
      <c r="N530" s="27"/>
      <c r="O530" s="27"/>
      <c r="P530" s="27"/>
      <c r="Q530" s="117" t="s">
        <v>1102</v>
      </c>
      <c r="R530" s="27"/>
      <c r="S530" s="27"/>
      <c r="T530" s="27"/>
      <c r="U530" s="27"/>
      <c r="V530" s="27"/>
      <c r="W530" s="27"/>
      <c r="X530" s="27"/>
      <c r="Y530" s="27"/>
      <c r="AE530" s="27"/>
      <c r="BD530" s="97"/>
      <c r="BE530" s="108"/>
      <c r="BF530" s="108"/>
      <c r="BG530" s="97"/>
      <c r="BH530" s="97"/>
      <c r="BI530" s="97"/>
      <c r="BJ530" s="97"/>
      <c r="BK530" s="110"/>
      <c r="BL530" s="97"/>
      <c r="BM530" s="97"/>
      <c r="BN530" s="97"/>
      <c r="BO530" s="147"/>
      <c r="BP530" s="143">
        <f t="shared" si="95"/>
        <v>0</v>
      </c>
      <c r="BQ530" s="147"/>
      <c r="BR530" s="143">
        <f t="shared" si="96"/>
        <v>0</v>
      </c>
      <c r="BS530" s="132"/>
      <c r="BT530" s="146">
        <f t="shared" si="97"/>
        <v>0</v>
      </c>
      <c r="BU530" s="66"/>
      <c r="BV530" s="143">
        <f t="shared" si="98"/>
        <v>0</v>
      </c>
      <c r="BW530" s="66"/>
      <c r="BX530" s="146">
        <f t="shared" si="99"/>
        <v>0</v>
      </c>
      <c r="BY530" s="66"/>
      <c r="BZ530" s="146">
        <f t="shared" si="100"/>
        <v>0</v>
      </c>
      <c r="CA530" s="66"/>
      <c r="CB530" s="146">
        <f t="shared" si="101"/>
        <v>0</v>
      </c>
      <c r="CC530" s="66"/>
      <c r="CD530" s="143">
        <f t="shared" si="102"/>
        <v>0</v>
      </c>
      <c r="CE530" s="66"/>
      <c r="CF530" s="143">
        <f t="shared" si="103"/>
        <v>0</v>
      </c>
      <c r="CG530" s="132"/>
      <c r="CH530" s="143">
        <f t="shared" si="104"/>
        <v>0</v>
      </c>
      <c r="CI530" s="132">
        <f t="shared" si="105"/>
        <v>0</v>
      </c>
      <c r="CJ530" s="143">
        <f t="shared" si="105"/>
        <v>0</v>
      </c>
    </row>
    <row r="531" spans="1:88" x14ac:dyDescent="0.3">
      <c r="A531" s="27"/>
      <c r="B531" s="27"/>
      <c r="C531" s="27"/>
      <c r="D531" s="27"/>
      <c r="E531" s="27"/>
      <c r="F531" s="27"/>
      <c r="G531" s="27"/>
      <c r="H531" s="27"/>
      <c r="I531" s="27"/>
      <c r="J531" s="27"/>
      <c r="K531" s="27"/>
      <c r="L531" s="27"/>
      <c r="N531" s="27"/>
      <c r="O531" s="27"/>
      <c r="P531" s="27"/>
      <c r="Q531" s="117" t="s">
        <v>1103</v>
      </c>
      <c r="R531" s="27"/>
      <c r="S531" s="27"/>
      <c r="T531" s="27"/>
      <c r="U531" s="27"/>
      <c r="V531" s="27"/>
      <c r="W531" s="27"/>
      <c r="X531" s="27"/>
      <c r="Y531" s="27"/>
      <c r="AE531" s="27"/>
      <c r="BD531" s="97"/>
      <c r="BE531" s="108"/>
      <c r="BF531" s="108"/>
      <c r="BG531" s="97"/>
      <c r="BH531" s="97"/>
      <c r="BI531" s="97"/>
      <c r="BJ531" s="97"/>
      <c r="BK531" s="110"/>
      <c r="BL531" s="97"/>
      <c r="BM531" s="97"/>
      <c r="BN531" s="97"/>
      <c r="BO531" s="147"/>
      <c r="BP531" s="143">
        <f t="shared" si="95"/>
        <v>0</v>
      </c>
      <c r="BQ531" s="147"/>
      <c r="BR531" s="143">
        <f t="shared" si="96"/>
        <v>0</v>
      </c>
      <c r="BS531" s="132"/>
      <c r="BT531" s="146">
        <f t="shared" si="97"/>
        <v>0</v>
      </c>
      <c r="BU531" s="66"/>
      <c r="BV531" s="143">
        <f t="shared" si="98"/>
        <v>0</v>
      </c>
      <c r="BW531" s="66"/>
      <c r="BX531" s="146">
        <f t="shared" si="99"/>
        <v>0</v>
      </c>
      <c r="BY531" s="66"/>
      <c r="BZ531" s="146">
        <f t="shared" si="100"/>
        <v>0</v>
      </c>
      <c r="CA531" s="66"/>
      <c r="CB531" s="146">
        <f t="shared" si="101"/>
        <v>0</v>
      </c>
      <c r="CC531" s="66"/>
      <c r="CD531" s="143">
        <f t="shared" si="102"/>
        <v>0</v>
      </c>
      <c r="CE531" s="66"/>
      <c r="CF531" s="143">
        <f t="shared" si="103"/>
        <v>0</v>
      </c>
      <c r="CG531" s="132"/>
      <c r="CH531" s="143">
        <f t="shared" si="104"/>
        <v>0</v>
      </c>
      <c r="CI531" s="132">
        <f t="shared" si="105"/>
        <v>0</v>
      </c>
      <c r="CJ531" s="143">
        <f t="shared" si="105"/>
        <v>0</v>
      </c>
    </row>
    <row r="532" spans="1:88" x14ac:dyDescent="0.3">
      <c r="A532" s="27"/>
      <c r="B532" s="27"/>
      <c r="C532" s="27"/>
      <c r="D532" s="27"/>
      <c r="E532" s="27"/>
      <c r="F532" s="27"/>
      <c r="G532" s="27"/>
      <c r="H532" s="27"/>
      <c r="I532" s="27"/>
      <c r="J532" s="27"/>
      <c r="K532" s="27"/>
      <c r="L532" s="27"/>
      <c r="N532" s="27"/>
      <c r="O532" s="27"/>
      <c r="P532" s="27"/>
      <c r="Q532" s="117" t="s">
        <v>1104</v>
      </c>
      <c r="R532" s="27"/>
      <c r="S532" s="27"/>
      <c r="T532" s="27"/>
      <c r="U532" s="27"/>
      <c r="V532" s="27"/>
      <c r="W532" s="27"/>
      <c r="X532" s="27"/>
      <c r="Y532" s="27"/>
      <c r="AE532" s="27"/>
      <c r="BD532" s="97"/>
      <c r="BE532" s="108"/>
      <c r="BF532" s="108"/>
      <c r="BG532" s="97"/>
      <c r="BH532" s="97"/>
      <c r="BI532" s="97"/>
      <c r="BJ532" s="97"/>
      <c r="BK532" s="110"/>
      <c r="BL532" s="97"/>
      <c r="BM532" s="97"/>
      <c r="BN532" s="97"/>
      <c r="BO532" s="147"/>
      <c r="BP532" s="143">
        <f t="shared" si="95"/>
        <v>0</v>
      </c>
      <c r="BQ532" s="147"/>
      <c r="BR532" s="143">
        <f t="shared" si="96"/>
        <v>0</v>
      </c>
      <c r="BS532" s="132"/>
      <c r="BT532" s="146">
        <f t="shared" si="97"/>
        <v>0</v>
      </c>
      <c r="BU532" s="66"/>
      <c r="BV532" s="143">
        <f t="shared" si="98"/>
        <v>0</v>
      </c>
      <c r="BW532" s="66"/>
      <c r="BX532" s="146">
        <f t="shared" si="99"/>
        <v>0</v>
      </c>
      <c r="BY532" s="66"/>
      <c r="BZ532" s="146">
        <f t="shared" si="100"/>
        <v>0</v>
      </c>
      <c r="CA532" s="66"/>
      <c r="CB532" s="146">
        <f t="shared" si="101"/>
        <v>0</v>
      </c>
      <c r="CC532" s="66"/>
      <c r="CD532" s="143">
        <f t="shared" si="102"/>
        <v>0</v>
      </c>
      <c r="CE532" s="66"/>
      <c r="CF532" s="143">
        <f t="shared" si="103"/>
        <v>0</v>
      </c>
      <c r="CG532" s="132"/>
      <c r="CH532" s="143">
        <f t="shared" si="104"/>
        <v>0</v>
      </c>
      <c r="CI532" s="132">
        <f t="shared" si="105"/>
        <v>0</v>
      </c>
      <c r="CJ532" s="143">
        <f t="shared" si="105"/>
        <v>0</v>
      </c>
    </row>
    <row r="533" spans="1:88" x14ac:dyDescent="0.3">
      <c r="A533" s="27"/>
      <c r="B533" s="27"/>
      <c r="C533" s="27"/>
      <c r="D533" s="27"/>
      <c r="E533" s="27"/>
      <c r="F533" s="27"/>
      <c r="G533" s="27"/>
      <c r="H533" s="27"/>
      <c r="I533" s="27"/>
      <c r="J533" s="27"/>
      <c r="K533" s="27"/>
      <c r="L533" s="27"/>
      <c r="N533" s="27"/>
      <c r="O533" s="27"/>
      <c r="P533" s="27"/>
      <c r="Q533" s="117" t="s">
        <v>1105</v>
      </c>
      <c r="R533" s="27"/>
      <c r="S533" s="27"/>
      <c r="T533" s="27"/>
      <c r="U533" s="27"/>
      <c r="V533" s="27"/>
      <c r="W533" s="27"/>
      <c r="X533" s="27"/>
      <c r="Y533" s="27"/>
      <c r="AE533" s="27"/>
      <c r="BD533" s="97"/>
      <c r="BE533" s="108"/>
      <c r="BF533" s="108"/>
      <c r="BG533" s="97"/>
      <c r="BH533" s="97"/>
      <c r="BI533" s="97"/>
      <c r="BJ533" s="97"/>
      <c r="BK533" s="110"/>
      <c r="BL533" s="97"/>
      <c r="BM533" s="97"/>
      <c r="BN533" s="97"/>
      <c r="BO533" s="147"/>
      <c r="BP533" s="143">
        <f t="shared" si="95"/>
        <v>0</v>
      </c>
      <c r="BQ533" s="147"/>
      <c r="BR533" s="143">
        <f t="shared" si="96"/>
        <v>0</v>
      </c>
      <c r="BS533" s="132"/>
      <c r="BT533" s="146">
        <f t="shared" si="97"/>
        <v>0</v>
      </c>
      <c r="BU533" s="66"/>
      <c r="BV533" s="143">
        <f t="shared" si="98"/>
        <v>0</v>
      </c>
      <c r="BW533" s="66"/>
      <c r="BX533" s="146">
        <f t="shared" si="99"/>
        <v>0</v>
      </c>
      <c r="BY533" s="66"/>
      <c r="BZ533" s="146">
        <f t="shared" si="100"/>
        <v>0</v>
      </c>
      <c r="CA533" s="66"/>
      <c r="CB533" s="146">
        <f t="shared" si="101"/>
        <v>0</v>
      </c>
      <c r="CC533" s="66"/>
      <c r="CD533" s="143">
        <f t="shared" si="102"/>
        <v>0</v>
      </c>
      <c r="CE533" s="66"/>
      <c r="CF533" s="143">
        <f t="shared" si="103"/>
        <v>0</v>
      </c>
      <c r="CG533" s="132"/>
      <c r="CH533" s="143">
        <f t="shared" si="104"/>
        <v>0</v>
      </c>
      <c r="CI533" s="132">
        <f t="shared" si="105"/>
        <v>0</v>
      </c>
      <c r="CJ533" s="143">
        <f t="shared" si="105"/>
        <v>0</v>
      </c>
    </row>
    <row r="534" spans="1:88" x14ac:dyDescent="0.3">
      <c r="A534" s="27"/>
      <c r="B534" s="27"/>
      <c r="C534" s="27"/>
      <c r="D534" s="27"/>
      <c r="E534" s="27"/>
      <c r="F534" s="27"/>
      <c r="G534" s="27"/>
      <c r="H534" s="27"/>
      <c r="I534" s="27"/>
      <c r="J534" s="27"/>
      <c r="K534" s="27"/>
      <c r="L534" s="27"/>
      <c r="N534" s="27"/>
      <c r="O534" s="27"/>
      <c r="P534" s="27"/>
      <c r="Q534" s="117" t="s">
        <v>1106</v>
      </c>
      <c r="R534" s="27"/>
      <c r="S534" s="27"/>
      <c r="T534" s="27"/>
      <c r="U534" s="27"/>
      <c r="V534" s="27"/>
      <c r="W534" s="27"/>
      <c r="X534" s="27"/>
      <c r="Y534" s="27"/>
      <c r="AE534" s="27"/>
      <c r="BD534" s="97"/>
      <c r="BE534" s="108"/>
      <c r="BF534" s="108"/>
      <c r="BG534" s="97"/>
      <c r="BH534" s="97"/>
      <c r="BI534" s="97"/>
      <c r="BJ534" s="97"/>
      <c r="BK534" s="110"/>
      <c r="BL534" s="97"/>
      <c r="BM534" s="97"/>
      <c r="BN534" s="97"/>
      <c r="BO534" s="147"/>
      <c r="BP534" s="143">
        <f t="shared" si="95"/>
        <v>0</v>
      </c>
      <c r="BQ534" s="147"/>
      <c r="BR534" s="143">
        <f t="shared" si="96"/>
        <v>0</v>
      </c>
      <c r="BS534" s="132"/>
      <c r="BT534" s="146">
        <f t="shared" si="97"/>
        <v>0</v>
      </c>
      <c r="BU534" s="66"/>
      <c r="BV534" s="143">
        <f t="shared" si="98"/>
        <v>0</v>
      </c>
      <c r="BW534" s="66"/>
      <c r="BX534" s="146">
        <f t="shared" si="99"/>
        <v>0</v>
      </c>
      <c r="BY534" s="66"/>
      <c r="BZ534" s="146">
        <f t="shared" si="100"/>
        <v>0</v>
      </c>
      <c r="CA534" s="66"/>
      <c r="CB534" s="146">
        <f t="shared" si="101"/>
        <v>0</v>
      </c>
      <c r="CC534" s="66"/>
      <c r="CD534" s="143">
        <f t="shared" si="102"/>
        <v>0</v>
      </c>
      <c r="CE534" s="66"/>
      <c r="CF534" s="143">
        <f t="shared" si="103"/>
        <v>0</v>
      </c>
      <c r="CG534" s="132"/>
      <c r="CH534" s="143">
        <f t="shared" si="104"/>
        <v>0</v>
      </c>
      <c r="CI534" s="132">
        <f t="shared" si="105"/>
        <v>0</v>
      </c>
      <c r="CJ534" s="143">
        <f t="shared" si="105"/>
        <v>0</v>
      </c>
    </row>
    <row r="535" spans="1:88" x14ac:dyDescent="0.3">
      <c r="A535" s="27"/>
      <c r="B535" s="27"/>
      <c r="C535" s="27"/>
      <c r="D535" s="27"/>
      <c r="E535" s="27"/>
      <c r="F535" s="27"/>
      <c r="G535" s="27"/>
      <c r="H535" s="27"/>
      <c r="I535" s="27"/>
      <c r="J535" s="27"/>
      <c r="K535" s="27"/>
      <c r="L535" s="27"/>
      <c r="N535" s="27"/>
      <c r="O535" s="27"/>
      <c r="P535" s="27"/>
      <c r="Q535" s="117" t="s">
        <v>1107</v>
      </c>
      <c r="R535" s="27"/>
      <c r="S535" s="27"/>
      <c r="T535" s="27"/>
      <c r="U535" s="27"/>
      <c r="V535" s="27"/>
      <c r="W535" s="27"/>
      <c r="X535" s="27"/>
      <c r="Y535" s="27"/>
      <c r="AE535" s="27"/>
      <c r="BD535" s="97"/>
      <c r="BE535" s="108"/>
      <c r="BF535" s="108"/>
      <c r="BG535" s="97"/>
      <c r="BH535" s="97"/>
      <c r="BI535" s="97"/>
      <c r="BJ535" s="97"/>
      <c r="BK535" s="110"/>
      <c r="BL535" s="97"/>
      <c r="BM535" s="97"/>
      <c r="BN535" s="97"/>
      <c r="BO535" s="147"/>
      <c r="BP535" s="143">
        <f t="shared" si="95"/>
        <v>0</v>
      </c>
      <c r="BQ535" s="147"/>
      <c r="BR535" s="143">
        <f t="shared" si="96"/>
        <v>0</v>
      </c>
      <c r="BS535" s="132"/>
      <c r="BT535" s="146">
        <f t="shared" si="97"/>
        <v>0</v>
      </c>
      <c r="BU535" s="66"/>
      <c r="BV535" s="143">
        <f t="shared" si="98"/>
        <v>0</v>
      </c>
      <c r="BW535" s="66"/>
      <c r="BX535" s="146">
        <f t="shared" si="99"/>
        <v>0</v>
      </c>
      <c r="BY535" s="66"/>
      <c r="BZ535" s="146">
        <f t="shared" si="100"/>
        <v>0</v>
      </c>
      <c r="CA535" s="66"/>
      <c r="CB535" s="146">
        <f t="shared" si="101"/>
        <v>0</v>
      </c>
      <c r="CC535" s="66"/>
      <c r="CD535" s="143">
        <f t="shared" si="102"/>
        <v>0</v>
      </c>
      <c r="CE535" s="66"/>
      <c r="CF535" s="143">
        <f t="shared" si="103"/>
        <v>0</v>
      </c>
      <c r="CG535" s="132"/>
      <c r="CH535" s="143">
        <f t="shared" si="104"/>
        <v>0</v>
      </c>
      <c r="CI535" s="132">
        <f t="shared" si="105"/>
        <v>0</v>
      </c>
      <c r="CJ535" s="143">
        <f t="shared" si="105"/>
        <v>0</v>
      </c>
    </row>
    <row r="536" spans="1:88" x14ac:dyDescent="0.3">
      <c r="A536" s="27"/>
      <c r="B536" s="27"/>
      <c r="C536" s="27"/>
      <c r="D536" s="27"/>
      <c r="E536" s="27"/>
      <c r="F536" s="27"/>
      <c r="G536" s="27"/>
      <c r="H536" s="27"/>
      <c r="I536" s="27"/>
      <c r="J536" s="27"/>
      <c r="K536" s="27"/>
      <c r="L536" s="27"/>
      <c r="N536" s="27"/>
      <c r="O536" s="27"/>
      <c r="P536" s="27"/>
      <c r="Q536" s="117" t="s">
        <v>1108</v>
      </c>
      <c r="R536" s="27"/>
      <c r="S536" s="27"/>
      <c r="T536" s="27"/>
      <c r="U536" s="27"/>
      <c r="V536" s="27"/>
      <c r="W536" s="27"/>
      <c r="X536" s="27"/>
      <c r="Y536" s="27"/>
      <c r="AE536" s="27"/>
      <c r="BD536" s="97"/>
      <c r="BE536" s="108"/>
      <c r="BF536" s="108"/>
      <c r="BG536" s="97"/>
      <c r="BH536" s="97"/>
      <c r="BI536" s="97"/>
      <c r="BJ536" s="97"/>
      <c r="BK536" s="110"/>
      <c r="BL536" s="97"/>
      <c r="BM536" s="97"/>
      <c r="BN536" s="97"/>
      <c r="BO536" s="147"/>
      <c r="BP536" s="143">
        <f t="shared" si="95"/>
        <v>0</v>
      </c>
      <c r="BQ536" s="147"/>
      <c r="BR536" s="143">
        <f t="shared" si="96"/>
        <v>0</v>
      </c>
      <c r="BS536" s="132"/>
      <c r="BT536" s="146">
        <f t="shared" si="97"/>
        <v>0</v>
      </c>
      <c r="BU536" s="66"/>
      <c r="BV536" s="143">
        <f t="shared" si="98"/>
        <v>0</v>
      </c>
      <c r="BW536" s="66"/>
      <c r="BX536" s="146">
        <f t="shared" si="99"/>
        <v>0</v>
      </c>
      <c r="BY536" s="66"/>
      <c r="BZ536" s="146">
        <f t="shared" si="100"/>
        <v>0</v>
      </c>
      <c r="CA536" s="66"/>
      <c r="CB536" s="146">
        <f t="shared" si="101"/>
        <v>0</v>
      </c>
      <c r="CC536" s="66"/>
      <c r="CD536" s="143">
        <f t="shared" si="102"/>
        <v>0</v>
      </c>
      <c r="CE536" s="66"/>
      <c r="CF536" s="143">
        <f t="shared" si="103"/>
        <v>0</v>
      </c>
      <c r="CG536" s="132"/>
      <c r="CH536" s="143">
        <f t="shared" si="104"/>
        <v>0</v>
      </c>
      <c r="CI536" s="132">
        <f t="shared" si="105"/>
        <v>0</v>
      </c>
      <c r="CJ536" s="143">
        <f t="shared" si="105"/>
        <v>0</v>
      </c>
    </row>
    <row r="537" spans="1:88" x14ac:dyDescent="0.3">
      <c r="A537" s="27"/>
      <c r="B537" s="27"/>
      <c r="C537" s="27"/>
      <c r="D537" s="27"/>
      <c r="E537" s="27"/>
      <c r="F537" s="27"/>
      <c r="G537" s="27"/>
      <c r="H537" s="27"/>
      <c r="I537" s="27"/>
      <c r="J537" s="27"/>
      <c r="K537" s="27"/>
      <c r="L537" s="27"/>
      <c r="N537" s="27"/>
      <c r="O537" s="27"/>
      <c r="P537" s="27"/>
      <c r="Q537" s="117" t="s">
        <v>1109</v>
      </c>
      <c r="R537" s="27"/>
      <c r="S537" s="27"/>
      <c r="T537" s="27"/>
      <c r="U537" s="27"/>
      <c r="V537" s="27"/>
      <c r="W537" s="27"/>
      <c r="X537" s="27"/>
      <c r="Y537" s="27"/>
      <c r="AE537" s="27"/>
      <c r="BD537" s="97"/>
      <c r="BE537" s="108"/>
      <c r="BF537" s="108"/>
      <c r="BG537" s="97"/>
      <c r="BH537" s="97"/>
      <c r="BI537" s="97"/>
      <c r="BJ537" s="97"/>
      <c r="BK537" s="110"/>
      <c r="BL537" s="97"/>
      <c r="BM537" s="97"/>
      <c r="BN537" s="97"/>
      <c r="BO537" s="147"/>
      <c r="BP537" s="143">
        <f t="shared" si="95"/>
        <v>0</v>
      </c>
      <c r="BQ537" s="147"/>
      <c r="BR537" s="143">
        <f t="shared" si="96"/>
        <v>0</v>
      </c>
      <c r="BS537" s="132"/>
      <c r="BT537" s="146">
        <f t="shared" si="97"/>
        <v>0</v>
      </c>
      <c r="BU537" s="66"/>
      <c r="BV537" s="143">
        <f t="shared" si="98"/>
        <v>0</v>
      </c>
      <c r="BW537" s="66"/>
      <c r="BX537" s="146">
        <f t="shared" si="99"/>
        <v>0</v>
      </c>
      <c r="BY537" s="66"/>
      <c r="BZ537" s="146">
        <f t="shared" si="100"/>
        <v>0</v>
      </c>
      <c r="CA537" s="66"/>
      <c r="CB537" s="146">
        <f t="shared" si="101"/>
        <v>0</v>
      </c>
      <c r="CC537" s="66"/>
      <c r="CD537" s="143">
        <f t="shared" si="102"/>
        <v>0</v>
      </c>
      <c r="CE537" s="66"/>
      <c r="CF537" s="143">
        <f t="shared" si="103"/>
        <v>0</v>
      </c>
      <c r="CG537" s="132"/>
      <c r="CH537" s="143">
        <f t="shared" si="104"/>
        <v>0</v>
      </c>
      <c r="CI537" s="132">
        <f t="shared" si="105"/>
        <v>0</v>
      </c>
      <c r="CJ537" s="143">
        <f t="shared" si="105"/>
        <v>0</v>
      </c>
    </row>
    <row r="538" spans="1:88" x14ac:dyDescent="0.3">
      <c r="A538" s="27"/>
      <c r="B538" s="27"/>
      <c r="C538" s="27"/>
      <c r="D538" s="27"/>
      <c r="E538" s="27"/>
      <c r="F538" s="27"/>
      <c r="G538" s="27"/>
      <c r="H538" s="27"/>
      <c r="I538" s="27"/>
      <c r="J538" s="27"/>
      <c r="K538" s="27"/>
      <c r="L538" s="27"/>
      <c r="N538" s="27"/>
      <c r="O538" s="27"/>
      <c r="P538" s="27"/>
      <c r="Q538" s="117" t="s">
        <v>1110</v>
      </c>
      <c r="R538" s="27"/>
      <c r="S538" s="27"/>
      <c r="T538" s="27"/>
      <c r="U538" s="27"/>
      <c r="V538" s="27"/>
      <c r="W538" s="27"/>
      <c r="X538" s="27"/>
      <c r="Y538" s="27"/>
      <c r="AE538" s="27"/>
      <c r="BD538" s="97"/>
      <c r="BE538" s="108"/>
      <c r="BF538" s="108"/>
      <c r="BG538" s="97"/>
      <c r="BH538" s="97"/>
      <c r="BI538" s="97"/>
      <c r="BJ538" s="97"/>
      <c r="BK538" s="110"/>
      <c r="BL538" s="97"/>
      <c r="BM538" s="97"/>
      <c r="BN538" s="97"/>
      <c r="BO538" s="147"/>
      <c r="BP538" s="143">
        <f t="shared" si="95"/>
        <v>0</v>
      </c>
      <c r="BQ538" s="147"/>
      <c r="BR538" s="143">
        <f t="shared" si="96"/>
        <v>0</v>
      </c>
      <c r="BS538" s="132"/>
      <c r="BT538" s="146">
        <f t="shared" si="97"/>
        <v>0</v>
      </c>
      <c r="BU538" s="66"/>
      <c r="BV538" s="143">
        <f t="shared" si="98"/>
        <v>0</v>
      </c>
      <c r="BW538" s="66"/>
      <c r="BX538" s="146">
        <f t="shared" si="99"/>
        <v>0</v>
      </c>
      <c r="BY538" s="66"/>
      <c r="BZ538" s="146">
        <f t="shared" si="100"/>
        <v>0</v>
      </c>
      <c r="CA538" s="66"/>
      <c r="CB538" s="146">
        <f t="shared" si="101"/>
        <v>0</v>
      </c>
      <c r="CC538" s="66"/>
      <c r="CD538" s="143">
        <f t="shared" si="102"/>
        <v>0</v>
      </c>
      <c r="CE538" s="66"/>
      <c r="CF538" s="143">
        <f t="shared" si="103"/>
        <v>0</v>
      </c>
      <c r="CG538" s="132"/>
      <c r="CH538" s="143">
        <f t="shared" si="104"/>
        <v>0</v>
      </c>
      <c r="CI538" s="132">
        <f t="shared" si="105"/>
        <v>0</v>
      </c>
      <c r="CJ538" s="143">
        <f t="shared" si="105"/>
        <v>0</v>
      </c>
    </row>
    <row r="539" spans="1:88" ht="27.6" x14ac:dyDescent="0.3">
      <c r="A539" s="27"/>
      <c r="B539" s="27"/>
      <c r="C539" s="27"/>
      <c r="D539" s="27"/>
      <c r="E539" s="27"/>
      <c r="F539" s="27"/>
      <c r="G539" s="27"/>
      <c r="H539" s="27"/>
      <c r="I539" s="27"/>
      <c r="J539" s="27"/>
      <c r="K539" s="27"/>
      <c r="L539" s="27"/>
      <c r="N539" s="27"/>
      <c r="O539" s="27"/>
      <c r="P539" s="27"/>
      <c r="Q539" s="117" t="s">
        <v>1111</v>
      </c>
      <c r="R539" s="27"/>
      <c r="S539" s="27"/>
      <c r="T539" s="27"/>
      <c r="U539" s="27"/>
      <c r="V539" s="27"/>
      <c r="W539" s="27"/>
      <c r="X539" s="27"/>
      <c r="Y539" s="27"/>
      <c r="AE539" s="27"/>
      <c r="BD539" s="97"/>
      <c r="BE539" s="108"/>
      <c r="BF539" s="108"/>
      <c r="BG539" s="97"/>
      <c r="BH539" s="97"/>
      <c r="BI539" s="97"/>
      <c r="BJ539" s="97"/>
      <c r="BK539" s="110"/>
      <c r="BL539" s="97"/>
      <c r="BM539" s="97"/>
      <c r="BN539" s="97"/>
      <c r="BO539" s="147"/>
      <c r="BP539" s="143">
        <f t="shared" si="95"/>
        <v>0</v>
      </c>
      <c r="BQ539" s="147"/>
      <c r="BR539" s="143">
        <f t="shared" si="96"/>
        <v>0</v>
      </c>
      <c r="BS539" s="132"/>
      <c r="BT539" s="146">
        <f t="shared" si="97"/>
        <v>0</v>
      </c>
      <c r="BU539" s="66"/>
      <c r="BV539" s="143">
        <f t="shared" si="98"/>
        <v>0</v>
      </c>
      <c r="BW539" s="66"/>
      <c r="BX539" s="146">
        <f t="shared" si="99"/>
        <v>0</v>
      </c>
      <c r="BY539" s="66"/>
      <c r="BZ539" s="146">
        <f t="shared" si="100"/>
        <v>0</v>
      </c>
      <c r="CA539" s="66"/>
      <c r="CB539" s="146">
        <f t="shared" si="101"/>
        <v>0</v>
      </c>
      <c r="CC539" s="66"/>
      <c r="CD539" s="143">
        <f t="shared" si="102"/>
        <v>0</v>
      </c>
      <c r="CE539" s="66"/>
      <c r="CF539" s="143">
        <f t="shared" si="103"/>
        <v>0</v>
      </c>
      <c r="CG539" s="132"/>
      <c r="CH539" s="143">
        <f t="shared" si="104"/>
        <v>0</v>
      </c>
      <c r="CI539" s="132">
        <f t="shared" si="105"/>
        <v>0</v>
      </c>
      <c r="CJ539" s="143">
        <f t="shared" si="105"/>
        <v>0</v>
      </c>
    </row>
    <row r="540" spans="1:88" x14ac:dyDescent="0.3">
      <c r="A540" s="27"/>
      <c r="B540" s="27"/>
      <c r="C540" s="27"/>
      <c r="D540" s="27"/>
      <c r="E540" s="27"/>
      <c r="F540" s="27"/>
      <c r="G540" s="27"/>
      <c r="H540" s="27"/>
      <c r="I540" s="27"/>
      <c r="J540" s="27"/>
      <c r="K540" s="27"/>
      <c r="L540" s="27"/>
      <c r="N540" s="27"/>
      <c r="O540" s="27"/>
      <c r="P540" s="27"/>
      <c r="Q540" s="117" t="s">
        <v>1112</v>
      </c>
      <c r="R540" s="27"/>
      <c r="S540" s="27"/>
      <c r="T540" s="27"/>
      <c r="U540" s="27"/>
      <c r="V540" s="27"/>
      <c r="W540" s="27"/>
      <c r="X540" s="27"/>
      <c r="Y540" s="27"/>
      <c r="AE540" s="27"/>
      <c r="BD540" s="97"/>
      <c r="BE540" s="108"/>
      <c r="BF540" s="108"/>
      <c r="BG540" s="97"/>
      <c r="BH540" s="97"/>
      <c r="BI540" s="97"/>
      <c r="BJ540" s="97"/>
      <c r="BK540" s="110"/>
      <c r="BL540" s="97"/>
      <c r="BM540" s="97"/>
      <c r="BN540" s="97"/>
      <c r="BO540" s="147"/>
      <c r="BP540" s="143">
        <f t="shared" si="95"/>
        <v>0</v>
      </c>
      <c r="BQ540" s="147"/>
      <c r="BR540" s="143">
        <f t="shared" si="96"/>
        <v>0</v>
      </c>
      <c r="BS540" s="132"/>
      <c r="BT540" s="146">
        <f t="shared" si="97"/>
        <v>0</v>
      </c>
      <c r="BU540" s="66"/>
      <c r="BV540" s="143">
        <f t="shared" si="98"/>
        <v>0</v>
      </c>
      <c r="BW540" s="66"/>
      <c r="BX540" s="146">
        <f t="shared" si="99"/>
        <v>0</v>
      </c>
      <c r="BY540" s="66"/>
      <c r="BZ540" s="146">
        <f t="shared" si="100"/>
        <v>0</v>
      </c>
      <c r="CA540" s="66"/>
      <c r="CB540" s="146">
        <f t="shared" si="101"/>
        <v>0</v>
      </c>
      <c r="CC540" s="66"/>
      <c r="CD540" s="143">
        <f t="shared" si="102"/>
        <v>0</v>
      </c>
      <c r="CE540" s="66"/>
      <c r="CF540" s="143">
        <f t="shared" si="103"/>
        <v>0</v>
      </c>
      <c r="CG540" s="132"/>
      <c r="CH540" s="143">
        <f t="shared" si="104"/>
        <v>0</v>
      </c>
      <c r="CI540" s="132">
        <f t="shared" si="105"/>
        <v>0</v>
      </c>
      <c r="CJ540" s="143">
        <f t="shared" si="105"/>
        <v>0</v>
      </c>
    </row>
    <row r="541" spans="1:88" x14ac:dyDescent="0.3">
      <c r="A541" s="27"/>
      <c r="B541" s="27"/>
      <c r="C541" s="27"/>
      <c r="D541" s="27"/>
      <c r="E541" s="27"/>
      <c r="F541" s="27"/>
      <c r="G541" s="27"/>
      <c r="H541" s="27"/>
      <c r="I541" s="27"/>
      <c r="J541" s="27"/>
      <c r="K541" s="27"/>
      <c r="L541" s="27"/>
      <c r="N541" s="27"/>
      <c r="O541" s="27"/>
      <c r="P541" s="27"/>
      <c r="Q541" s="117" t="s">
        <v>1113</v>
      </c>
      <c r="R541" s="27"/>
      <c r="S541" s="27"/>
      <c r="T541" s="27"/>
      <c r="U541" s="27"/>
      <c r="V541" s="27"/>
      <c r="W541" s="27"/>
      <c r="X541" s="27"/>
      <c r="Y541" s="27"/>
      <c r="AE541" s="27"/>
      <c r="BD541" s="97"/>
      <c r="BE541" s="108"/>
      <c r="BF541" s="108"/>
      <c r="BG541" s="97"/>
      <c r="BH541" s="97"/>
      <c r="BI541" s="97"/>
      <c r="BJ541" s="97"/>
      <c r="BK541" s="110"/>
      <c r="BL541" s="97"/>
      <c r="BM541" s="97"/>
      <c r="BN541" s="97"/>
      <c r="BO541" s="147"/>
      <c r="BP541" s="143">
        <f t="shared" si="95"/>
        <v>0</v>
      </c>
      <c r="BQ541" s="147"/>
      <c r="BR541" s="143">
        <f t="shared" si="96"/>
        <v>0</v>
      </c>
      <c r="BS541" s="132"/>
      <c r="BT541" s="146">
        <f t="shared" si="97"/>
        <v>0</v>
      </c>
      <c r="BU541" s="66"/>
      <c r="BV541" s="143">
        <f t="shared" si="98"/>
        <v>0</v>
      </c>
      <c r="BW541" s="66"/>
      <c r="BX541" s="146">
        <f t="shared" si="99"/>
        <v>0</v>
      </c>
      <c r="BY541" s="66"/>
      <c r="BZ541" s="146">
        <f t="shared" si="100"/>
        <v>0</v>
      </c>
      <c r="CA541" s="66"/>
      <c r="CB541" s="146">
        <f t="shared" si="101"/>
        <v>0</v>
      </c>
      <c r="CC541" s="66"/>
      <c r="CD541" s="143">
        <f t="shared" si="102"/>
        <v>0</v>
      </c>
      <c r="CE541" s="66"/>
      <c r="CF541" s="143">
        <f t="shared" si="103"/>
        <v>0</v>
      </c>
      <c r="CG541" s="132"/>
      <c r="CH541" s="143">
        <f t="shared" si="104"/>
        <v>0</v>
      </c>
      <c r="CI541" s="132">
        <f t="shared" si="105"/>
        <v>0</v>
      </c>
      <c r="CJ541" s="143">
        <f t="shared" si="105"/>
        <v>0</v>
      </c>
    </row>
    <row r="542" spans="1:88" x14ac:dyDescent="0.3">
      <c r="A542" s="27"/>
      <c r="B542" s="27"/>
      <c r="C542" s="27"/>
      <c r="D542" s="27"/>
      <c r="E542" s="27"/>
      <c r="F542" s="27"/>
      <c r="G542" s="27"/>
      <c r="H542" s="27"/>
      <c r="I542" s="27"/>
      <c r="J542" s="27"/>
      <c r="K542" s="27"/>
      <c r="L542" s="27"/>
      <c r="N542" s="27"/>
      <c r="O542" s="27"/>
      <c r="P542" s="27"/>
      <c r="Q542" s="117" t="s">
        <v>1114</v>
      </c>
      <c r="R542" s="27"/>
      <c r="S542" s="27"/>
      <c r="T542" s="27"/>
      <c r="U542" s="27"/>
      <c r="V542" s="27"/>
      <c r="W542" s="27"/>
      <c r="X542" s="27"/>
      <c r="Y542" s="27"/>
      <c r="AE542" s="27"/>
      <c r="BD542" s="97"/>
      <c r="BE542" s="108"/>
      <c r="BF542" s="108"/>
      <c r="BG542" s="97"/>
      <c r="BH542" s="97"/>
      <c r="BI542" s="97"/>
      <c r="BJ542" s="97"/>
      <c r="BK542" s="110"/>
      <c r="BL542" s="97"/>
      <c r="BM542" s="97"/>
      <c r="BN542" s="97"/>
      <c r="BO542" s="147"/>
      <c r="BP542" s="143">
        <f t="shared" si="95"/>
        <v>0</v>
      </c>
      <c r="BQ542" s="147"/>
      <c r="BR542" s="143">
        <f t="shared" si="96"/>
        <v>0</v>
      </c>
      <c r="BS542" s="132"/>
      <c r="BT542" s="146">
        <f t="shared" si="97"/>
        <v>0</v>
      </c>
      <c r="BU542" s="66"/>
      <c r="BV542" s="143">
        <f t="shared" si="98"/>
        <v>0</v>
      </c>
      <c r="BW542" s="66"/>
      <c r="BX542" s="146">
        <f t="shared" si="99"/>
        <v>0</v>
      </c>
      <c r="BY542" s="66"/>
      <c r="BZ542" s="146">
        <f t="shared" si="100"/>
        <v>0</v>
      </c>
      <c r="CA542" s="66"/>
      <c r="CB542" s="146">
        <f t="shared" si="101"/>
        <v>0</v>
      </c>
      <c r="CC542" s="66"/>
      <c r="CD542" s="143">
        <f t="shared" si="102"/>
        <v>0</v>
      </c>
      <c r="CE542" s="66"/>
      <c r="CF542" s="143">
        <f t="shared" si="103"/>
        <v>0</v>
      </c>
      <c r="CG542" s="132"/>
      <c r="CH542" s="143">
        <f t="shared" si="104"/>
        <v>0</v>
      </c>
      <c r="CI542" s="132">
        <f t="shared" si="105"/>
        <v>0</v>
      </c>
      <c r="CJ542" s="143">
        <f t="shared" si="105"/>
        <v>0</v>
      </c>
    </row>
    <row r="543" spans="1:88" x14ac:dyDescent="0.3">
      <c r="A543" s="27"/>
      <c r="B543" s="27"/>
      <c r="C543" s="27"/>
      <c r="D543" s="27"/>
      <c r="E543" s="27"/>
      <c r="F543" s="27"/>
      <c r="G543" s="27"/>
      <c r="H543" s="27"/>
      <c r="I543" s="27"/>
      <c r="J543" s="27"/>
      <c r="K543" s="27"/>
      <c r="L543" s="27"/>
      <c r="N543" s="27"/>
      <c r="O543" s="27"/>
      <c r="P543" s="27"/>
      <c r="Q543" s="117" t="s">
        <v>1115</v>
      </c>
      <c r="R543" s="27"/>
      <c r="S543" s="27"/>
      <c r="T543" s="27"/>
      <c r="U543" s="27"/>
      <c r="V543" s="27"/>
      <c r="W543" s="27"/>
      <c r="X543" s="27"/>
      <c r="Y543" s="27"/>
      <c r="AE543" s="27"/>
      <c r="BD543" s="97"/>
      <c r="BE543" s="108"/>
      <c r="BF543" s="108"/>
      <c r="BG543" s="97"/>
      <c r="BH543" s="97"/>
      <c r="BI543" s="97"/>
      <c r="BJ543" s="97"/>
      <c r="BK543" s="110"/>
      <c r="BL543" s="97"/>
      <c r="BM543" s="97"/>
      <c r="BN543" s="97"/>
      <c r="BO543" s="147"/>
      <c r="BP543" s="143">
        <f t="shared" si="95"/>
        <v>0</v>
      </c>
      <c r="BQ543" s="147"/>
      <c r="BR543" s="143">
        <f t="shared" si="96"/>
        <v>0</v>
      </c>
      <c r="BS543" s="132"/>
      <c r="BT543" s="146">
        <f t="shared" si="97"/>
        <v>0</v>
      </c>
      <c r="BU543" s="66"/>
      <c r="BV543" s="143">
        <f t="shared" si="98"/>
        <v>0</v>
      </c>
      <c r="BW543" s="66"/>
      <c r="BX543" s="146">
        <f t="shared" si="99"/>
        <v>0</v>
      </c>
      <c r="BY543" s="66"/>
      <c r="BZ543" s="146">
        <f t="shared" si="100"/>
        <v>0</v>
      </c>
      <c r="CA543" s="66"/>
      <c r="CB543" s="146">
        <f t="shared" si="101"/>
        <v>0</v>
      </c>
      <c r="CC543" s="66"/>
      <c r="CD543" s="143">
        <f t="shared" si="102"/>
        <v>0</v>
      </c>
      <c r="CE543" s="66"/>
      <c r="CF543" s="143">
        <f t="shared" si="103"/>
        <v>0</v>
      </c>
      <c r="CG543" s="132"/>
      <c r="CH543" s="143">
        <f t="shared" si="104"/>
        <v>0</v>
      </c>
      <c r="CI543" s="132">
        <f t="shared" si="105"/>
        <v>0</v>
      </c>
      <c r="CJ543" s="143">
        <f t="shared" si="105"/>
        <v>0</v>
      </c>
    </row>
    <row r="544" spans="1:88" x14ac:dyDescent="0.3">
      <c r="A544" s="27"/>
      <c r="B544" s="27"/>
      <c r="C544" s="27"/>
      <c r="D544" s="27"/>
      <c r="E544" s="27"/>
      <c r="F544" s="27"/>
      <c r="G544" s="27"/>
      <c r="H544" s="27"/>
      <c r="I544" s="27"/>
      <c r="J544" s="27"/>
      <c r="K544" s="27"/>
      <c r="L544" s="27"/>
      <c r="N544" s="27"/>
      <c r="O544" s="27"/>
      <c r="P544" s="27"/>
      <c r="Q544" s="117" t="s">
        <v>1116</v>
      </c>
      <c r="R544" s="27"/>
      <c r="S544" s="27"/>
      <c r="T544" s="27"/>
      <c r="U544" s="27"/>
      <c r="V544" s="27"/>
      <c r="W544" s="27"/>
      <c r="X544" s="27"/>
      <c r="Y544" s="27"/>
      <c r="AE544" s="27"/>
      <c r="BD544" s="97"/>
      <c r="BE544" s="108"/>
      <c r="BF544" s="108"/>
      <c r="BG544" s="97"/>
      <c r="BH544" s="97"/>
      <c r="BI544" s="97"/>
      <c r="BJ544" s="97"/>
      <c r="BK544" s="110"/>
      <c r="BL544" s="97"/>
      <c r="BM544" s="97"/>
      <c r="BN544" s="97"/>
      <c r="BO544" s="147"/>
      <c r="BP544" s="143">
        <f t="shared" si="95"/>
        <v>0</v>
      </c>
      <c r="BQ544" s="147"/>
      <c r="BR544" s="143">
        <f t="shared" si="96"/>
        <v>0</v>
      </c>
      <c r="BS544" s="132"/>
      <c r="BT544" s="146">
        <f t="shared" si="97"/>
        <v>0</v>
      </c>
      <c r="BU544" s="66"/>
      <c r="BV544" s="143">
        <f t="shared" si="98"/>
        <v>0</v>
      </c>
      <c r="BW544" s="66"/>
      <c r="BX544" s="146">
        <f t="shared" si="99"/>
        <v>0</v>
      </c>
      <c r="BY544" s="66"/>
      <c r="BZ544" s="146">
        <f t="shared" si="100"/>
        <v>0</v>
      </c>
      <c r="CA544" s="66"/>
      <c r="CB544" s="146">
        <f t="shared" si="101"/>
        <v>0</v>
      </c>
      <c r="CC544" s="66"/>
      <c r="CD544" s="143">
        <f t="shared" si="102"/>
        <v>0</v>
      </c>
      <c r="CE544" s="66"/>
      <c r="CF544" s="143">
        <f t="shared" si="103"/>
        <v>0</v>
      </c>
      <c r="CG544" s="132"/>
      <c r="CH544" s="143">
        <f t="shared" si="104"/>
        <v>0</v>
      </c>
      <c r="CI544" s="132">
        <f t="shared" si="105"/>
        <v>0</v>
      </c>
      <c r="CJ544" s="143">
        <f t="shared" si="105"/>
        <v>0</v>
      </c>
    </row>
    <row r="545" spans="1:88" x14ac:dyDescent="0.3">
      <c r="A545" s="27"/>
      <c r="B545" s="27"/>
      <c r="C545" s="27"/>
      <c r="D545" s="27"/>
      <c r="E545" s="27"/>
      <c r="F545" s="27"/>
      <c r="G545" s="27"/>
      <c r="H545" s="27"/>
      <c r="I545" s="27"/>
      <c r="J545" s="27"/>
      <c r="K545" s="27"/>
      <c r="L545" s="27"/>
      <c r="N545" s="27"/>
      <c r="O545" s="27"/>
      <c r="P545" s="27"/>
      <c r="Q545" s="117" t="s">
        <v>1117</v>
      </c>
      <c r="R545" s="27"/>
      <c r="S545" s="27"/>
      <c r="T545" s="27"/>
      <c r="U545" s="27"/>
      <c r="V545" s="27"/>
      <c r="W545" s="27"/>
      <c r="X545" s="27"/>
      <c r="Y545" s="27"/>
      <c r="AE545" s="27"/>
      <c r="BD545" s="97"/>
      <c r="BE545" s="108"/>
      <c r="BF545" s="108"/>
      <c r="BG545" s="97"/>
      <c r="BH545" s="97"/>
      <c r="BI545" s="97"/>
      <c r="BJ545" s="97"/>
      <c r="BK545" s="110"/>
      <c r="BL545" s="97"/>
      <c r="BM545" s="97"/>
      <c r="BN545" s="97"/>
      <c r="BO545" s="147"/>
      <c r="BP545" s="143">
        <f t="shared" si="95"/>
        <v>0</v>
      </c>
      <c r="BQ545" s="147"/>
      <c r="BR545" s="143">
        <f t="shared" si="96"/>
        <v>0</v>
      </c>
      <c r="BS545" s="132"/>
      <c r="BT545" s="146">
        <f t="shared" si="97"/>
        <v>0</v>
      </c>
      <c r="BU545" s="66"/>
      <c r="BV545" s="143">
        <f t="shared" si="98"/>
        <v>0</v>
      </c>
      <c r="BW545" s="66"/>
      <c r="BX545" s="146">
        <f t="shared" si="99"/>
        <v>0</v>
      </c>
      <c r="BY545" s="66"/>
      <c r="BZ545" s="146">
        <f t="shared" si="100"/>
        <v>0</v>
      </c>
      <c r="CA545" s="66"/>
      <c r="CB545" s="146">
        <f t="shared" si="101"/>
        <v>0</v>
      </c>
      <c r="CC545" s="66"/>
      <c r="CD545" s="143">
        <f t="shared" si="102"/>
        <v>0</v>
      </c>
      <c r="CE545" s="66"/>
      <c r="CF545" s="143">
        <f t="shared" si="103"/>
        <v>0</v>
      </c>
      <c r="CG545" s="132"/>
      <c r="CH545" s="143">
        <f t="shared" si="104"/>
        <v>0</v>
      </c>
      <c r="CI545" s="132">
        <f t="shared" si="105"/>
        <v>0</v>
      </c>
      <c r="CJ545" s="143">
        <f t="shared" si="105"/>
        <v>0</v>
      </c>
    </row>
    <row r="546" spans="1:88" x14ac:dyDescent="0.3">
      <c r="A546" s="27"/>
      <c r="B546" s="27"/>
      <c r="C546" s="27"/>
      <c r="D546" s="27"/>
      <c r="E546" s="27"/>
      <c r="F546" s="27"/>
      <c r="G546" s="27"/>
      <c r="H546" s="27"/>
      <c r="I546" s="27"/>
      <c r="J546" s="27"/>
      <c r="K546" s="27"/>
      <c r="L546" s="27"/>
      <c r="N546" s="27"/>
      <c r="O546" s="27"/>
      <c r="P546" s="27"/>
      <c r="Q546" s="117" t="s">
        <v>1118</v>
      </c>
      <c r="R546" s="27"/>
      <c r="S546" s="27"/>
      <c r="T546" s="27"/>
      <c r="U546" s="27"/>
      <c r="V546" s="27"/>
      <c r="W546" s="27"/>
      <c r="X546" s="27"/>
      <c r="Y546" s="27"/>
      <c r="AE546" s="27"/>
      <c r="BD546" s="97"/>
      <c r="BE546" s="108"/>
      <c r="BF546" s="108"/>
      <c r="BG546" s="97"/>
      <c r="BH546" s="97"/>
      <c r="BI546" s="97"/>
      <c r="BJ546" s="97"/>
      <c r="BK546" s="110"/>
      <c r="BL546" s="97"/>
      <c r="BM546" s="97"/>
      <c r="BN546" s="97"/>
      <c r="BO546" s="147"/>
      <c r="BP546" s="143">
        <f t="shared" si="95"/>
        <v>0</v>
      </c>
      <c r="BQ546" s="147"/>
      <c r="BR546" s="143">
        <f t="shared" si="96"/>
        <v>0</v>
      </c>
      <c r="BS546" s="132"/>
      <c r="BT546" s="146">
        <f t="shared" si="97"/>
        <v>0</v>
      </c>
      <c r="BU546" s="66"/>
      <c r="BV546" s="143">
        <f t="shared" si="98"/>
        <v>0</v>
      </c>
      <c r="BW546" s="66"/>
      <c r="BX546" s="146">
        <f t="shared" si="99"/>
        <v>0</v>
      </c>
      <c r="BY546" s="66"/>
      <c r="BZ546" s="146">
        <f t="shared" si="100"/>
        <v>0</v>
      </c>
      <c r="CA546" s="66"/>
      <c r="CB546" s="146">
        <f t="shared" si="101"/>
        <v>0</v>
      </c>
      <c r="CC546" s="66"/>
      <c r="CD546" s="143">
        <f t="shared" si="102"/>
        <v>0</v>
      </c>
      <c r="CE546" s="66"/>
      <c r="CF546" s="143">
        <f t="shared" si="103"/>
        <v>0</v>
      </c>
      <c r="CG546" s="132"/>
      <c r="CH546" s="143">
        <f t="shared" si="104"/>
        <v>0</v>
      </c>
      <c r="CI546" s="132">
        <f t="shared" si="105"/>
        <v>0</v>
      </c>
      <c r="CJ546" s="143">
        <f t="shared" si="105"/>
        <v>0</v>
      </c>
    </row>
    <row r="547" spans="1:88" x14ac:dyDescent="0.3">
      <c r="A547" s="27"/>
      <c r="B547" s="27"/>
      <c r="C547" s="27"/>
      <c r="D547" s="27"/>
      <c r="E547" s="27"/>
      <c r="F547" s="27"/>
      <c r="G547" s="27"/>
      <c r="H547" s="27"/>
      <c r="I547" s="27"/>
      <c r="J547" s="27"/>
      <c r="K547" s="27"/>
      <c r="L547" s="27"/>
      <c r="N547" s="27"/>
      <c r="O547" s="27"/>
      <c r="P547" s="27"/>
      <c r="Q547" s="117" t="s">
        <v>1119</v>
      </c>
      <c r="R547" s="27"/>
      <c r="S547" s="27"/>
      <c r="T547" s="27"/>
      <c r="U547" s="27"/>
      <c r="V547" s="27"/>
      <c r="W547" s="27"/>
      <c r="X547" s="27"/>
      <c r="Y547" s="27"/>
      <c r="AE547" s="27"/>
      <c r="BD547" s="97"/>
      <c r="BE547" s="108"/>
      <c r="BF547" s="108"/>
      <c r="BG547" s="97"/>
      <c r="BH547" s="97"/>
      <c r="BI547" s="97"/>
      <c r="BJ547" s="97"/>
      <c r="BK547" s="110"/>
      <c r="BL547" s="97"/>
      <c r="BM547" s="97"/>
      <c r="BN547" s="97"/>
      <c r="BO547" s="147"/>
      <c r="BP547" s="143">
        <f t="shared" si="95"/>
        <v>0</v>
      </c>
      <c r="BQ547" s="147"/>
      <c r="BR547" s="143">
        <f t="shared" si="96"/>
        <v>0</v>
      </c>
      <c r="BS547" s="132"/>
      <c r="BT547" s="146">
        <f t="shared" si="97"/>
        <v>0</v>
      </c>
      <c r="BU547" s="66"/>
      <c r="BV547" s="143">
        <f t="shared" si="98"/>
        <v>0</v>
      </c>
      <c r="BW547" s="66"/>
      <c r="BX547" s="146">
        <f t="shared" si="99"/>
        <v>0</v>
      </c>
      <c r="BY547" s="66"/>
      <c r="BZ547" s="146">
        <f t="shared" si="100"/>
        <v>0</v>
      </c>
      <c r="CA547" s="66"/>
      <c r="CB547" s="146">
        <f t="shared" si="101"/>
        <v>0</v>
      </c>
      <c r="CC547" s="66"/>
      <c r="CD547" s="143">
        <f t="shared" si="102"/>
        <v>0</v>
      </c>
      <c r="CE547" s="66"/>
      <c r="CF547" s="143">
        <f t="shared" si="103"/>
        <v>0</v>
      </c>
      <c r="CG547" s="132"/>
      <c r="CH547" s="143">
        <f t="shared" si="104"/>
        <v>0</v>
      </c>
      <c r="CI547" s="132">
        <f t="shared" si="105"/>
        <v>0</v>
      </c>
      <c r="CJ547" s="143">
        <f t="shared" si="105"/>
        <v>0</v>
      </c>
    </row>
    <row r="548" spans="1:88" x14ac:dyDescent="0.3">
      <c r="A548" s="27"/>
      <c r="B548" s="27"/>
      <c r="C548" s="27"/>
      <c r="D548" s="27"/>
      <c r="E548" s="27"/>
      <c r="F548" s="27"/>
      <c r="G548" s="27"/>
      <c r="H548" s="27"/>
      <c r="I548" s="27"/>
      <c r="J548" s="27"/>
      <c r="K548" s="27"/>
      <c r="L548" s="27"/>
      <c r="N548" s="27"/>
      <c r="O548" s="27"/>
      <c r="P548" s="27"/>
      <c r="Q548" s="117" t="s">
        <v>1120</v>
      </c>
      <c r="R548" s="27"/>
      <c r="S548" s="27"/>
      <c r="T548" s="27"/>
      <c r="U548" s="27"/>
      <c r="V548" s="27"/>
      <c r="W548" s="27"/>
      <c r="X548" s="27"/>
      <c r="Y548" s="27"/>
      <c r="AE548" s="27"/>
      <c r="BD548" s="97"/>
      <c r="BE548" s="108"/>
      <c r="BF548" s="108"/>
      <c r="BG548" s="97"/>
      <c r="BH548" s="97"/>
      <c r="BI548" s="97"/>
      <c r="BJ548" s="97"/>
      <c r="BK548" s="110"/>
      <c r="BL548" s="97"/>
      <c r="BM548" s="97"/>
      <c r="BN548" s="97"/>
      <c r="BO548" s="147"/>
      <c r="BP548" s="143">
        <f t="shared" si="95"/>
        <v>0</v>
      </c>
      <c r="BQ548" s="147"/>
      <c r="BR548" s="143">
        <f t="shared" si="96"/>
        <v>0</v>
      </c>
      <c r="BS548" s="132"/>
      <c r="BT548" s="146">
        <f t="shared" si="97"/>
        <v>0</v>
      </c>
      <c r="BU548" s="66"/>
      <c r="BV548" s="143">
        <f t="shared" si="98"/>
        <v>0</v>
      </c>
      <c r="BW548" s="66"/>
      <c r="BX548" s="146">
        <f t="shared" si="99"/>
        <v>0</v>
      </c>
      <c r="BY548" s="66"/>
      <c r="BZ548" s="146">
        <f t="shared" si="100"/>
        <v>0</v>
      </c>
      <c r="CA548" s="66"/>
      <c r="CB548" s="146">
        <f t="shared" si="101"/>
        <v>0</v>
      </c>
      <c r="CC548" s="66"/>
      <c r="CD548" s="143">
        <f t="shared" si="102"/>
        <v>0</v>
      </c>
      <c r="CE548" s="66"/>
      <c r="CF548" s="143">
        <f t="shared" si="103"/>
        <v>0</v>
      </c>
      <c r="CG548" s="132"/>
      <c r="CH548" s="143">
        <f t="shared" si="104"/>
        <v>0</v>
      </c>
      <c r="CI548" s="132">
        <f t="shared" si="105"/>
        <v>0</v>
      </c>
      <c r="CJ548" s="143">
        <f t="shared" si="105"/>
        <v>0</v>
      </c>
    </row>
    <row r="549" spans="1:88" x14ac:dyDescent="0.3">
      <c r="A549" s="27"/>
      <c r="B549" s="27"/>
      <c r="C549" s="27"/>
      <c r="D549" s="27"/>
      <c r="E549" s="27"/>
      <c r="F549" s="27"/>
      <c r="G549" s="27"/>
      <c r="H549" s="27"/>
      <c r="I549" s="27"/>
      <c r="J549" s="27"/>
      <c r="K549" s="27"/>
      <c r="L549" s="27"/>
      <c r="N549" s="27"/>
      <c r="O549" s="27"/>
      <c r="P549" s="27"/>
      <c r="Q549" s="117" t="s">
        <v>1121</v>
      </c>
      <c r="R549" s="27"/>
      <c r="S549" s="27"/>
      <c r="T549" s="27"/>
      <c r="U549" s="27"/>
      <c r="V549" s="27"/>
      <c r="W549" s="27"/>
      <c r="X549" s="27"/>
      <c r="Y549" s="27"/>
      <c r="AE549" s="27"/>
      <c r="BD549" s="97"/>
      <c r="BE549" s="108"/>
      <c r="BF549" s="108"/>
      <c r="BG549" s="97"/>
      <c r="BH549" s="97"/>
      <c r="BI549" s="97"/>
      <c r="BJ549" s="97"/>
      <c r="BK549" s="110"/>
      <c r="BL549" s="97"/>
      <c r="BM549" s="97"/>
      <c r="BN549" s="97"/>
      <c r="BO549" s="147"/>
      <c r="BP549" s="143">
        <f t="shared" si="95"/>
        <v>0</v>
      </c>
      <c r="BQ549" s="147"/>
      <c r="BR549" s="143">
        <f t="shared" si="96"/>
        <v>0</v>
      </c>
      <c r="BS549" s="132"/>
      <c r="BT549" s="146">
        <f t="shared" si="97"/>
        <v>0</v>
      </c>
      <c r="BU549" s="66"/>
      <c r="BV549" s="143">
        <f t="shared" si="98"/>
        <v>0</v>
      </c>
      <c r="BW549" s="66"/>
      <c r="BX549" s="146">
        <f t="shared" si="99"/>
        <v>0</v>
      </c>
      <c r="BY549" s="66"/>
      <c r="BZ549" s="146">
        <f t="shared" si="100"/>
        <v>0</v>
      </c>
      <c r="CA549" s="66"/>
      <c r="CB549" s="146">
        <f t="shared" si="101"/>
        <v>0</v>
      </c>
      <c r="CC549" s="66"/>
      <c r="CD549" s="143">
        <f t="shared" si="102"/>
        <v>0</v>
      </c>
      <c r="CE549" s="66"/>
      <c r="CF549" s="143">
        <f t="shared" si="103"/>
        <v>0</v>
      </c>
      <c r="CG549" s="132"/>
      <c r="CH549" s="143">
        <f t="shared" si="104"/>
        <v>0</v>
      </c>
      <c r="CI549" s="132">
        <f t="shared" si="105"/>
        <v>0</v>
      </c>
      <c r="CJ549" s="143">
        <f t="shared" si="105"/>
        <v>0</v>
      </c>
    </row>
    <row r="550" spans="1:88" x14ac:dyDescent="0.3">
      <c r="A550" s="27"/>
      <c r="B550" s="27"/>
      <c r="C550" s="27"/>
      <c r="D550" s="27"/>
      <c r="E550" s="27"/>
      <c r="F550" s="27"/>
      <c r="G550" s="27"/>
      <c r="H550" s="27"/>
      <c r="I550" s="27"/>
      <c r="J550" s="27"/>
      <c r="K550" s="27"/>
      <c r="L550" s="27"/>
      <c r="N550" s="27"/>
      <c r="O550" s="27"/>
      <c r="P550" s="27"/>
      <c r="Q550" s="117" t="s">
        <v>1122</v>
      </c>
      <c r="R550" s="27"/>
      <c r="S550" s="27"/>
      <c r="T550" s="27"/>
      <c r="U550" s="27"/>
      <c r="V550" s="27"/>
      <c r="W550" s="27"/>
      <c r="X550" s="27"/>
      <c r="Y550" s="27"/>
      <c r="AE550" s="27"/>
      <c r="BD550" s="97"/>
      <c r="BE550" s="108"/>
      <c r="BF550" s="108"/>
      <c r="BG550" s="97"/>
      <c r="BH550" s="97"/>
      <c r="BI550" s="97"/>
      <c r="BJ550" s="97"/>
      <c r="BK550" s="110"/>
      <c r="BL550" s="97"/>
      <c r="BM550" s="97"/>
      <c r="BN550" s="97"/>
      <c r="BO550" s="147"/>
      <c r="BP550" s="143">
        <f t="shared" si="95"/>
        <v>0</v>
      </c>
      <c r="BQ550" s="147"/>
      <c r="BR550" s="143">
        <f t="shared" si="96"/>
        <v>0</v>
      </c>
      <c r="BS550" s="132"/>
      <c r="BT550" s="146">
        <f t="shared" si="97"/>
        <v>0</v>
      </c>
      <c r="BU550" s="66"/>
      <c r="BV550" s="143">
        <f t="shared" si="98"/>
        <v>0</v>
      </c>
      <c r="BW550" s="66"/>
      <c r="BX550" s="146">
        <f t="shared" si="99"/>
        <v>0</v>
      </c>
      <c r="BY550" s="66"/>
      <c r="BZ550" s="146">
        <f t="shared" si="100"/>
        <v>0</v>
      </c>
      <c r="CA550" s="66"/>
      <c r="CB550" s="146">
        <f t="shared" si="101"/>
        <v>0</v>
      </c>
      <c r="CC550" s="66"/>
      <c r="CD550" s="143">
        <f t="shared" si="102"/>
        <v>0</v>
      </c>
      <c r="CE550" s="66"/>
      <c r="CF550" s="143">
        <f t="shared" si="103"/>
        <v>0</v>
      </c>
      <c r="CG550" s="132"/>
      <c r="CH550" s="143">
        <f t="shared" si="104"/>
        <v>0</v>
      </c>
      <c r="CI550" s="132">
        <f t="shared" si="105"/>
        <v>0</v>
      </c>
      <c r="CJ550" s="143">
        <f t="shared" si="105"/>
        <v>0</v>
      </c>
    </row>
    <row r="551" spans="1:88" x14ac:dyDescent="0.3">
      <c r="A551" s="27"/>
      <c r="B551" s="27"/>
      <c r="C551" s="27"/>
      <c r="D551" s="27"/>
      <c r="E551" s="27"/>
      <c r="F551" s="27"/>
      <c r="G551" s="27"/>
      <c r="H551" s="27"/>
      <c r="I551" s="27"/>
      <c r="J551" s="27"/>
      <c r="K551" s="27"/>
      <c r="L551" s="27"/>
      <c r="N551" s="27"/>
      <c r="O551" s="27"/>
      <c r="P551" s="27"/>
      <c r="Q551" s="117" t="s">
        <v>1123</v>
      </c>
      <c r="R551" s="27"/>
      <c r="S551" s="27"/>
      <c r="T551" s="27"/>
      <c r="U551" s="27"/>
      <c r="V551" s="27"/>
      <c r="W551" s="27"/>
      <c r="X551" s="27"/>
      <c r="Y551" s="27"/>
      <c r="AE551" s="27"/>
      <c r="BD551" s="97"/>
      <c r="BE551" s="108"/>
      <c r="BF551" s="108"/>
      <c r="BG551" s="97"/>
      <c r="BH551" s="97"/>
      <c r="BI551" s="97"/>
      <c r="BJ551" s="97"/>
      <c r="BK551" s="110"/>
      <c r="BL551" s="97"/>
      <c r="BM551" s="97"/>
      <c r="BN551" s="97"/>
      <c r="BO551" s="147"/>
      <c r="BP551" s="143">
        <f t="shared" si="95"/>
        <v>0</v>
      </c>
      <c r="BQ551" s="147"/>
      <c r="BR551" s="143">
        <f t="shared" si="96"/>
        <v>0</v>
      </c>
      <c r="BS551" s="132"/>
      <c r="BT551" s="146">
        <f t="shared" si="97"/>
        <v>0</v>
      </c>
      <c r="BU551" s="66"/>
      <c r="BV551" s="143">
        <f t="shared" si="98"/>
        <v>0</v>
      </c>
      <c r="BW551" s="66"/>
      <c r="BX551" s="146">
        <f t="shared" si="99"/>
        <v>0</v>
      </c>
      <c r="BY551" s="66"/>
      <c r="BZ551" s="146">
        <f t="shared" si="100"/>
        <v>0</v>
      </c>
      <c r="CA551" s="66"/>
      <c r="CB551" s="146">
        <f t="shared" si="101"/>
        <v>0</v>
      </c>
      <c r="CC551" s="66"/>
      <c r="CD551" s="143">
        <f t="shared" si="102"/>
        <v>0</v>
      </c>
      <c r="CE551" s="66"/>
      <c r="CF551" s="143">
        <f t="shared" si="103"/>
        <v>0</v>
      </c>
      <c r="CG551" s="132"/>
      <c r="CH551" s="143">
        <f t="shared" si="104"/>
        <v>0</v>
      </c>
      <c r="CI551" s="132">
        <f t="shared" si="105"/>
        <v>0</v>
      </c>
      <c r="CJ551" s="143">
        <f t="shared" si="105"/>
        <v>0</v>
      </c>
    </row>
    <row r="552" spans="1:88" x14ac:dyDescent="0.3">
      <c r="A552" s="27"/>
      <c r="B552" s="27"/>
      <c r="C552" s="27"/>
      <c r="D552" s="27"/>
      <c r="E552" s="27"/>
      <c r="F552" s="27"/>
      <c r="G552" s="27"/>
      <c r="H552" s="27"/>
      <c r="I552" s="27"/>
      <c r="J552" s="27"/>
      <c r="K552" s="27"/>
      <c r="L552" s="27"/>
      <c r="N552" s="27"/>
      <c r="O552" s="27"/>
      <c r="P552" s="27"/>
      <c r="Q552" s="117" t="s">
        <v>1124</v>
      </c>
      <c r="R552" s="27"/>
      <c r="S552" s="27"/>
      <c r="T552" s="27"/>
      <c r="U552" s="27"/>
      <c r="V552" s="27"/>
      <c r="W552" s="27"/>
      <c r="X552" s="27"/>
      <c r="Y552" s="27"/>
      <c r="AE552" s="27"/>
      <c r="BD552" s="97"/>
      <c r="BE552" s="108"/>
      <c r="BF552" s="108"/>
      <c r="BG552" s="97"/>
      <c r="BH552" s="97"/>
      <c r="BI552" s="97"/>
      <c r="BJ552" s="97"/>
      <c r="BK552" s="110"/>
      <c r="BL552" s="97"/>
      <c r="BM552" s="97"/>
      <c r="BN552" s="97"/>
      <c r="BO552" s="147"/>
      <c r="BP552" s="143">
        <f t="shared" si="95"/>
        <v>0</v>
      </c>
      <c r="BQ552" s="147"/>
      <c r="BR552" s="143">
        <f t="shared" si="96"/>
        <v>0</v>
      </c>
      <c r="BS552" s="132"/>
      <c r="BT552" s="146">
        <f t="shared" si="97"/>
        <v>0</v>
      </c>
      <c r="BU552" s="66"/>
      <c r="BV552" s="143">
        <f t="shared" si="98"/>
        <v>0</v>
      </c>
      <c r="BW552" s="66"/>
      <c r="BX552" s="146">
        <f t="shared" si="99"/>
        <v>0</v>
      </c>
      <c r="BY552" s="66"/>
      <c r="BZ552" s="146">
        <f t="shared" si="100"/>
        <v>0</v>
      </c>
      <c r="CA552" s="66"/>
      <c r="CB552" s="146">
        <f t="shared" si="101"/>
        <v>0</v>
      </c>
      <c r="CC552" s="66"/>
      <c r="CD552" s="143">
        <f t="shared" si="102"/>
        <v>0</v>
      </c>
      <c r="CE552" s="66"/>
      <c r="CF552" s="143">
        <f t="shared" si="103"/>
        <v>0</v>
      </c>
      <c r="CG552" s="132"/>
      <c r="CH552" s="143">
        <f t="shared" si="104"/>
        <v>0</v>
      </c>
      <c r="CI552" s="132">
        <f t="shared" si="105"/>
        <v>0</v>
      </c>
      <c r="CJ552" s="143">
        <f t="shared" si="105"/>
        <v>0</v>
      </c>
    </row>
    <row r="553" spans="1:88" x14ac:dyDescent="0.3">
      <c r="A553" s="27"/>
      <c r="B553" s="27"/>
      <c r="C553" s="27"/>
      <c r="D553" s="27"/>
      <c r="E553" s="27"/>
      <c r="F553" s="27"/>
      <c r="G553" s="27"/>
      <c r="H553" s="27"/>
      <c r="I553" s="27"/>
      <c r="J553" s="27"/>
      <c r="K553" s="27"/>
      <c r="L553" s="27"/>
      <c r="N553" s="27"/>
      <c r="O553" s="27"/>
      <c r="P553" s="27"/>
      <c r="Q553" s="117" t="s">
        <v>1125</v>
      </c>
      <c r="R553" s="27"/>
      <c r="S553" s="27"/>
      <c r="T553" s="27"/>
      <c r="U553" s="27"/>
      <c r="V553" s="27"/>
      <c r="W553" s="27"/>
      <c r="X553" s="27"/>
      <c r="Y553" s="27"/>
      <c r="AE553" s="27"/>
      <c r="BD553" s="97"/>
      <c r="BE553" s="108"/>
      <c r="BF553" s="108"/>
      <c r="BG553" s="97"/>
      <c r="BH553" s="97"/>
      <c r="BI553" s="97"/>
      <c r="BJ553" s="97"/>
      <c r="BK553" s="110"/>
      <c r="BL553" s="97"/>
      <c r="BM553" s="97"/>
      <c r="BN553" s="97"/>
      <c r="BO553" s="147"/>
      <c r="BP553" s="143">
        <f t="shared" si="95"/>
        <v>0</v>
      </c>
      <c r="BQ553" s="147"/>
      <c r="BR553" s="143">
        <f t="shared" si="96"/>
        <v>0</v>
      </c>
      <c r="BS553" s="132"/>
      <c r="BT553" s="146">
        <f t="shared" si="97"/>
        <v>0</v>
      </c>
      <c r="BU553" s="66"/>
      <c r="BV553" s="143">
        <f t="shared" si="98"/>
        <v>0</v>
      </c>
      <c r="BW553" s="66"/>
      <c r="BX553" s="146">
        <f t="shared" si="99"/>
        <v>0</v>
      </c>
      <c r="BY553" s="66"/>
      <c r="BZ553" s="146">
        <f t="shared" si="100"/>
        <v>0</v>
      </c>
      <c r="CA553" s="66"/>
      <c r="CB553" s="146">
        <f t="shared" si="101"/>
        <v>0</v>
      </c>
      <c r="CC553" s="66"/>
      <c r="CD553" s="143">
        <f t="shared" si="102"/>
        <v>0</v>
      </c>
      <c r="CE553" s="66"/>
      <c r="CF553" s="143">
        <f t="shared" si="103"/>
        <v>0</v>
      </c>
      <c r="CG553" s="132"/>
      <c r="CH553" s="143">
        <f t="shared" si="104"/>
        <v>0</v>
      </c>
      <c r="CI553" s="132">
        <f t="shared" si="105"/>
        <v>0</v>
      </c>
      <c r="CJ553" s="143">
        <f t="shared" si="105"/>
        <v>0</v>
      </c>
    </row>
    <row r="554" spans="1:88" x14ac:dyDescent="0.3">
      <c r="A554" s="27"/>
      <c r="B554" s="27"/>
      <c r="C554" s="27"/>
      <c r="D554" s="27"/>
      <c r="E554" s="27"/>
      <c r="F554" s="27"/>
      <c r="G554" s="27"/>
      <c r="H554" s="27"/>
      <c r="I554" s="27"/>
      <c r="J554" s="27"/>
      <c r="K554" s="27"/>
      <c r="L554" s="27"/>
      <c r="N554" s="27"/>
      <c r="O554" s="27"/>
      <c r="P554" s="27"/>
      <c r="Q554" s="117" t="s">
        <v>1126</v>
      </c>
      <c r="R554" s="27"/>
      <c r="S554" s="27"/>
      <c r="T554" s="27"/>
      <c r="U554" s="27"/>
      <c r="V554" s="27"/>
      <c r="W554" s="27"/>
      <c r="X554" s="27"/>
      <c r="Y554" s="27"/>
      <c r="AE554" s="27"/>
      <c r="BD554" s="97"/>
      <c r="BE554" s="108"/>
      <c r="BF554" s="108"/>
      <c r="BG554" s="97"/>
      <c r="BH554" s="97"/>
      <c r="BI554" s="97"/>
      <c r="BJ554" s="97"/>
      <c r="BK554" s="110"/>
      <c r="BL554" s="97"/>
      <c r="BM554" s="97"/>
      <c r="BN554" s="97"/>
      <c r="BO554" s="147"/>
      <c r="BP554" s="143">
        <f t="shared" si="95"/>
        <v>0</v>
      </c>
      <c r="BQ554" s="147"/>
      <c r="BR554" s="143">
        <f t="shared" si="96"/>
        <v>0</v>
      </c>
      <c r="BS554" s="132"/>
      <c r="BT554" s="146">
        <f t="shared" si="97"/>
        <v>0</v>
      </c>
      <c r="BU554" s="66"/>
      <c r="BV554" s="143">
        <f t="shared" si="98"/>
        <v>0</v>
      </c>
      <c r="BW554" s="66"/>
      <c r="BX554" s="146">
        <f t="shared" si="99"/>
        <v>0</v>
      </c>
      <c r="BY554" s="66"/>
      <c r="BZ554" s="146">
        <f t="shared" si="100"/>
        <v>0</v>
      </c>
      <c r="CA554" s="66"/>
      <c r="CB554" s="146">
        <f t="shared" si="101"/>
        <v>0</v>
      </c>
      <c r="CC554" s="66"/>
      <c r="CD554" s="143">
        <f t="shared" si="102"/>
        <v>0</v>
      </c>
      <c r="CE554" s="66"/>
      <c r="CF554" s="143">
        <f t="shared" si="103"/>
        <v>0</v>
      </c>
      <c r="CG554" s="132"/>
      <c r="CH554" s="143">
        <f t="shared" si="104"/>
        <v>0</v>
      </c>
      <c r="CI554" s="132">
        <f t="shared" si="105"/>
        <v>0</v>
      </c>
      <c r="CJ554" s="143">
        <f t="shared" si="105"/>
        <v>0</v>
      </c>
    </row>
    <row r="555" spans="1:88" x14ac:dyDescent="0.3">
      <c r="A555" s="27"/>
      <c r="B555" s="27"/>
      <c r="C555" s="27"/>
      <c r="D555" s="27"/>
      <c r="E555" s="27"/>
      <c r="F555" s="27"/>
      <c r="G555" s="27"/>
      <c r="H555" s="27"/>
      <c r="I555" s="27"/>
      <c r="J555" s="27"/>
      <c r="K555" s="27"/>
      <c r="L555" s="27"/>
      <c r="N555" s="27"/>
      <c r="O555" s="27"/>
      <c r="P555" s="27"/>
      <c r="Q555" s="117" t="s">
        <v>1127</v>
      </c>
      <c r="R555" s="27"/>
      <c r="S555" s="27"/>
      <c r="T555" s="27"/>
      <c r="U555" s="27"/>
      <c r="V555" s="27"/>
      <c r="W555" s="27"/>
      <c r="X555" s="27"/>
      <c r="Y555" s="27"/>
      <c r="AE555" s="27"/>
      <c r="BD555" s="97"/>
      <c r="BE555" s="108"/>
      <c r="BF555" s="108"/>
      <c r="BG555" s="97"/>
      <c r="BH555" s="97"/>
      <c r="BI555" s="97"/>
      <c r="BJ555" s="97"/>
      <c r="BK555" s="110"/>
      <c r="BL555" s="97"/>
      <c r="BM555" s="97"/>
      <c r="BN555" s="97"/>
      <c r="BO555" s="147"/>
      <c r="BP555" s="143">
        <f t="shared" si="95"/>
        <v>0</v>
      </c>
      <c r="BQ555" s="147"/>
      <c r="BR555" s="143">
        <f t="shared" si="96"/>
        <v>0</v>
      </c>
      <c r="BS555" s="132"/>
      <c r="BT555" s="146">
        <f t="shared" si="97"/>
        <v>0</v>
      </c>
      <c r="BU555" s="66"/>
      <c r="BV555" s="143">
        <f t="shared" si="98"/>
        <v>0</v>
      </c>
      <c r="BW555" s="66"/>
      <c r="BX555" s="146">
        <f t="shared" si="99"/>
        <v>0</v>
      </c>
      <c r="BY555" s="66"/>
      <c r="BZ555" s="146">
        <f t="shared" si="100"/>
        <v>0</v>
      </c>
      <c r="CA555" s="66"/>
      <c r="CB555" s="146">
        <f t="shared" si="101"/>
        <v>0</v>
      </c>
      <c r="CC555" s="66"/>
      <c r="CD555" s="143">
        <f t="shared" si="102"/>
        <v>0</v>
      </c>
      <c r="CE555" s="66"/>
      <c r="CF555" s="143">
        <f t="shared" si="103"/>
        <v>0</v>
      </c>
      <c r="CG555" s="132"/>
      <c r="CH555" s="143">
        <f t="shared" si="104"/>
        <v>0</v>
      </c>
      <c r="CI555" s="132">
        <f t="shared" si="105"/>
        <v>0</v>
      </c>
      <c r="CJ555" s="143">
        <f t="shared" si="105"/>
        <v>0</v>
      </c>
    </row>
    <row r="556" spans="1:88" x14ac:dyDescent="0.3">
      <c r="A556" s="27"/>
      <c r="B556" s="27"/>
      <c r="C556" s="27"/>
      <c r="D556" s="27"/>
      <c r="E556" s="27"/>
      <c r="F556" s="27"/>
      <c r="G556" s="27"/>
      <c r="H556" s="27"/>
      <c r="I556" s="27"/>
      <c r="J556" s="27"/>
      <c r="K556" s="27"/>
      <c r="L556" s="27"/>
      <c r="N556" s="27"/>
      <c r="O556" s="27"/>
      <c r="P556" s="27"/>
      <c r="Q556" s="117" t="s">
        <v>1128</v>
      </c>
      <c r="R556" s="27"/>
      <c r="S556" s="27"/>
      <c r="T556" s="27"/>
      <c r="U556" s="27"/>
      <c r="V556" s="27"/>
      <c r="W556" s="27"/>
      <c r="X556" s="27"/>
      <c r="Y556" s="27"/>
      <c r="AE556" s="27"/>
      <c r="BD556" s="97"/>
      <c r="BE556" s="108"/>
      <c r="BF556" s="108"/>
      <c r="BG556" s="97"/>
      <c r="BH556" s="97"/>
      <c r="BI556" s="97"/>
      <c r="BJ556" s="97"/>
      <c r="BK556" s="110"/>
      <c r="BL556" s="97"/>
      <c r="BM556" s="97"/>
      <c r="BN556" s="97"/>
      <c r="BO556" s="142"/>
      <c r="BP556" s="143">
        <f t="shared" si="95"/>
        <v>0</v>
      </c>
      <c r="BQ556" s="142"/>
      <c r="BR556" s="143">
        <f t="shared" si="96"/>
        <v>0</v>
      </c>
      <c r="BS556" s="132"/>
      <c r="BT556" s="146">
        <f t="shared" si="97"/>
        <v>0</v>
      </c>
      <c r="BU556" s="132"/>
      <c r="BV556" s="143">
        <f t="shared" si="98"/>
        <v>0</v>
      </c>
      <c r="BW556" s="132"/>
      <c r="BX556" s="146">
        <f t="shared" si="99"/>
        <v>0</v>
      </c>
      <c r="BY556" s="132"/>
      <c r="BZ556" s="146">
        <f t="shared" si="100"/>
        <v>0</v>
      </c>
      <c r="CA556" s="132"/>
      <c r="CB556" s="146">
        <f t="shared" si="101"/>
        <v>0</v>
      </c>
      <c r="CC556" s="132"/>
      <c r="CD556" s="143">
        <f t="shared" si="102"/>
        <v>0</v>
      </c>
      <c r="CE556" s="132"/>
      <c r="CF556" s="143">
        <f t="shared" si="103"/>
        <v>0</v>
      </c>
      <c r="CG556" s="132"/>
      <c r="CH556" s="143">
        <f t="shared" si="104"/>
        <v>0</v>
      </c>
      <c r="CI556" s="132">
        <f t="shared" si="105"/>
        <v>0</v>
      </c>
      <c r="CJ556" s="143">
        <f t="shared" si="105"/>
        <v>0</v>
      </c>
    </row>
    <row r="557" spans="1:88" x14ac:dyDescent="0.3">
      <c r="A557" s="27"/>
      <c r="B557" s="27"/>
      <c r="C557" s="27"/>
      <c r="D557" s="27"/>
      <c r="E557" s="27"/>
      <c r="F557" s="27"/>
      <c r="G557" s="27"/>
      <c r="H557" s="27"/>
      <c r="I557" s="27"/>
      <c r="J557" s="27"/>
      <c r="K557" s="27"/>
      <c r="L557" s="27"/>
      <c r="N557" s="27"/>
      <c r="O557" s="27"/>
      <c r="P557" s="27"/>
      <c r="Q557" s="117" t="s">
        <v>1129</v>
      </c>
      <c r="R557" s="27"/>
      <c r="S557" s="27"/>
      <c r="T557" s="27"/>
      <c r="U557" s="27"/>
      <c r="V557" s="27"/>
      <c r="W557" s="27"/>
      <c r="X557" s="27"/>
      <c r="Y557" s="27"/>
      <c r="AE557" s="27"/>
      <c r="BD557" s="97"/>
      <c r="BE557" s="108"/>
      <c r="BF557" s="108"/>
      <c r="BG557" s="97"/>
      <c r="BH557" s="97"/>
      <c r="BI557" s="97"/>
      <c r="BJ557" s="97"/>
      <c r="BK557" s="110"/>
      <c r="BL557" s="97"/>
      <c r="BM557" s="97"/>
      <c r="BN557" s="97"/>
      <c r="BO557" s="142"/>
      <c r="BP557" s="143">
        <f t="shared" si="95"/>
        <v>0</v>
      </c>
      <c r="BQ557" s="142"/>
      <c r="BR557" s="143">
        <f t="shared" si="96"/>
        <v>0</v>
      </c>
      <c r="BS557" s="132"/>
      <c r="BT557" s="146">
        <f t="shared" si="97"/>
        <v>0</v>
      </c>
      <c r="BU557" s="132"/>
      <c r="BV557" s="143">
        <f t="shared" si="98"/>
        <v>0</v>
      </c>
      <c r="BW557" s="132"/>
      <c r="BX557" s="146">
        <f t="shared" si="99"/>
        <v>0</v>
      </c>
      <c r="BY557" s="132"/>
      <c r="BZ557" s="146">
        <f t="shared" si="100"/>
        <v>0</v>
      </c>
      <c r="CA557" s="132"/>
      <c r="CB557" s="146">
        <f t="shared" si="101"/>
        <v>0</v>
      </c>
      <c r="CC557" s="132"/>
      <c r="CD557" s="143">
        <f t="shared" si="102"/>
        <v>0</v>
      </c>
      <c r="CE557" s="132"/>
      <c r="CF557" s="143">
        <f t="shared" si="103"/>
        <v>0</v>
      </c>
      <c r="CG557" s="132"/>
      <c r="CH557" s="143">
        <f t="shared" si="104"/>
        <v>0</v>
      </c>
      <c r="CI557" s="132">
        <f t="shared" si="105"/>
        <v>0</v>
      </c>
      <c r="CJ557" s="143">
        <f t="shared" si="105"/>
        <v>0</v>
      </c>
    </row>
    <row r="558" spans="1:88" x14ac:dyDescent="0.3">
      <c r="A558" s="27"/>
      <c r="B558" s="27"/>
      <c r="C558" s="27"/>
      <c r="D558" s="27"/>
      <c r="E558" s="27"/>
      <c r="F558" s="27"/>
      <c r="G558" s="27"/>
      <c r="H558" s="27"/>
      <c r="I558" s="27"/>
      <c r="J558" s="27"/>
      <c r="K558" s="27"/>
      <c r="L558" s="27"/>
      <c r="N558" s="27"/>
      <c r="O558" s="27"/>
      <c r="P558" s="27"/>
      <c r="Q558" s="117" t="s">
        <v>1130</v>
      </c>
      <c r="R558" s="27"/>
      <c r="S558" s="27"/>
      <c r="T558" s="27"/>
      <c r="U558" s="27"/>
      <c r="V558" s="27"/>
      <c r="W558" s="27"/>
      <c r="X558" s="27"/>
      <c r="Y558" s="27"/>
      <c r="AE558" s="27"/>
      <c r="BD558" s="97"/>
      <c r="BE558" s="108"/>
      <c r="BF558" s="108"/>
      <c r="BG558" s="97"/>
      <c r="BH558" s="97"/>
      <c r="BI558" s="97"/>
      <c r="BJ558" s="97"/>
      <c r="BK558" s="110"/>
      <c r="BL558" s="97"/>
      <c r="BM558" s="97"/>
      <c r="BN558" s="97"/>
      <c r="BO558" s="147"/>
      <c r="BP558" s="143">
        <f t="shared" si="95"/>
        <v>0</v>
      </c>
      <c r="BQ558" s="147"/>
      <c r="BR558" s="143">
        <f t="shared" si="96"/>
        <v>0</v>
      </c>
      <c r="BS558" s="132"/>
      <c r="BT558" s="146">
        <f t="shared" si="97"/>
        <v>0</v>
      </c>
      <c r="BU558" s="66"/>
      <c r="BV558" s="143">
        <f t="shared" si="98"/>
        <v>0</v>
      </c>
      <c r="BW558" s="66"/>
      <c r="BX558" s="146">
        <f t="shared" si="99"/>
        <v>0</v>
      </c>
      <c r="BY558" s="66"/>
      <c r="BZ558" s="146">
        <f t="shared" si="100"/>
        <v>0</v>
      </c>
      <c r="CA558" s="66"/>
      <c r="CB558" s="146">
        <f t="shared" si="101"/>
        <v>0</v>
      </c>
      <c r="CC558" s="66"/>
      <c r="CD558" s="143">
        <f t="shared" si="102"/>
        <v>0</v>
      </c>
      <c r="CE558" s="66"/>
      <c r="CF558" s="143">
        <f t="shared" si="103"/>
        <v>0</v>
      </c>
      <c r="CG558" s="132"/>
      <c r="CH558" s="143">
        <f t="shared" si="104"/>
        <v>0</v>
      </c>
      <c r="CI558" s="132">
        <f t="shared" si="105"/>
        <v>0</v>
      </c>
      <c r="CJ558" s="143">
        <f t="shared" si="105"/>
        <v>0</v>
      </c>
    </row>
    <row r="559" spans="1:88" x14ac:dyDescent="0.3">
      <c r="A559" s="27"/>
      <c r="B559" s="27"/>
      <c r="C559" s="27"/>
      <c r="D559" s="27"/>
      <c r="E559" s="27"/>
      <c r="F559" s="27"/>
      <c r="G559" s="27"/>
      <c r="H559" s="27"/>
      <c r="I559" s="27"/>
      <c r="J559" s="27"/>
      <c r="K559" s="27"/>
      <c r="L559" s="27"/>
      <c r="N559" s="27"/>
      <c r="O559" s="27"/>
      <c r="P559" s="27"/>
      <c r="Q559" s="117" t="s">
        <v>1131</v>
      </c>
      <c r="R559" s="27"/>
      <c r="S559" s="27"/>
      <c r="T559" s="27"/>
      <c r="U559" s="27"/>
      <c r="V559" s="27"/>
      <c r="W559" s="27"/>
      <c r="X559" s="27"/>
      <c r="Y559" s="27"/>
      <c r="AE559" s="27"/>
      <c r="BD559" s="97"/>
      <c r="BE559" s="108"/>
      <c r="BF559" s="108"/>
      <c r="BG559" s="97"/>
      <c r="BH559" s="97"/>
      <c r="BI559" s="97"/>
      <c r="BJ559" s="97"/>
      <c r="BK559" s="110"/>
      <c r="BL559" s="97"/>
      <c r="BM559" s="97"/>
      <c r="BN559" s="97"/>
      <c r="BO559" s="147"/>
      <c r="BP559" s="143">
        <f t="shared" si="95"/>
        <v>0</v>
      </c>
      <c r="BQ559" s="147"/>
      <c r="BR559" s="143">
        <f t="shared" si="96"/>
        <v>0</v>
      </c>
      <c r="BS559" s="132"/>
      <c r="BT559" s="146">
        <f t="shared" si="97"/>
        <v>0</v>
      </c>
      <c r="BU559" s="66"/>
      <c r="BV559" s="143">
        <f t="shared" si="98"/>
        <v>0</v>
      </c>
      <c r="BW559" s="66"/>
      <c r="BX559" s="146">
        <f t="shared" si="99"/>
        <v>0</v>
      </c>
      <c r="BY559" s="66"/>
      <c r="BZ559" s="146">
        <f t="shared" si="100"/>
        <v>0</v>
      </c>
      <c r="CA559" s="66"/>
      <c r="CB559" s="146">
        <f t="shared" si="101"/>
        <v>0</v>
      </c>
      <c r="CC559" s="66"/>
      <c r="CD559" s="143">
        <f t="shared" si="102"/>
        <v>0</v>
      </c>
      <c r="CE559" s="66"/>
      <c r="CF559" s="143">
        <f t="shared" si="103"/>
        <v>0</v>
      </c>
      <c r="CG559" s="132"/>
      <c r="CH559" s="143">
        <f t="shared" si="104"/>
        <v>0</v>
      </c>
      <c r="CI559" s="132">
        <f t="shared" si="105"/>
        <v>0</v>
      </c>
      <c r="CJ559" s="143">
        <f t="shared" si="105"/>
        <v>0</v>
      </c>
    </row>
    <row r="560" spans="1:88" x14ac:dyDescent="0.3">
      <c r="A560" s="27"/>
      <c r="B560" s="27"/>
      <c r="C560" s="27"/>
      <c r="D560" s="27"/>
      <c r="E560" s="27"/>
      <c r="F560" s="27"/>
      <c r="G560" s="27"/>
      <c r="H560" s="27"/>
      <c r="I560" s="27"/>
      <c r="J560" s="27"/>
      <c r="K560" s="27"/>
      <c r="L560" s="27"/>
      <c r="N560" s="27"/>
      <c r="O560" s="27"/>
      <c r="P560" s="27"/>
      <c r="Q560" s="117" t="s">
        <v>1132</v>
      </c>
      <c r="R560" s="27"/>
      <c r="S560" s="27"/>
      <c r="T560" s="27"/>
      <c r="U560" s="27"/>
      <c r="V560" s="27"/>
      <c r="W560" s="27"/>
      <c r="X560" s="27"/>
      <c r="Y560" s="27"/>
      <c r="AE560" s="27"/>
      <c r="BD560" s="97"/>
      <c r="BE560" s="108"/>
      <c r="BF560" s="108"/>
      <c r="BG560" s="97"/>
      <c r="BH560" s="97"/>
      <c r="BI560" s="97"/>
      <c r="BJ560" s="97"/>
      <c r="BK560" s="110"/>
      <c r="BL560" s="97"/>
      <c r="BM560" s="97"/>
      <c r="BN560" s="97"/>
      <c r="BO560" s="147"/>
      <c r="BP560" s="143">
        <f t="shared" si="95"/>
        <v>0</v>
      </c>
      <c r="BQ560" s="147"/>
      <c r="BR560" s="143">
        <f t="shared" si="96"/>
        <v>0</v>
      </c>
      <c r="BS560" s="132"/>
      <c r="BT560" s="146">
        <f t="shared" si="97"/>
        <v>0</v>
      </c>
      <c r="BU560" s="66"/>
      <c r="BV560" s="143">
        <f t="shared" si="98"/>
        <v>0</v>
      </c>
      <c r="BW560" s="66"/>
      <c r="BX560" s="146">
        <f t="shared" si="99"/>
        <v>0</v>
      </c>
      <c r="BY560" s="66"/>
      <c r="BZ560" s="146">
        <f t="shared" si="100"/>
        <v>0</v>
      </c>
      <c r="CA560" s="66"/>
      <c r="CB560" s="146">
        <f t="shared" si="101"/>
        <v>0</v>
      </c>
      <c r="CC560" s="66"/>
      <c r="CD560" s="143">
        <f t="shared" si="102"/>
        <v>0</v>
      </c>
      <c r="CE560" s="66"/>
      <c r="CF560" s="143">
        <f t="shared" si="103"/>
        <v>0</v>
      </c>
      <c r="CG560" s="132"/>
      <c r="CH560" s="143">
        <f t="shared" si="104"/>
        <v>0</v>
      </c>
      <c r="CI560" s="132">
        <f t="shared" si="105"/>
        <v>0</v>
      </c>
      <c r="CJ560" s="143">
        <f t="shared" si="105"/>
        <v>0</v>
      </c>
    </row>
    <row r="561" spans="1:88" x14ac:dyDescent="0.3">
      <c r="A561" s="27"/>
      <c r="B561" s="27"/>
      <c r="C561" s="27"/>
      <c r="D561" s="27"/>
      <c r="E561" s="27"/>
      <c r="F561" s="27"/>
      <c r="G561" s="27"/>
      <c r="H561" s="27"/>
      <c r="I561" s="27"/>
      <c r="J561" s="27"/>
      <c r="K561" s="27"/>
      <c r="L561" s="27"/>
      <c r="N561" s="27"/>
      <c r="O561" s="27"/>
      <c r="P561" s="27"/>
      <c r="Q561" s="117" t="s">
        <v>1133</v>
      </c>
      <c r="R561" s="27"/>
      <c r="S561" s="27"/>
      <c r="T561" s="27"/>
      <c r="U561" s="27"/>
      <c r="V561" s="27"/>
      <c r="W561" s="27"/>
      <c r="X561" s="27"/>
      <c r="Y561" s="27"/>
      <c r="AE561" s="27"/>
      <c r="BD561" s="97"/>
      <c r="BE561" s="108"/>
      <c r="BF561" s="108"/>
      <c r="BG561" s="97"/>
      <c r="BH561" s="97"/>
      <c r="BI561" s="97"/>
      <c r="BJ561" s="97"/>
      <c r="BK561" s="110"/>
      <c r="BL561" s="97"/>
      <c r="BM561" s="97"/>
      <c r="BN561" s="97"/>
      <c r="BO561" s="147"/>
      <c r="BP561" s="143">
        <f t="shared" si="95"/>
        <v>0</v>
      </c>
      <c r="BQ561" s="147"/>
      <c r="BR561" s="143">
        <f t="shared" si="96"/>
        <v>0</v>
      </c>
      <c r="BS561" s="132"/>
      <c r="BT561" s="146">
        <f t="shared" si="97"/>
        <v>0</v>
      </c>
      <c r="BU561" s="66"/>
      <c r="BV561" s="143">
        <f t="shared" si="98"/>
        <v>0</v>
      </c>
      <c r="BW561" s="66"/>
      <c r="BX561" s="146">
        <f t="shared" si="99"/>
        <v>0</v>
      </c>
      <c r="BY561" s="66"/>
      <c r="BZ561" s="146">
        <f t="shared" si="100"/>
        <v>0</v>
      </c>
      <c r="CA561" s="66"/>
      <c r="CB561" s="146">
        <f t="shared" si="101"/>
        <v>0</v>
      </c>
      <c r="CC561" s="66"/>
      <c r="CD561" s="143">
        <f t="shared" si="102"/>
        <v>0</v>
      </c>
      <c r="CE561" s="66"/>
      <c r="CF561" s="143">
        <f t="shared" si="103"/>
        <v>0</v>
      </c>
      <c r="CG561" s="132"/>
      <c r="CH561" s="143">
        <f t="shared" si="104"/>
        <v>0</v>
      </c>
      <c r="CI561" s="132">
        <f t="shared" si="105"/>
        <v>0</v>
      </c>
      <c r="CJ561" s="143">
        <f t="shared" si="105"/>
        <v>0</v>
      </c>
    </row>
    <row r="562" spans="1:88" x14ac:dyDescent="0.3">
      <c r="A562" s="27"/>
      <c r="B562" s="27"/>
      <c r="C562" s="27"/>
      <c r="D562" s="27"/>
      <c r="E562" s="27"/>
      <c r="F562" s="27"/>
      <c r="G562" s="27"/>
      <c r="H562" s="27"/>
      <c r="I562" s="27"/>
      <c r="J562" s="27"/>
      <c r="K562" s="27"/>
      <c r="L562" s="27"/>
      <c r="N562" s="27"/>
      <c r="O562" s="27"/>
      <c r="P562" s="27"/>
      <c r="Q562" s="117" t="s">
        <v>1134</v>
      </c>
      <c r="R562" s="27"/>
      <c r="S562" s="27"/>
      <c r="T562" s="27"/>
      <c r="U562" s="27"/>
      <c r="V562" s="27"/>
      <c r="W562" s="27"/>
      <c r="X562" s="27"/>
      <c r="Y562" s="27"/>
      <c r="AE562" s="27"/>
      <c r="BD562" s="97"/>
      <c r="BE562" s="108"/>
      <c r="BF562" s="108"/>
      <c r="BG562" s="97"/>
      <c r="BH562" s="97"/>
      <c r="BI562" s="97"/>
      <c r="BJ562" s="97"/>
      <c r="BK562" s="110"/>
      <c r="BL562" s="97"/>
      <c r="BM562" s="97"/>
      <c r="BN562" s="97"/>
      <c r="BO562" s="147"/>
      <c r="BP562" s="143">
        <f t="shared" si="95"/>
        <v>0</v>
      </c>
      <c r="BQ562" s="147"/>
      <c r="BR562" s="143">
        <f t="shared" si="96"/>
        <v>0</v>
      </c>
      <c r="BS562" s="132"/>
      <c r="BT562" s="146">
        <f t="shared" si="97"/>
        <v>0</v>
      </c>
      <c r="BU562" s="66"/>
      <c r="BV562" s="143">
        <f t="shared" si="98"/>
        <v>0</v>
      </c>
      <c r="BW562" s="66"/>
      <c r="BX562" s="146">
        <f t="shared" si="99"/>
        <v>0</v>
      </c>
      <c r="BY562" s="66"/>
      <c r="BZ562" s="146">
        <f t="shared" si="100"/>
        <v>0</v>
      </c>
      <c r="CA562" s="66"/>
      <c r="CB562" s="146">
        <f t="shared" si="101"/>
        <v>0</v>
      </c>
      <c r="CC562" s="66"/>
      <c r="CD562" s="143">
        <f t="shared" si="102"/>
        <v>0</v>
      </c>
      <c r="CE562" s="66"/>
      <c r="CF562" s="143">
        <f t="shared" si="103"/>
        <v>0</v>
      </c>
      <c r="CG562" s="132"/>
      <c r="CH562" s="143">
        <f t="shared" si="104"/>
        <v>0</v>
      </c>
      <c r="CI562" s="132">
        <f t="shared" si="105"/>
        <v>0</v>
      </c>
      <c r="CJ562" s="143">
        <f t="shared" si="105"/>
        <v>0</v>
      </c>
    </row>
    <row r="563" spans="1:88" x14ac:dyDescent="0.3">
      <c r="A563" s="27"/>
      <c r="B563" s="27"/>
      <c r="C563" s="27"/>
      <c r="D563" s="27"/>
      <c r="E563" s="27"/>
      <c r="F563" s="27"/>
      <c r="G563" s="27"/>
      <c r="H563" s="27"/>
      <c r="I563" s="27"/>
      <c r="J563" s="27"/>
      <c r="K563" s="27"/>
      <c r="L563" s="27"/>
      <c r="N563" s="27"/>
      <c r="O563" s="27"/>
      <c r="P563" s="27"/>
      <c r="Q563" s="117" t="s">
        <v>1135</v>
      </c>
      <c r="R563" s="27"/>
      <c r="S563" s="27"/>
      <c r="T563" s="27"/>
      <c r="U563" s="27"/>
      <c r="V563" s="27"/>
      <c r="W563" s="27"/>
      <c r="X563" s="27"/>
      <c r="Y563" s="27"/>
      <c r="AE563" s="27"/>
      <c r="BD563" s="97"/>
      <c r="BE563" s="108"/>
      <c r="BF563" s="108"/>
      <c r="BG563" s="97"/>
      <c r="BH563" s="97"/>
      <c r="BI563" s="97"/>
      <c r="BJ563" s="97"/>
      <c r="BK563" s="110"/>
      <c r="BL563" s="97"/>
      <c r="BM563" s="97"/>
      <c r="BN563" s="97"/>
      <c r="BO563" s="147"/>
      <c r="BP563" s="143">
        <f t="shared" si="95"/>
        <v>0</v>
      </c>
      <c r="BQ563" s="147"/>
      <c r="BR563" s="143">
        <f t="shared" si="96"/>
        <v>0</v>
      </c>
      <c r="BS563" s="132"/>
      <c r="BT563" s="146">
        <f t="shared" si="97"/>
        <v>0</v>
      </c>
      <c r="BU563" s="66"/>
      <c r="BV563" s="143">
        <f t="shared" si="98"/>
        <v>0</v>
      </c>
      <c r="BW563" s="66"/>
      <c r="BX563" s="146">
        <f t="shared" si="99"/>
        <v>0</v>
      </c>
      <c r="BY563" s="66"/>
      <c r="BZ563" s="146">
        <f t="shared" si="100"/>
        <v>0</v>
      </c>
      <c r="CA563" s="66"/>
      <c r="CB563" s="146">
        <f t="shared" si="101"/>
        <v>0</v>
      </c>
      <c r="CC563" s="66"/>
      <c r="CD563" s="143">
        <f t="shared" si="102"/>
        <v>0</v>
      </c>
      <c r="CE563" s="66"/>
      <c r="CF563" s="143">
        <f t="shared" si="103"/>
        <v>0</v>
      </c>
      <c r="CG563" s="132"/>
      <c r="CH563" s="143">
        <f t="shared" si="104"/>
        <v>0</v>
      </c>
      <c r="CI563" s="132">
        <f t="shared" si="105"/>
        <v>0</v>
      </c>
      <c r="CJ563" s="143">
        <f t="shared" si="105"/>
        <v>0</v>
      </c>
    </row>
    <row r="564" spans="1:88" x14ac:dyDescent="0.3">
      <c r="A564" s="27"/>
      <c r="B564" s="27"/>
      <c r="C564" s="27"/>
      <c r="D564" s="27"/>
      <c r="E564" s="27"/>
      <c r="F564" s="27"/>
      <c r="G564" s="27"/>
      <c r="H564" s="27"/>
      <c r="I564" s="27"/>
      <c r="J564" s="27"/>
      <c r="K564" s="27"/>
      <c r="L564" s="27"/>
      <c r="N564" s="27"/>
      <c r="O564" s="27"/>
      <c r="P564" s="27"/>
      <c r="Q564" s="117" t="s">
        <v>1136</v>
      </c>
      <c r="R564" s="27"/>
      <c r="S564" s="27"/>
      <c r="T564" s="27"/>
      <c r="U564" s="27"/>
      <c r="V564" s="27"/>
      <c r="W564" s="27"/>
      <c r="X564" s="27"/>
      <c r="Y564" s="27"/>
      <c r="AE564" s="27"/>
      <c r="BD564" s="97"/>
      <c r="BE564" s="108"/>
      <c r="BF564" s="108"/>
      <c r="BG564" s="97"/>
      <c r="BH564" s="97"/>
      <c r="BI564" s="97"/>
      <c r="BJ564" s="97"/>
      <c r="BK564" s="110"/>
      <c r="BL564" s="97"/>
      <c r="BM564" s="97"/>
      <c r="BN564" s="97"/>
      <c r="BO564" s="147"/>
      <c r="BP564" s="143">
        <f t="shared" si="95"/>
        <v>0</v>
      </c>
      <c r="BQ564" s="147"/>
      <c r="BR564" s="143">
        <f t="shared" si="96"/>
        <v>0</v>
      </c>
      <c r="BS564" s="132"/>
      <c r="BT564" s="146">
        <f t="shared" si="97"/>
        <v>0</v>
      </c>
      <c r="BU564" s="66"/>
      <c r="BV564" s="143">
        <f t="shared" si="98"/>
        <v>0</v>
      </c>
      <c r="BW564" s="66"/>
      <c r="BX564" s="146">
        <f t="shared" si="99"/>
        <v>0</v>
      </c>
      <c r="BY564" s="66"/>
      <c r="BZ564" s="146">
        <f t="shared" si="100"/>
        <v>0</v>
      </c>
      <c r="CA564" s="66"/>
      <c r="CB564" s="146">
        <f t="shared" si="101"/>
        <v>0</v>
      </c>
      <c r="CC564" s="66"/>
      <c r="CD564" s="143">
        <f t="shared" si="102"/>
        <v>0</v>
      </c>
      <c r="CE564" s="66"/>
      <c r="CF564" s="143">
        <f t="shared" si="103"/>
        <v>0</v>
      </c>
      <c r="CG564" s="132"/>
      <c r="CH564" s="143">
        <f t="shared" si="104"/>
        <v>0</v>
      </c>
      <c r="CI564" s="132">
        <f t="shared" si="105"/>
        <v>0</v>
      </c>
      <c r="CJ564" s="143">
        <f t="shared" si="105"/>
        <v>0</v>
      </c>
    </row>
    <row r="565" spans="1:88" x14ac:dyDescent="0.3">
      <c r="A565" s="27"/>
      <c r="B565" s="27"/>
      <c r="C565" s="27"/>
      <c r="D565" s="27"/>
      <c r="E565" s="27"/>
      <c r="F565" s="27"/>
      <c r="G565" s="27"/>
      <c r="H565" s="27"/>
      <c r="I565" s="27"/>
      <c r="J565" s="27"/>
      <c r="K565" s="27"/>
      <c r="L565" s="27"/>
      <c r="N565" s="27"/>
      <c r="O565" s="27"/>
      <c r="P565" s="27"/>
      <c r="Q565" s="117" t="s">
        <v>1137</v>
      </c>
      <c r="R565" s="27"/>
      <c r="S565" s="27"/>
      <c r="T565" s="27"/>
      <c r="U565" s="27"/>
      <c r="V565" s="27"/>
      <c r="W565" s="27"/>
      <c r="X565" s="27"/>
      <c r="Y565" s="27"/>
      <c r="AE565" s="27"/>
      <c r="BD565" s="97"/>
      <c r="BE565" s="108"/>
      <c r="BF565" s="108"/>
      <c r="BG565" s="97"/>
      <c r="BH565" s="97"/>
      <c r="BI565" s="97"/>
      <c r="BJ565" s="97"/>
      <c r="BK565" s="110"/>
      <c r="BL565" s="97"/>
      <c r="BM565" s="97"/>
      <c r="BN565" s="97"/>
      <c r="BO565" s="147"/>
      <c r="BP565" s="143">
        <f t="shared" si="95"/>
        <v>0</v>
      </c>
      <c r="BQ565" s="147"/>
      <c r="BR565" s="143">
        <f t="shared" si="96"/>
        <v>0</v>
      </c>
      <c r="BS565" s="132"/>
      <c r="BT565" s="146">
        <f t="shared" si="97"/>
        <v>0</v>
      </c>
      <c r="BU565" s="66"/>
      <c r="BV565" s="143">
        <f t="shared" si="98"/>
        <v>0</v>
      </c>
      <c r="BW565" s="66"/>
      <c r="BX565" s="146">
        <f t="shared" si="99"/>
        <v>0</v>
      </c>
      <c r="BY565" s="66"/>
      <c r="BZ565" s="146">
        <f t="shared" si="100"/>
        <v>0</v>
      </c>
      <c r="CA565" s="66"/>
      <c r="CB565" s="146">
        <f t="shared" si="101"/>
        <v>0</v>
      </c>
      <c r="CC565" s="66"/>
      <c r="CD565" s="143">
        <f t="shared" si="102"/>
        <v>0</v>
      </c>
      <c r="CE565" s="66"/>
      <c r="CF565" s="143">
        <f t="shared" si="103"/>
        <v>0</v>
      </c>
      <c r="CG565" s="132"/>
      <c r="CH565" s="143">
        <f t="shared" si="104"/>
        <v>0</v>
      </c>
      <c r="CI565" s="132">
        <f t="shared" si="105"/>
        <v>0</v>
      </c>
      <c r="CJ565" s="143">
        <f t="shared" si="105"/>
        <v>0</v>
      </c>
    </row>
    <row r="566" spans="1:88" x14ac:dyDescent="0.3">
      <c r="A566" s="27"/>
      <c r="B566" s="27"/>
      <c r="C566" s="27"/>
      <c r="D566" s="27"/>
      <c r="E566" s="27"/>
      <c r="F566" s="27"/>
      <c r="G566" s="27"/>
      <c r="H566" s="27"/>
      <c r="I566" s="27"/>
      <c r="J566" s="27"/>
      <c r="K566" s="27"/>
      <c r="L566" s="27"/>
      <c r="N566" s="27"/>
      <c r="O566" s="27"/>
      <c r="P566" s="27"/>
      <c r="Q566" s="117" t="s">
        <v>1138</v>
      </c>
      <c r="R566" s="27"/>
      <c r="S566" s="27"/>
      <c r="T566" s="27"/>
      <c r="U566" s="27"/>
      <c r="V566" s="27"/>
      <c r="W566" s="27"/>
      <c r="X566" s="27"/>
      <c r="Y566" s="27"/>
      <c r="AE566" s="27"/>
      <c r="BD566" s="97"/>
      <c r="BE566" s="108"/>
      <c r="BF566" s="108"/>
      <c r="BG566" s="97"/>
      <c r="BH566" s="97"/>
      <c r="BI566" s="97"/>
      <c r="BJ566" s="97"/>
      <c r="BK566" s="110"/>
      <c r="BL566" s="97"/>
      <c r="BM566" s="97"/>
      <c r="BN566" s="97"/>
      <c r="BO566" s="147"/>
      <c r="BP566" s="143">
        <f t="shared" si="95"/>
        <v>0</v>
      </c>
      <c r="BQ566" s="147"/>
      <c r="BR566" s="143">
        <f t="shared" si="96"/>
        <v>0</v>
      </c>
      <c r="BS566" s="132"/>
      <c r="BT566" s="146">
        <f t="shared" si="97"/>
        <v>0</v>
      </c>
      <c r="BU566" s="66"/>
      <c r="BV566" s="143">
        <f t="shared" si="98"/>
        <v>0</v>
      </c>
      <c r="BW566" s="66"/>
      <c r="BX566" s="146">
        <f t="shared" si="99"/>
        <v>0</v>
      </c>
      <c r="BY566" s="66"/>
      <c r="BZ566" s="146">
        <f t="shared" si="100"/>
        <v>0</v>
      </c>
      <c r="CA566" s="66"/>
      <c r="CB566" s="146">
        <f t="shared" si="101"/>
        <v>0</v>
      </c>
      <c r="CC566" s="66"/>
      <c r="CD566" s="143">
        <f t="shared" si="102"/>
        <v>0</v>
      </c>
      <c r="CE566" s="66"/>
      <c r="CF566" s="143">
        <f t="shared" si="103"/>
        <v>0</v>
      </c>
      <c r="CG566" s="132"/>
      <c r="CH566" s="143">
        <f t="shared" si="104"/>
        <v>0</v>
      </c>
      <c r="CI566" s="132">
        <f t="shared" si="105"/>
        <v>0</v>
      </c>
      <c r="CJ566" s="143">
        <f t="shared" si="105"/>
        <v>0</v>
      </c>
    </row>
    <row r="567" spans="1:88" x14ac:dyDescent="0.3">
      <c r="A567" s="27"/>
      <c r="B567" s="27"/>
      <c r="C567" s="27"/>
      <c r="D567" s="27"/>
      <c r="E567" s="27"/>
      <c r="F567" s="27"/>
      <c r="G567" s="27"/>
      <c r="H567" s="27"/>
      <c r="I567" s="27"/>
      <c r="J567" s="27"/>
      <c r="K567" s="27"/>
      <c r="L567" s="27"/>
      <c r="N567" s="27"/>
      <c r="O567" s="27"/>
      <c r="P567" s="27"/>
      <c r="Q567" s="117" t="s">
        <v>1139</v>
      </c>
      <c r="R567" s="27"/>
      <c r="S567" s="27"/>
      <c r="T567" s="27"/>
      <c r="U567" s="27"/>
      <c r="V567" s="27"/>
      <c r="W567" s="27"/>
      <c r="X567" s="27"/>
      <c r="Y567" s="27"/>
      <c r="AE567" s="27"/>
      <c r="BD567" s="97"/>
      <c r="BE567" s="108"/>
      <c r="BF567" s="108"/>
      <c r="BG567" s="97"/>
      <c r="BH567" s="97"/>
      <c r="BI567" s="97"/>
      <c r="BJ567" s="97"/>
      <c r="BK567" s="110"/>
      <c r="BL567" s="97"/>
      <c r="BM567" s="97"/>
      <c r="BN567" s="97"/>
      <c r="BO567" s="147"/>
      <c r="BP567" s="143">
        <f t="shared" si="95"/>
        <v>0</v>
      </c>
      <c r="BQ567" s="147"/>
      <c r="BR567" s="143">
        <f t="shared" si="96"/>
        <v>0</v>
      </c>
      <c r="BS567" s="132"/>
      <c r="BT567" s="146">
        <f t="shared" si="97"/>
        <v>0</v>
      </c>
      <c r="BU567" s="66"/>
      <c r="BV567" s="143">
        <f t="shared" si="98"/>
        <v>0</v>
      </c>
      <c r="BW567" s="66"/>
      <c r="BX567" s="146">
        <f t="shared" si="99"/>
        <v>0</v>
      </c>
      <c r="BY567" s="66"/>
      <c r="BZ567" s="146">
        <f t="shared" si="100"/>
        <v>0</v>
      </c>
      <c r="CA567" s="66"/>
      <c r="CB567" s="146">
        <f t="shared" si="101"/>
        <v>0</v>
      </c>
      <c r="CC567" s="66"/>
      <c r="CD567" s="143">
        <f t="shared" si="102"/>
        <v>0</v>
      </c>
      <c r="CE567" s="66"/>
      <c r="CF567" s="143">
        <f t="shared" si="103"/>
        <v>0</v>
      </c>
      <c r="CG567" s="132"/>
      <c r="CH567" s="143">
        <f t="shared" si="104"/>
        <v>0</v>
      </c>
      <c r="CI567" s="132">
        <f t="shared" si="105"/>
        <v>0</v>
      </c>
      <c r="CJ567" s="143">
        <f t="shared" si="105"/>
        <v>0</v>
      </c>
    </row>
    <row r="568" spans="1:88" x14ac:dyDescent="0.3">
      <c r="A568" s="27"/>
      <c r="B568" s="27"/>
      <c r="C568" s="27"/>
      <c r="D568" s="27"/>
      <c r="E568" s="27"/>
      <c r="F568" s="27"/>
      <c r="G568" s="27"/>
      <c r="H568" s="27"/>
      <c r="I568" s="27"/>
      <c r="J568" s="27"/>
      <c r="K568" s="27"/>
      <c r="L568" s="27"/>
      <c r="N568" s="27"/>
      <c r="O568" s="27"/>
      <c r="P568" s="27"/>
      <c r="Q568" s="117" t="s">
        <v>1140</v>
      </c>
      <c r="R568" s="27"/>
      <c r="S568" s="27"/>
      <c r="T568" s="27"/>
      <c r="U568" s="27"/>
      <c r="V568" s="27"/>
      <c r="W568" s="27"/>
      <c r="X568" s="27"/>
      <c r="Y568" s="27"/>
      <c r="AE568" s="27"/>
      <c r="BD568" s="97"/>
      <c r="BE568" s="108"/>
      <c r="BF568" s="108"/>
      <c r="BG568" s="97"/>
      <c r="BH568" s="97"/>
      <c r="BI568" s="97"/>
      <c r="BJ568" s="97"/>
      <c r="BK568" s="110"/>
      <c r="BL568" s="97"/>
      <c r="BM568" s="97"/>
      <c r="BN568" s="97"/>
      <c r="BO568" s="147"/>
      <c r="BP568" s="143">
        <f t="shared" si="95"/>
        <v>0</v>
      </c>
      <c r="BQ568" s="147"/>
      <c r="BR568" s="143">
        <f t="shared" si="96"/>
        <v>0</v>
      </c>
      <c r="BS568" s="132"/>
      <c r="BT568" s="146">
        <f t="shared" si="97"/>
        <v>0</v>
      </c>
      <c r="BU568" s="66"/>
      <c r="BV568" s="143">
        <f t="shared" si="98"/>
        <v>0</v>
      </c>
      <c r="BW568" s="66"/>
      <c r="BX568" s="146">
        <f t="shared" si="99"/>
        <v>0</v>
      </c>
      <c r="BY568" s="66"/>
      <c r="BZ568" s="146">
        <f t="shared" si="100"/>
        <v>0</v>
      </c>
      <c r="CA568" s="66"/>
      <c r="CB568" s="146">
        <f t="shared" si="101"/>
        <v>0</v>
      </c>
      <c r="CC568" s="66"/>
      <c r="CD568" s="143">
        <f t="shared" si="102"/>
        <v>0</v>
      </c>
      <c r="CE568" s="66"/>
      <c r="CF568" s="143">
        <f t="shared" si="103"/>
        <v>0</v>
      </c>
      <c r="CG568" s="132"/>
      <c r="CH568" s="143">
        <f t="shared" si="104"/>
        <v>0</v>
      </c>
      <c r="CI568" s="132">
        <f t="shared" si="105"/>
        <v>0</v>
      </c>
      <c r="CJ568" s="143">
        <f t="shared" si="105"/>
        <v>0</v>
      </c>
    </row>
    <row r="569" spans="1:88" x14ac:dyDescent="0.3">
      <c r="A569" s="27"/>
      <c r="B569" s="27"/>
      <c r="C569" s="27"/>
      <c r="D569" s="27"/>
      <c r="E569" s="27"/>
      <c r="F569" s="27"/>
      <c r="G569" s="27"/>
      <c r="H569" s="27"/>
      <c r="I569" s="27"/>
      <c r="J569" s="27"/>
      <c r="K569" s="27"/>
      <c r="L569" s="27"/>
      <c r="N569" s="27"/>
      <c r="O569" s="27"/>
      <c r="P569" s="27"/>
      <c r="Q569" s="117" t="s">
        <v>1141</v>
      </c>
      <c r="R569" s="27"/>
      <c r="S569" s="27"/>
      <c r="T569" s="27"/>
      <c r="U569" s="27"/>
      <c r="V569" s="27"/>
      <c r="W569" s="27"/>
      <c r="X569" s="27"/>
      <c r="Y569" s="27"/>
      <c r="AE569" s="27"/>
      <c r="BD569" s="97"/>
      <c r="BE569" s="108"/>
      <c r="BF569" s="108"/>
      <c r="BG569" s="97"/>
      <c r="BH569" s="97"/>
      <c r="BI569" s="97"/>
      <c r="BJ569" s="97"/>
      <c r="BK569" s="110"/>
      <c r="BL569" s="97"/>
      <c r="BM569" s="97"/>
      <c r="BN569" s="97"/>
      <c r="BO569" s="147"/>
      <c r="BP569" s="143">
        <f t="shared" si="95"/>
        <v>0</v>
      </c>
      <c r="BQ569" s="147"/>
      <c r="BR569" s="143">
        <f t="shared" si="96"/>
        <v>0</v>
      </c>
      <c r="BS569" s="132"/>
      <c r="BT569" s="146">
        <f t="shared" si="97"/>
        <v>0</v>
      </c>
      <c r="BU569" s="66"/>
      <c r="BV569" s="143">
        <f t="shared" si="98"/>
        <v>0</v>
      </c>
      <c r="BW569" s="66"/>
      <c r="BX569" s="146">
        <f t="shared" si="99"/>
        <v>0</v>
      </c>
      <c r="BY569" s="66"/>
      <c r="BZ569" s="146">
        <f t="shared" si="100"/>
        <v>0</v>
      </c>
      <c r="CA569" s="66"/>
      <c r="CB569" s="146">
        <f t="shared" si="101"/>
        <v>0</v>
      </c>
      <c r="CC569" s="66"/>
      <c r="CD569" s="143">
        <f t="shared" si="102"/>
        <v>0</v>
      </c>
      <c r="CE569" s="66"/>
      <c r="CF569" s="143">
        <f t="shared" si="103"/>
        <v>0</v>
      </c>
      <c r="CG569" s="132"/>
      <c r="CH569" s="143">
        <f t="shared" si="104"/>
        <v>0</v>
      </c>
      <c r="CI569" s="132">
        <f t="shared" si="105"/>
        <v>0</v>
      </c>
      <c r="CJ569" s="143">
        <f t="shared" si="105"/>
        <v>0</v>
      </c>
    </row>
    <row r="570" spans="1:88" x14ac:dyDescent="0.3">
      <c r="A570" s="27"/>
      <c r="B570" s="27"/>
      <c r="C570" s="27"/>
      <c r="D570" s="27"/>
      <c r="E570" s="27"/>
      <c r="F570" s="27"/>
      <c r="G570" s="27"/>
      <c r="H570" s="27"/>
      <c r="I570" s="27"/>
      <c r="J570" s="27"/>
      <c r="K570" s="27"/>
      <c r="L570" s="27"/>
      <c r="N570" s="27"/>
      <c r="O570" s="27"/>
      <c r="P570" s="27"/>
      <c r="Q570" s="117" t="s">
        <v>1142</v>
      </c>
      <c r="R570" s="27"/>
      <c r="S570" s="27"/>
      <c r="T570" s="27"/>
      <c r="U570" s="27"/>
      <c r="V570" s="27"/>
      <c r="W570" s="27"/>
      <c r="X570" s="27"/>
      <c r="Y570" s="27"/>
      <c r="AE570" s="27"/>
      <c r="BD570" s="97"/>
      <c r="BE570" s="108"/>
      <c r="BF570" s="108"/>
      <c r="BG570" s="97"/>
      <c r="BH570" s="97"/>
      <c r="BI570" s="97"/>
      <c r="BJ570" s="97"/>
      <c r="BK570" s="110"/>
      <c r="BL570" s="97"/>
      <c r="BM570" s="97"/>
      <c r="BN570" s="97"/>
      <c r="BO570" s="147"/>
      <c r="BP570" s="143">
        <f t="shared" si="95"/>
        <v>0</v>
      </c>
      <c r="BQ570" s="147"/>
      <c r="BR570" s="143">
        <f t="shared" si="96"/>
        <v>0</v>
      </c>
      <c r="BS570" s="132"/>
      <c r="BT570" s="146">
        <f t="shared" si="97"/>
        <v>0</v>
      </c>
      <c r="BU570" s="66"/>
      <c r="BV570" s="143">
        <f t="shared" si="98"/>
        <v>0</v>
      </c>
      <c r="BW570" s="66"/>
      <c r="BX570" s="146">
        <f t="shared" si="99"/>
        <v>0</v>
      </c>
      <c r="BY570" s="66"/>
      <c r="BZ570" s="146">
        <f t="shared" si="100"/>
        <v>0</v>
      </c>
      <c r="CA570" s="66"/>
      <c r="CB570" s="146">
        <f t="shared" si="101"/>
        <v>0</v>
      </c>
      <c r="CC570" s="66"/>
      <c r="CD570" s="143">
        <f t="shared" si="102"/>
        <v>0</v>
      </c>
      <c r="CE570" s="66"/>
      <c r="CF570" s="143">
        <f t="shared" si="103"/>
        <v>0</v>
      </c>
      <c r="CG570" s="132"/>
      <c r="CH570" s="143">
        <f t="shared" si="104"/>
        <v>0</v>
      </c>
      <c r="CI570" s="132">
        <f t="shared" si="105"/>
        <v>0</v>
      </c>
      <c r="CJ570" s="143">
        <f t="shared" si="105"/>
        <v>0</v>
      </c>
    </row>
    <row r="571" spans="1:88" x14ac:dyDescent="0.3">
      <c r="A571" s="27"/>
      <c r="B571" s="27"/>
      <c r="C571" s="27"/>
      <c r="D571" s="27"/>
      <c r="E571" s="27"/>
      <c r="F571" s="27"/>
      <c r="G571" s="27"/>
      <c r="H571" s="27"/>
      <c r="I571" s="27"/>
      <c r="J571" s="27"/>
      <c r="K571" s="27"/>
      <c r="L571" s="27"/>
      <c r="N571" s="27"/>
      <c r="O571" s="27"/>
      <c r="P571" s="27"/>
      <c r="Q571" s="117" t="s">
        <v>1143</v>
      </c>
      <c r="R571" s="27"/>
      <c r="S571" s="27"/>
      <c r="T571" s="27"/>
      <c r="U571" s="27"/>
      <c r="V571" s="27"/>
      <c r="W571" s="27"/>
      <c r="X571" s="27"/>
      <c r="Y571" s="27"/>
      <c r="AE571" s="27"/>
      <c r="BD571" s="97"/>
      <c r="BE571" s="108"/>
      <c r="BF571" s="108"/>
      <c r="BG571" s="97"/>
      <c r="BH571" s="97"/>
      <c r="BI571" s="97"/>
      <c r="BJ571" s="97"/>
      <c r="BK571" s="110"/>
      <c r="BL571" s="97"/>
      <c r="BM571" s="97"/>
      <c r="BN571" s="97"/>
      <c r="BO571" s="147"/>
      <c r="BP571" s="143">
        <f t="shared" si="95"/>
        <v>0</v>
      </c>
      <c r="BQ571" s="147"/>
      <c r="BR571" s="143">
        <f t="shared" si="96"/>
        <v>0</v>
      </c>
      <c r="BS571" s="132"/>
      <c r="BT571" s="146">
        <f t="shared" si="97"/>
        <v>0</v>
      </c>
      <c r="BU571" s="66"/>
      <c r="BV571" s="143">
        <f t="shared" si="98"/>
        <v>0</v>
      </c>
      <c r="BW571" s="66"/>
      <c r="BX571" s="146">
        <f t="shared" si="99"/>
        <v>0</v>
      </c>
      <c r="BY571" s="66"/>
      <c r="BZ571" s="146">
        <f t="shared" si="100"/>
        <v>0</v>
      </c>
      <c r="CA571" s="66"/>
      <c r="CB571" s="146">
        <f t="shared" si="101"/>
        <v>0</v>
      </c>
      <c r="CC571" s="66"/>
      <c r="CD571" s="143">
        <f t="shared" si="102"/>
        <v>0</v>
      </c>
      <c r="CE571" s="66"/>
      <c r="CF571" s="143">
        <f t="shared" si="103"/>
        <v>0</v>
      </c>
      <c r="CG571" s="132"/>
      <c r="CH571" s="143">
        <f t="shared" si="104"/>
        <v>0</v>
      </c>
      <c r="CI571" s="132">
        <f t="shared" si="105"/>
        <v>0</v>
      </c>
      <c r="CJ571" s="143">
        <f t="shared" si="105"/>
        <v>0</v>
      </c>
    </row>
    <row r="572" spans="1:88" x14ac:dyDescent="0.3">
      <c r="A572" s="27"/>
      <c r="B572" s="27"/>
      <c r="C572" s="27"/>
      <c r="D572" s="27"/>
      <c r="E572" s="27"/>
      <c r="F572" s="27"/>
      <c r="G572" s="27"/>
      <c r="H572" s="27"/>
      <c r="I572" s="27"/>
      <c r="J572" s="27"/>
      <c r="K572" s="27"/>
      <c r="L572" s="27"/>
      <c r="N572" s="27"/>
      <c r="O572" s="27"/>
      <c r="P572" s="27"/>
      <c r="Q572" s="117" t="s">
        <v>1144</v>
      </c>
      <c r="R572" s="27"/>
      <c r="S572" s="27"/>
      <c r="T572" s="27"/>
      <c r="U572" s="27"/>
      <c r="V572" s="27"/>
      <c r="W572" s="27"/>
      <c r="X572" s="27"/>
      <c r="Y572" s="27"/>
      <c r="AE572" s="27"/>
      <c r="BD572" s="97"/>
      <c r="BE572" s="108"/>
      <c r="BF572" s="108"/>
      <c r="BG572" s="97"/>
      <c r="BH572" s="97"/>
      <c r="BI572" s="97"/>
      <c r="BJ572" s="97"/>
      <c r="BK572" s="110"/>
      <c r="BL572" s="97"/>
      <c r="BM572" s="97"/>
      <c r="BN572" s="97"/>
      <c r="BO572" s="147"/>
      <c r="BP572" s="143">
        <f t="shared" si="95"/>
        <v>0</v>
      </c>
      <c r="BQ572" s="147"/>
      <c r="BR572" s="143">
        <f t="shared" si="96"/>
        <v>0</v>
      </c>
      <c r="BS572" s="132"/>
      <c r="BT572" s="146">
        <f t="shared" si="97"/>
        <v>0</v>
      </c>
      <c r="BU572" s="66"/>
      <c r="BV572" s="143">
        <f t="shared" si="98"/>
        <v>0</v>
      </c>
      <c r="BW572" s="66"/>
      <c r="BX572" s="146">
        <f t="shared" si="99"/>
        <v>0</v>
      </c>
      <c r="BY572" s="66"/>
      <c r="BZ572" s="146">
        <f t="shared" si="100"/>
        <v>0</v>
      </c>
      <c r="CA572" s="66"/>
      <c r="CB572" s="146">
        <f t="shared" si="101"/>
        <v>0</v>
      </c>
      <c r="CC572" s="66"/>
      <c r="CD572" s="143">
        <f t="shared" si="102"/>
        <v>0</v>
      </c>
      <c r="CE572" s="66"/>
      <c r="CF572" s="143">
        <f t="shared" si="103"/>
        <v>0</v>
      </c>
      <c r="CG572" s="132"/>
      <c r="CH572" s="143">
        <f t="shared" si="104"/>
        <v>0</v>
      </c>
      <c r="CI572" s="132">
        <f t="shared" si="105"/>
        <v>0</v>
      </c>
      <c r="CJ572" s="143">
        <f t="shared" si="105"/>
        <v>0</v>
      </c>
    </row>
    <row r="573" spans="1:88" x14ac:dyDescent="0.3">
      <c r="A573" s="27"/>
      <c r="B573" s="27"/>
      <c r="C573" s="27"/>
      <c r="D573" s="27"/>
      <c r="E573" s="27"/>
      <c r="F573" s="27"/>
      <c r="G573" s="27"/>
      <c r="H573" s="27"/>
      <c r="I573" s="27"/>
      <c r="J573" s="27"/>
      <c r="K573" s="27"/>
      <c r="L573" s="27"/>
      <c r="N573" s="27"/>
      <c r="O573" s="27"/>
      <c r="P573" s="27"/>
      <c r="Q573" s="117" t="s">
        <v>1145</v>
      </c>
      <c r="R573" s="27"/>
      <c r="S573" s="27"/>
      <c r="T573" s="27"/>
      <c r="U573" s="27"/>
      <c r="V573" s="27"/>
      <c r="W573" s="27"/>
      <c r="X573" s="27"/>
      <c r="Y573" s="27"/>
      <c r="AE573" s="27"/>
      <c r="BD573" s="97"/>
      <c r="BE573" s="108"/>
      <c r="BF573" s="108"/>
      <c r="BG573" s="97"/>
      <c r="BH573" s="97"/>
      <c r="BI573" s="97"/>
      <c r="BJ573" s="97"/>
      <c r="BK573" s="110"/>
      <c r="BL573" s="97"/>
      <c r="BM573" s="97"/>
      <c r="BN573" s="97"/>
      <c r="BO573" s="147"/>
      <c r="BP573" s="143">
        <f t="shared" si="95"/>
        <v>0</v>
      </c>
      <c r="BQ573" s="147"/>
      <c r="BR573" s="143">
        <f t="shared" si="96"/>
        <v>0</v>
      </c>
      <c r="BS573" s="132"/>
      <c r="BT573" s="146">
        <f t="shared" si="97"/>
        <v>0</v>
      </c>
      <c r="BU573" s="66"/>
      <c r="BV573" s="143">
        <f t="shared" si="98"/>
        <v>0</v>
      </c>
      <c r="BW573" s="66"/>
      <c r="BX573" s="146">
        <f t="shared" si="99"/>
        <v>0</v>
      </c>
      <c r="BY573" s="66"/>
      <c r="BZ573" s="146">
        <f t="shared" si="100"/>
        <v>0</v>
      </c>
      <c r="CA573" s="66"/>
      <c r="CB573" s="146">
        <f t="shared" si="101"/>
        <v>0</v>
      </c>
      <c r="CC573" s="66"/>
      <c r="CD573" s="143">
        <f t="shared" si="102"/>
        <v>0</v>
      </c>
      <c r="CE573" s="66"/>
      <c r="CF573" s="143">
        <f t="shared" si="103"/>
        <v>0</v>
      </c>
      <c r="CG573" s="132"/>
      <c r="CH573" s="143">
        <f t="shared" si="104"/>
        <v>0</v>
      </c>
      <c r="CI573" s="132">
        <f t="shared" si="105"/>
        <v>0</v>
      </c>
      <c r="CJ573" s="143">
        <f t="shared" si="105"/>
        <v>0</v>
      </c>
    </row>
    <row r="574" spans="1:88" x14ac:dyDescent="0.3">
      <c r="A574" s="27"/>
      <c r="B574" s="27"/>
      <c r="C574" s="27"/>
      <c r="D574" s="27"/>
      <c r="E574" s="27"/>
      <c r="F574" s="27"/>
      <c r="G574" s="27"/>
      <c r="H574" s="27"/>
      <c r="I574" s="27"/>
      <c r="J574" s="27"/>
      <c r="K574" s="27"/>
      <c r="L574" s="27"/>
      <c r="N574" s="27"/>
      <c r="O574" s="27"/>
      <c r="P574" s="27"/>
      <c r="Q574" s="117" t="s">
        <v>1146</v>
      </c>
      <c r="R574" s="27"/>
      <c r="S574" s="27"/>
      <c r="T574" s="27"/>
      <c r="U574" s="27"/>
      <c r="V574" s="27"/>
      <c r="W574" s="27"/>
      <c r="X574" s="27"/>
      <c r="Y574" s="27"/>
      <c r="AE574" s="27"/>
      <c r="BD574" s="97"/>
      <c r="BE574" s="108"/>
      <c r="BF574" s="108"/>
      <c r="BG574" s="97"/>
      <c r="BH574" s="97"/>
      <c r="BI574" s="97"/>
      <c r="BJ574" s="97"/>
      <c r="BK574" s="110"/>
      <c r="BL574" s="97"/>
      <c r="BM574" s="97"/>
      <c r="BN574" s="97"/>
      <c r="BO574" s="147"/>
      <c r="BP574" s="143">
        <f t="shared" si="95"/>
        <v>0</v>
      </c>
      <c r="BQ574" s="147"/>
      <c r="BR574" s="143">
        <f t="shared" si="96"/>
        <v>0</v>
      </c>
      <c r="BS574" s="132"/>
      <c r="BT574" s="146">
        <f t="shared" si="97"/>
        <v>0</v>
      </c>
      <c r="BU574" s="66"/>
      <c r="BV574" s="143">
        <f t="shared" si="98"/>
        <v>0</v>
      </c>
      <c r="BW574" s="66"/>
      <c r="BX574" s="146">
        <f t="shared" si="99"/>
        <v>0</v>
      </c>
      <c r="BY574" s="66"/>
      <c r="BZ574" s="146">
        <f t="shared" si="100"/>
        <v>0</v>
      </c>
      <c r="CA574" s="66"/>
      <c r="CB574" s="146">
        <f t="shared" si="101"/>
        <v>0</v>
      </c>
      <c r="CC574" s="66"/>
      <c r="CD574" s="143">
        <f t="shared" si="102"/>
        <v>0</v>
      </c>
      <c r="CE574" s="66"/>
      <c r="CF574" s="143">
        <f t="shared" si="103"/>
        <v>0</v>
      </c>
      <c r="CG574" s="132"/>
      <c r="CH574" s="143">
        <f t="shared" si="104"/>
        <v>0</v>
      </c>
      <c r="CI574" s="132">
        <f t="shared" si="105"/>
        <v>0</v>
      </c>
      <c r="CJ574" s="143">
        <f t="shared" si="105"/>
        <v>0</v>
      </c>
    </row>
    <row r="575" spans="1:88" x14ac:dyDescent="0.3">
      <c r="A575" s="27"/>
      <c r="B575" s="27"/>
      <c r="C575" s="27"/>
      <c r="D575" s="27"/>
      <c r="E575" s="27"/>
      <c r="F575" s="27"/>
      <c r="G575" s="27"/>
      <c r="H575" s="27"/>
      <c r="I575" s="27"/>
      <c r="J575" s="27"/>
      <c r="K575" s="27"/>
      <c r="L575" s="27"/>
      <c r="N575" s="27"/>
      <c r="O575" s="27"/>
      <c r="P575" s="27"/>
      <c r="Q575" s="117" t="s">
        <v>1147</v>
      </c>
      <c r="R575" s="27"/>
      <c r="S575" s="27"/>
      <c r="T575" s="27"/>
      <c r="U575" s="27"/>
      <c r="V575" s="27"/>
      <c r="W575" s="27"/>
      <c r="X575" s="27"/>
      <c r="Y575" s="27"/>
      <c r="AE575" s="27"/>
      <c r="BD575" s="97"/>
      <c r="BE575" s="108"/>
      <c r="BF575" s="108"/>
      <c r="BG575" s="97"/>
      <c r="BH575" s="97"/>
      <c r="BI575" s="97"/>
      <c r="BJ575" s="97"/>
      <c r="BK575" s="110"/>
      <c r="BL575" s="97"/>
      <c r="BM575" s="97"/>
      <c r="BN575" s="97"/>
      <c r="BO575" s="147"/>
      <c r="BP575" s="143">
        <f t="shared" si="95"/>
        <v>0</v>
      </c>
      <c r="BQ575" s="147"/>
      <c r="BR575" s="143">
        <f t="shared" si="96"/>
        <v>0</v>
      </c>
      <c r="BS575" s="132"/>
      <c r="BT575" s="146">
        <f t="shared" si="97"/>
        <v>0</v>
      </c>
      <c r="BU575" s="66"/>
      <c r="BV575" s="143">
        <f t="shared" si="98"/>
        <v>0</v>
      </c>
      <c r="BW575" s="66"/>
      <c r="BX575" s="146">
        <f t="shared" si="99"/>
        <v>0</v>
      </c>
      <c r="BY575" s="66"/>
      <c r="BZ575" s="146">
        <f t="shared" si="100"/>
        <v>0</v>
      </c>
      <c r="CA575" s="66"/>
      <c r="CB575" s="146">
        <f t="shared" si="101"/>
        <v>0</v>
      </c>
      <c r="CC575" s="66"/>
      <c r="CD575" s="143">
        <f t="shared" si="102"/>
        <v>0</v>
      </c>
      <c r="CE575" s="66"/>
      <c r="CF575" s="143">
        <f t="shared" si="103"/>
        <v>0</v>
      </c>
      <c r="CG575" s="132"/>
      <c r="CH575" s="143">
        <f t="shared" si="104"/>
        <v>0</v>
      </c>
      <c r="CI575" s="132">
        <f t="shared" si="105"/>
        <v>0</v>
      </c>
      <c r="CJ575" s="143">
        <f t="shared" si="105"/>
        <v>0</v>
      </c>
    </row>
    <row r="576" spans="1:88" x14ac:dyDescent="0.3">
      <c r="A576" s="27"/>
      <c r="B576" s="27"/>
      <c r="C576" s="27"/>
      <c r="D576" s="27"/>
      <c r="E576" s="27"/>
      <c r="F576" s="27"/>
      <c r="G576" s="27"/>
      <c r="H576" s="27"/>
      <c r="I576" s="27"/>
      <c r="J576" s="27"/>
      <c r="K576" s="27"/>
      <c r="L576" s="27"/>
      <c r="N576" s="27"/>
      <c r="O576" s="27"/>
      <c r="P576" s="27"/>
      <c r="Q576" s="117" t="s">
        <v>1148</v>
      </c>
      <c r="R576" s="27"/>
      <c r="S576" s="27"/>
      <c r="T576" s="27"/>
      <c r="U576" s="27"/>
      <c r="V576" s="27"/>
      <c r="W576" s="27"/>
      <c r="X576" s="27"/>
      <c r="Y576" s="27"/>
      <c r="AE576" s="27"/>
      <c r="BD576" s="97"/>
      <c r="BE576" s="108"/>
      <c r="BF576" s="108"/>
      <c r="BG576" s="97"/>
      <c r="BH576" s="97"/>
      <c r="BI576" s="97"/>
      <c r="BJ576" s="97"/>
      <c r="BK576" s="110"/>
      <c r="BL576" s="97"/>
      <c r="BM576" s="97"/>
      <c r="BN576" s="97"/>
      <c r="BO576" s="147"/>
      <c r="BP576" s="143">
        <f t="shared" si="95"/>
        <v>0</v>
      </c>
      <c r="BQ576" s="147"/>
      <c r="BR576" s="143">
        <f t="shared" si="96"/>
        <v>0</v>
      </c>
      <c r="BS576" s="132"/>
      <c r="BT576" s="146">
        <f t="shared" si="97"/>
        <v>0</v>
      </c>
      <c r="BU576" s="66"/>
      <c r="BV576" s="143">
        <f t="shared" si="98"/>
        <v>0</v>
      </c>
      <c r="BW576" s="66"/>
      <c r="BX576" s="146">
        <f t="shared" si="99"/>
        <v>0</v>
      </c>
      <c r="BY576" s="66"/>
      <c r="BZ576" s="146">
        <f t="shared" si="100"/>
        <v>0</v>
      </c>
      <c r="CA576" s="66"/>
      <c r="CB576" s="146">
        <f t="shared" si="101"/>
        <v>0</v>
      </c>
      <c r="CC576" s="66"/>
      <c r="CD576" s="143">
        <f t="shared" si="102"/>
        <v>0</v>
      </c>
      <c r="CE576" s="66"/>
      <c r="CF576" s="143">
        <f t="shared" si="103"/>
        <v>0</v>
      </c>
      <c r="CG576" s="132"/>
      <c r="CH576" s="143">
        <f t="shared" si="104"/>
        <v>0</v>
      </c>
      <c r="CI576" s="132">
        <f t="shared" si="105"/>
        <v>0</v>
      </c>
      <c r="CJ576" s="143">
        <f t="shared" si="105"/>
        <v>0</v>
      </c>
    </row>
    <row r="577" spans="1:88" x14ac:dyDescent="0.3">
      <c r="A577" s="27"/>
      <c r="B577" s="27"/>
      <c r="C577" s="27"/>
      <c r="D577" s="27"/>
      <c r="E577" s="27"/>
      <c r="F577" s="27"/>
      <c r="G577" s="27"/>
      <c r="H577" s="27"/>
      <c r="I577" s="27"/>
      <c r="J577" s="27"/>
      <c r="K577" s="27"/>
      <c r="L577" s="27"/>
      <c r="N577" s="27"/>
      <c r="O577" s="27"/>
      <c r="P577" s="27"/>
      <c r="Q577" s="117" t="s">
        <v>1149</v>
      </c>
      <c r="R577" s="27"/>
      <c r="S577" s="27"/>
      <c r="T577" s="27"/>
      <c r="U577" s="27"/>
      <c r="V577" s="27"/>
      <c r="W577" s="27"/>
      <c r="X577" s="27"/>
      <c r="Y577" s="27"/>
      <c r="AE577" s="27"/>
      <c r="BD577" s="97"/>
      <c r="BE577" s="108"/>
      <c r="BF577" s="108"/>
      <c r="BG577" s="97"/>
      <c r="BH577" s="97"/>
      <c r="BI577" s="97"/>
      <c r="BJ577" s="97"/>
      <c r="BK577" s="110"/>
      <c r="BL577" s="97"/>
      <c r="BM577" s="97"/>
      <c r="BN577" s="97"/>
      <c r="BO577" s="142"/>
      <c r="BP577" s="143">
        <f t="shared" si="95"/>
        <v>0</v>
      </c>
      <c r="BQ577" s="142"/>
      <c r="BR577" s="143">
        <f t="shared" si="96"/>
        <v>0</v>
      </c>
      <c r="BS577" s="132"/>
      <c r="BT577" s="146">
        <f t="shared" si="97"/>
        <v>0</v>
      </c>
      <c r="BU577" s="132"/>
      <c r="BV577" s="143">
        <f t="shared" si="98"/>
        <v>0</v>
      </c>
      <c r="BW577" s="132"/>
      <c r="BX577" s="146">
        <f t="shared" si="99"/>
        <v>0</v>
      </c>
      <c r="BY577" s="132"/>
      <c r="BZ577" s="146">
        <f t="shared" si="100"/>
        <v>0</v>
      </c>
      <c r="CA577" s="132"/>
      <c r="CB577" s="146">
        <f t="shared" si="101"/>
        <v>0</v>
      </c>
      <c r="CC577" s="132"/>
      <c r="CD577" s="143">
        <f t="shared" si="102"/>
        <v>0</v>
      </c>
      <c r="CE577" s="132"/>
      <c r="CF577" s="143">
        <f t="shared" si="103"/>
        <v>0</v>
      </c>
      <c r="CG577" s="132"/>
      <c r="CH577" s="143">
        <f t="shared" si="104"/>
        <v>0</v>
      </c>
      <c r="CI577" s="132">
        <f t="shared" si="105"/>
        <v>0</v>
      </c>
      <c r="CJ577" s="143">
        <f t="shared" si="105"/>
        <v>0</v>
      </c>
    </row>
    <row r="578" spans="1:88" x14ac:dyDescent="0.3">
      <c r="A578" s="27"/>
      <c r="B578" s="27"/>
      <c r="C578" s="27"/>
      <c r="D578" s="27"/>
      <c r="E578" s="27"/>
      <c r="F578" s="27"/>
      <c r="G578" s="27"/>
      <c r="H578" s="27"/>
      <c r="I578" s="27"/>
      <c r="J578" s="27"/>
      <c r="K578" s="27"/>
      <c r="L578" s="27"/>
      <c r="N578" s="27"/>
      <c r="O578" s="27"/>
      <c r="P578" s="27"/>
      <c r="Q578" s="117" t="s">
        <v>1150</v>
      </c>
      <c r="R578" s="27"/>
      <c r="S578" s="27"/>
      <c r="T578" s="27"/>
      <c r="U578" s="27"/>
      <c r="V578" s="27"/>
      <c r="W578" s="27"/>
      <c r="X578" s="27"/>
      <c r="Y578" s="27"/>
      <c r="AE578" s="27"/>
      <c r="BD578" s="97"/>
      <c r="BE578" s="108"/>
      <c r="BF578" s="108"/>
      <c r="BG578" s="97"/>
      <c r="BH578" s="97"/>
      <c r="BI578" s="97"/>
      <c r="BJ578" s="97"/>
      <c r="BK578" s="110"/>
      <c r="BL578" s="97"/>
      <c r="BM578" s="97"/>
      <c r="BN578" s="97"/>
      <c r="BO578" s="147"/>
      <c r="BP578" s="143">
        <f t="shared" si="95"/>
        <v>0</v>
      </c>
      <c r="BQ578" s="147"/>
      <c r="BR578" s="143">
        <f t="shared" si="96"/>
        <v>0</v>
      </c>
      <c r="BS578" s="132"/>
      <c r="BT578" s="146">
        <f t="shared" si="97"/>
        <v>0</v>
      </c>
      <c r="BU578" s="66"/>
      <c r="BV578" s="143">
        <f t="shared" si="98"/>
        <v>0</v>
      </c>
      <c r="BW578" s="66"/>
      <c r="BX578" s="146">
        <f t="shared" si="99"/>
        <v>0</v>
      </c>
      <c r="BY578" s="66"/>
      <c r="BZ578" s="146">
        <f t="shared" si="100"/>
        <v>0</v>
      </c>
      <c r="CA578" s="66"/>
      <c r="CB578" s="146">
        <f t="shared" si="101"/>
        <v>0</v>
      </c>
      <c r="CC578" s="66"/>
      <c r="CD578" s="143">
        <f t="shared" si="102"/>
        <v>0</v>
      </c>
      <c r="CE578" s="66"/>
      <c r="CF578" s="143">
        <f t="shared" si="103"/>
        <v>0</v>
      </c>
      <c r="CG578" s="132"/>
      <c r="CH578" s="143">
        <f t="shared" si="104"/>
        <v>0</v>
      </c>
      <c r="CI578" s="132">
        <f t="shared" si="105"/>
        <v>0</v>
      </c>
      <c r="CJ578" s="143">
        <f t="shared" si="105"/>
        <v>0</v>
      </c>
    </row>
    <row r="579" spans="1:88" x14ac:dyDescent="0.3">
      <c r="A579" s="27"/>
      <c r="B579" s="27"/>
      <c r="C579" s="27"/>
      <c r="D579" s="27"/>
      <c r="E579" s="27"/>
      <c r="F579" s="27"/>
      <c r="G579" s="27"/>
      <c r="H579" s="27"/>
      <c r="I579" s="27"/>
      <c r="J579" s="27"/>
      <c r="K579" s="27"/>
      <c r="L579" s="27"/>
      <c r="N579" s="27"/>
      <c r="O579" s="27"/>
      <c r="P579" s="27"/>
      <c r="Q579" s="117" t="s">
        <v>1151</v>
      </c>
      <c r="R579" s="27"/>
      <c r="S579" s="27"/>
      <c r="T579" s="27"/>
      <c r="U579" s="27"/>
      <c r="V579" s="27"/>
      <c r="W579" s="27"/>
      <c r="X579" s="27"/>
      <c r="Y579" s="27"/>
      <c r="AE579" s="27"/>
      <c r="BD579" s="97"/>
      <c r="BE579" s="108"/>
      <c r="BF579" s="108"/>
      <c r="BG579" s="97"/>
      <c r="BH579" s="97"/>
      <c r="BI579" s="97"/>
      <c r="BJ579" s="97"/>
      <c r="BK579" s="110"/>
      <c r="BL579" s="97"/>
      <c r="BM579" s="97"/>
      <c r="BN579" s="97"/>
      <c r="BO579" s="147"/>
      <c r="BP579" s="143">
        <f t="shared" si="95"/>
        <v>0</v>
      </c>
      <c r="BQ579" s="147"/>
      <c r="BR579" s="143">
        <f t="shared" si="96"/>
        <v>0</v>
      </c>
      <c r="BS579" s="132"/>
      <c r="BT579" s="146">
        <f t="shared" si="97"/>
        <v>0</v>
      </c>
      <c r="BU579" s="66"/>
      <c r="BV579" s="143">
        <f t="shared" si="98"/>
        <v>0</v>
      </c>
      <c r="BW579" s="66"/>
      <c r="BX579" s="146">
        <f t="shared" si="99"/>
        <v>0</v>
      </c>
      <c r="BY579" s="66"/>
      <c r="BZ579" s="146">
        <f t="shared" si="100"/>
        <v>0</v>
      </c>
      <c r="CA579" s="66"/>
      <c r="CB579" s="146">
        <f t="shared" si="101"/>
        <v>0</v>
      </c>
      <c r="CC579" s="66"/>
      <c r="CD579" s="143">
        <f t="shared" si="102"/>
        <v>0</v>
      </c>
      <c r="CE579" s="66"/>
      <c r="CF579" s="143">
        <f t="shared" si="103"/>
        <v>0</v>
      </c>
      <c r="CG579" s="132"/>
      <c r="CH579" s="143">
        <f t="shared" si="104"/>
        <v>0</v>
      </c>
      <c r="CI579" s="132">
        <f t="shared" si="105"/>
        <v>0</v>
      </c>
      <c r="CJ579" s="143">
        <f t="shared" si="105"/>
        <v>0</v>
      </c>
    </row>
    <row r="580" spans="1:88" x14ac:dyDescent="0.3">
      <c r="A580" s="27"/>
      <c r="B580" s="27"/>
      <c r="C580" s="27"/>
      <c r="D580" s="27"/>
      <c r="E580" s="27"/>
      <c r="F580" s="27"/>
      <c r="G580" s="27"/>
      <c r="H580" s="27"/>
      <c r="I580" s="27"/>
      <c r="J580" s="27"/>
      <c r="K580" s="27"/>
      <c r="L580" s="27"/>
      <c r="N580" s="27"/>
      <c r="O580" s="27"/>
      <c r="P580" s="27"/>
      <c r="Q580" s="117" t="s">
        <v>483</v>
      </c>
      <c r="R580" s="27"/>
      <c r="S580" s="27"/>
      <c r="T580" s="27"/>
      <c r="U580" s="27"/>
      <c r="V580" s="27"/>
      <c r="W580" s="27"/>
      <c r="X580" s="27"/>
      <c r="Y580" s="27"/>
      <c r="AE580" s="27"/>
      <c r="BD580" s="97"/>
      <c r="BE580" s="108"/>
      <c r="BF580" s="108"/>
      <c r="BG580" s="97"/>
      <c r="BH580" s="97"/>
      <c r="BI580" s="97"/>
      <c r="BJ580" s="97"/>
      <c r="BK580" s="110"/>
      <c r="BL580" s="97"/>
      <c r="BM580" s="97"/>
      <c r="BN580" s="97"/>
      <c r="BO580" s="147"/>
      <c r="BP580" s="143">
        <f t="shared" si="95"/>
        <v>0</v>
      </c>
      <c r="BQ580" s="147"/>
      <c r="BR580" s="143">
        <f t="shared" si="96"/>
        <v>0</v>
      </c>
      <c r="BS580" s="132"/>
      <c r="BT580" s="146">
        <f t="shared" si="97"/>
        <v>0</v>
      </c>
      <c r="BU580" s="66"/>
      <c r="BV580" s="143">
        <f t="shared" si="98"/>
        <v>0</v>
      </c>
      <c r="BW580" s="66"/>
      <c r="BX580" s="146">
        <f t="shared" si="99"/>
        <v>0</v>
      </c>
      <c r="BY580" s="66"/>
      <c r="BZ580" s="146">
        <f t="shared" si="100"/>
        <v>0</v>
      </c>
      <c r="CA580" s="66"/>
      <c r="CB580" s="146">
        <f t="shared" si="101"/>
        <v>0</v>
      </c>
      <c r="CC580" s="66"/>
      <c r="CD580" s="143">
        <f t="shared" si="102"/>
        <v>0</v>
      </c>
      <c r="CE580" s="66"/>
      <c r="CF580" s="143">
        <f t="shared" si="103"/>
        <v>0</v>
      </c>
      <c r="CG580" s="132"/>
      <c r="CH580" s="143">
        <f t="shared" si="104"/>
        <v>0</v>
      </c>
      <c r="CI580" s="132">
        <f t="shared" si="105"/>
        <v>0</v>
      </c>
      <c r="CJ580" s="143">
        <f t="shared" si="105"/>
        <v>0</v>
      </c>
    </row>
    <row r="581" spans="1:88" x14ac:dyDescent="0.3">
      <c r="A581" s="27"/>
      <c r="B581" s="27"/>
      <c r="C581" s="27"/>
      <c r="D581" s="27"/>
      <c r="E581" s="27"/>
      <c r="F581" s="27"/>
      <c r="G581" s="27"/>
      <c r="H581" s="27"/>
      <c r="I581" s="27"/>
      <c r="J581" s="27"/>
      <c r="K581" s="27"/>
      <c r="L581" s="27"/>
      <c r="N581" s="27"/>
      <c r="O581" s="27"/>
      <c r="P581" s="27"/>
      <c r="Q581" s="117" t="s">
        <v>1152</v>
      </c>
      <c r="R581" s="27"/>
      <c r="S581" s="27"/>
      <c r="T581" s="27"/>
      <c r="U581" s="27"/>
      <c r="V581" s="27"/>
      <c r="W581" s="27"/>
      <c r="X581" s="27"/>
      <c r="Y581" s="27"/>
      <c r="AE581" s="27"/>
      <c r="BD581" s="97"/>
      <c r="BE581" s="108"/>
      <c r="BF581" s="108"/>
      <c r="BG581" s="97"/>
      <c r="BH581" s="97"/>
      <c r="BI581" s="97"/>
      <c r="BJ581" s="97"/>
      <c r="BK581" s="110"/>
      <c r="BL581" s="97"/>
      <c r="BM581" s="97"/>
      <c r="BN581" s="97"/>
      <c r="BO581" s="147"/>
      <c r="BP581" s="143">
        <f t="shared" si="95"/>
        <v>0</v>
      </c>
      <c r="BQ581" s="147"/>
      <c r="BR581" s="143">
        <f t="shared" si="96"/>
        <v>0</v>
      </c>
      <c r="BS581" s="132"/>
      <c r="BT581" s="146">
        <f t="shared" si="97"/>
        <v>0</v>
      </c>
      <c r="BU581" s="66"/>
      <c r="BV581" s="143">
        <f t="shared" si="98"/>
        <v>0</v>
      </c>
      <c r="BW581" s="66"/>
      <c r="BX581" s="146">
        <f t="shared" si="99"/>
        <v>0</v>
      </c>
      <c r="BY581" s="66"/>
      <c r="BZ581" s="146">
        <f t="shared" si="100"/>
        <v>0</v>
      </c>
      <c r="CA581" s="66"/>
      <c r="CB581" s="146">
        <f t="shared" si="101"/>
        <v>0</v>
      </c>
      <c r="CC581" s="66"/>
      <c r="CD581" s="143">
        <f t="shared" si="102"/>
        <v>0</v>
      </c>
      <c r="CE581" s="66"/>
      <c r="CF581" s="143">
        <f t="shared" si="103"/>
        <v>0</v>
      </c>
      <c r="CG581" s="132"/>
      <c r="CH581" s="143">
        <f t="shared" si="104"/>
        <v>0</v>
      </c>
      <c r="CI581" s="132">
        <f t="shared" si="105"/>
        <v>0</v>
      </c>
      <c r="CJ581" s="143">
        <f t="shared" si="105"/>
        <v>0</v>
      </c>
    </row>
    <row r="582" spans="1:88" x14ac:dyDescent="0.3">
      <c r="A582" s="27"/>
      <c r="B582" s="27"/>
      <c r="C582" s="27"/>
      <c r="D582" s="27"/>
      <c r="E582" s="27"/>
      <c r="F582" s="27"/>
      <c r="G582" s="27"/>
      <c r="H582" s="27"/>
      <c r="I582" s="27"/>
      <c r="J582" s="27"/>
      <c r="K582" s="27"/>
      <c r="L582" s="27"/>
      <c r="N582" s="27"/>
      <c r="O582" s="27"/>
      <c r="P582" s="27"/>
      <c r="Q582" s="117" t="s">
        <v>1153</v>
      </c>
      <c r="R582" s="27"/>
      <c r="S582" s="27"/>
      <c r="T582" s="27"/>
      <c r="U582" s="27"/>
      <c r="V582" s="27"/>
      <c r="W582" s="27"/>
      <c r="X582" s="27"/>
      <c r="Y582" s="27"/>
      <c r="AE582" s="27"/>
      <c r="BD582" s="97"/>
      <c r="BE582" s="108"/>
      <c r="BF582" s="108"/>
      <c r="BG582" s="97"/>
      <c r="BH582" s="97"/>
      <c r="BI582" s="97"/>
      <c r="BJ582" s="97"/>
      <c r="BK582" s="110"/>
      <c r="BL582" s="97"/>
      <c r="BM582" s="97"/>
      <c r="BN582" s="97"/>
      <c r="BO582" s="147"/>
      <c r="BP582" s="143">
        <f t="shared" si="95"/>
        <v>0</v>
      </c>
      <c r="BQ582" s="147"/>
      <c r="BR582" s="143">
        <f t="shared" si="96"/>
        <v>0</v>
      </c>
      <c r="BS582" s="132"/>
      <c r="BT582" s="146">
        <f t="shared" si="97"/>
        <v>0</v>
      </c>
      <c r="BU582" s="66"/>
      <c r="BV582" s="143">
        <f t="shared" si="98"/>
        <v>0</v>
      </c>
      <c r="BW582" s="66"/>
      <c r="BX582" s="146">
        <f t="shared" si="99"/>
        <v>0</v>
      </c>
      <c r="BY582" s="66"/>
      <c r="BZ582" s="146">
        <f t="shared" si="100"/>
        <v>0</v>
      </c>
      <c r="CA582" s="66"/>
      <c r="CB582" s="146">
        <f t="shared" si="101"/>
        <v>0</v>
      </c>
      <c r="CC582" s="66"/>
      <c r="CD582" s="143">
        <f t="shared" si="102"/>
        <v>0</v>
      </c>
      <c r="CE582" s="66"/>
      <c r="CF582" s="143">
        <f t="shared" si="103"/>
        <v>0</v>
      </c>
      <c r="CG582" s="132"/>
      <c r="CH582" s="143">
        <f t="shared" si="104"/>
        <v>0</v>
      </c>
      <c r="CI582" s="132">
        <f t="shared" si="105"/>
        <v>0</v>
      </c>
      <c r="CJ582" s="143">
        <f t="shared" si="105"/>
        <v>0</v>
      </c>
    </row>
    <row r="583" spans="1:88" x14ac:dyDescent="0.3">
      <c r="A583" s="27"/>
      <c r="B583" s="27"/>
      <c r="C583" s="27"/>
      <c r="D583" s="27"/>
      <c r="E583" s="27"/>
      <c r="F583" s="27"/>
      <c r="G583" s="27"/>
      <c r="H583" s="27"/>
      <c r="I583" s="27"/>
      <c r="J583" s="27"/>
      <c r="K583" s="27"/>
      <c r="L583" s="27"/>
      <c r="N583" s="27"/>
      <c r="O583" s="27"/>
      <c r="P583" s="27"/>
      <c r="Q583" s="117" t="s">
        <v>1154</v>
      </c>
      <c r="R583" s="27"/>
      <c r="S583" s="27"/>
      <c r="T583" s="27"/>
      <c r="U583" s="27"/>
      <c r="V583" s="27"/>
      <c r="W583" s="27"/>
      <c r="X583" s="27"/>
      <c r="Y583" s="27"/>
      <c r="AE583" s="27"/>
      <c r="BD583" s="97"/>
      <c r="BE583" s="108"/>
      <c r="BF583" s="108"/>
      <c r="BG583" s="97"/>
      <c r="BH583" s="97"/>
      <c r="BI583" s="97"/>
      <c r="BJ583" s="97"/>
      <c r="BK583" s="110"/>
      <c r="BL583" s="97"/>
      <c r="BM583" s="97"/>
      <c r="BN583" s="97"/>
      <c r="BO583" s="147"/>
      <c r="BP583" s="143">
        <f t="shared" si="95"/>
        <v>0</v>
      </c>
      <c r="BQ583" s="147"/>
      <c r="BR583" s="143">
        <f t="shared" si="96"/>
        <v>0</v>
      </c>
      <c r="BS583" s="132"/>
      <c r="BT583" s="146">
        <f t="shared" si="97"/>
        <v>0</v>
      </c>
      <c r="BU583" s="66"/>
      <c r="BV583" s="143">
        <f t="shared" si="98"/>
        <v>0</v>
      </c>
      <c r="BW583" s="66"/>
      <c r="BX583" s="146">
        <f t="shared" si="99"/>
        <v>0</v>
      </c>
      <c r="BY583" s="66"/>
      <c r="BZ583" s="146">
        <f t="shared" si="100"/>
        <v>0</v>
      </c>
      <c r="CA583" s="66"/>
      <c r="CB583" s="146">
        <f t="shared" si="101"/>
        <v>0</v>
      </c>
      <c r="CC583" s="66"/>
      <c r="CD583" s="143">
        <f t="shared" si="102"/>
        <v>0</v>
      </c>
      <c r="CE583" s="66"/>
      <c r="CF583" s="143">
        <f t="shared" si="103"/>
        <v>0</v>
      </c>
      <c r="CG583" s="132"/>
      <c r="CH583" s="143">
        <f t="shared" si="104"/>
        <v>0</v>
      </c>
      <c r="CI583" s="132">
        <f t="shared" si="105"/>
        <v>0</v>
      </c>
      <c r="CJ583" s="143">
        <f t="shared" si="105"/>
        <v>0</v>
      </c>
    </row>
    <row r="584" spans="1:88" x14ac:dyDescent="0.3">
      <c r="A584" s="27"/>
      <c r="B584" s="27"/>
      <c r="C584" s="27"/>
      <c r="D584" s="27"/>
      <c r="E584" s="27"/>
      <c r="F584" s="27"/>
      <c r="G584" s="27"/>
      <c r="H584" s="27"/>
      <c r="I584" s="27"/>
      <c r="J584" s="27"/>
      <c r="K584" s="27"/>
      <c r="L584" s="27"/>
      <c r="N584" s="27"/>
      <c r="O584" s="27"/>
      <c r="P584" s="27"/>
      <c r="Q584" s="117" t="s">
        <v>1155</v>
      </c>
      <c r="R584" s="27"/>
      <c r="S584" s="27"/>
      <c r="T584" s="27"/>
      <c r="U584" s="27"/>
      <c r="V584" s="27"/>
      <c r="W584" s="27"/>
      <c r="X584" s="27"/>
      <c r="Y584" s="27"/>
      <c r="AE584" s="27"/>
      <c r="BD584" s="97"/>
      <c r="BE584" s="108"/>
      <c r="BF584" s="108"/>
      <c r="BG584" s="97"/>
      <c r="BH584" s="97"/>
      <c r="BI584" s="97"/>
      <c r="BJ584" s="97"/>
      <c r="BK584" s="110"/>
      <c r="BL584" s="97"/>
      <c r="BM584" s="97"/>
      <c r="BN584" s="97"/>
      <c r="BO584" s="147"/>
      <c r="BP584" s="143">
        <f t="shared" si="95"/>
        <v>0</v>
      </c>
      <c r="BQ584" s="147"/>
      <c r="BR584" s="143">
        <f t="shared" si="96"/>
        <v>0</v>
      </c>
      <c r="BS584" s="132"/>
      <c r="BT584" s="146">
        <f t="shared" si="97"/>
        <v>0</v>
      </c>
      <c r="BU584" s="66"/>
      <c r="BV584" s="143">
        <f t="shared" si="98"/>
        <v>0</v>
      </c>
      <c r="BW584" s="66"/>
      <c r="BX584" s="146">
        <f t="shared" si="99"/>
        <v>0</v>
      </c>
      <c r="BY584" s="66"/>
      <c r="BZ584" s="146">
        <f t="shared" si="100"/>
        <v>0</v>
      </c>
      <c r="CA584" s="66"/>
      <c r="CB584" s="146">
        <f t="shared" si="101"/>
        <v>0</v>
      </c>
      <c r="CC584" s="66"/>
      <c r="CD584" s="143">
        <f t="shared" si="102"/>
        <v>0</v>
      </c>
      <c r="CE584" s="66"/>
      <c r="CF584" s="143">
        <f t="shared" si="103"/>
        <v>0</v>
      </c>
      <c r="CG584" s="132"/>
      <c r="CH584" s="143">
        <f t="shared" si="104"/>
        <v>0</v>
      </c>
      <c r="CI584" s="132">
        <f t="shared" si="105"/>
        <v>0</v>
      </c>
      <c r="CJ584" s="143">
        <f t="shared" si="105"/>
        <v>0</v>
      </c>
    </row>
    <row r="585" spans="1:88" x14ac:dyDescent="0.3">
      <c r="A585" s="27"/>
      <c r="B585" s="27"/>
      <c r="C585" s="27"/>
      <c r="D585" s="27"/>
      <c r="E585" s="27"/>
      <c r="F585" s="27"/>
      <c r="G585" s="27"/>
      <c r="H585" s="27"/>
      <c r="I585" s="27"/>
      <c r="J585" s="27"/>
      <c r="K585" s="27"/>
      <c r="L585" s="27"/>
      <c r="N585" s="27"/>
      <c r="O585" s="27"/>
      <c r="P585" s="27"/>
      <c r="Q585" s="117" t="s">
        <v>1156</v>
      </c>
      <c r="R585" s="27"/>
      <c r="S585" s="27"/>
      <c r="T585" s="27"/>
      <c r="U585" s="27"/>
      <c r="V585" s="27"/>
      <c r="W585" s="27"/>
      <c r="X585" s="27"/>
      <c r="Y585" s="27"/>
      <c r="AE585" s="27"/>
      <c r="BD585" s="97"/>
      <c r="BE585" s="108"/>
      <c r="BF585" s="108"/>
      <c r="BG585" s="97"/>
      <c r="BH585" s="97"/>
      <c r="BI585" s="97"/>
      <c r="BJ585" s="97"/>
      <c r="BK585" s="110"/>
      <c r="BL585" s="97"/>
      <c r="BM585" s="97"/>
      <c r="BN585" s="97"/>
      <c r="BO585" s="147"/>
      <c r="BP585" s="143">
        <f t="shared" si="95"/>
        <v>0</v>
      </c>
      <c r="BQ585" s="147"/>
      <c r="BR585" s="143">
        <f t="shared" si="96"/>
        <v>0</v>
      </c>
      <c r="BS585" s="132"/>
      <c r="BT585" s="146">
        <f t="shared" si="97"/>
        <v>0</v>
      </c>
      <c r="BU585" s="66"/>
      <c r="BV585" s="143">
        <f t="shared" si="98"/>
        <v>0</v>
      </c>
      <c r="BW585" s="66"/>
      <c r="BX585" s="146">
        <f t="shared" si="99"/>
        <v>0</v>
      </c>
      <c r="BY585" s="66"/>
      <c r="BZ585" s="146">
        <f t="shared" si="100"/>
        <v>0</v>
      </c>
      <c r="CA585" s="66"/>
      <c r="CB585" s="146">
        <f t="shared" si="101"/>
        <v>0</v>
      </c>
      <c r="CC585" s="66"/>
      <c r="CD585" s="143">
        <f t="shared" si="102"/>
        <v>0</v>
      </c>
      <c r="CE585" s="66"/>
      <c r="CF585" s="143">
        <f t="shared" si="103"/>
        <v>0</v>
      </c>
      <c r="CG585" s="132"/>
      <c r="CH585" s="143">
        <f t="shared" si="104"/>
        <v>0</v>
      </c>
      <c r="CI585" s="132">
        <f t="shared" si="105"/>
        <v>0</v>
      </c>
      <c r="CJ585" s="143">
        <f t="shared" si="105"/>
        <v>0</v>
      </c>
    </row>
    <row r="586" spans="1:88" x14ac:dyDescent="0.3">
      <c r="A586" s="27"/>
      <c r="B586" s="27"/>
      <c r="C586" s="27"/>
      <c r="D586" s="27"/>
      <c r="E586" s="27"/>
      <c r="F586" s="27"/>
      <c r="G586" s="27"/>
      <c r="H586" s="27"/>
      <c r="I586" s="27"/>
      <c r="J586" s="27"/>
      <c r="K586" s="27"/>
      <c r="L586" s="27"/>
      <c r="N586" s="27"/>
      <c r="O586" s="27"/>
      <c r="P586" s="27"/>
      <c r="Q586" s="117" t="s">
        <v>1157</v>
      </c>
      <c r="R586" s="27"/>
      <c r="S586" s="27"/>
      <c r="T586" s="27"/>
      <c r="U586" s="27"/>
      <c r="V586" s="27"/>
      <c r="W586" s="27"/>
      <c r="X586" s="27"/>
      <c r="Y586" s="27"/>
      <c r="AE586" s="27"/>
      <c r="BD586" s="97"/>
      <c r="BE586" s="108"/>
      <c r="BF586" s="108"/>
      <c r="BG586" s="97"/>
      <c r="BH586" s="97"/>
      <c r="BI586" s="97"/>
      <c r="BJ586" s="97"/>
      <c r="BK586" s="110"/>
      <c r="BL586" s="97"/>
      <c r="BM586" s="97"/>
      <c r="BN586" s="97"/>
      <c r="BO586" s="147"/>
      <c r="BP586" s="143">
        <f t="shared" ref="BP586:BP617" si="106">BO586*AX586</f>
        <v>0</v>
      </c>
      <c r="BQ586" s="147"/>
      <c r="BR586" s="143">
        <f t="shared" ref="BR586:BR617" si="107">BQ586*AX586</f>
        <v>0</v>
      </c>
      <c r="BS586" s="132"/>
      <c r="BT586" s="146">
        <f t="shared" ref="BT586:BT617" si="108">BS586*AX586</f>
        <v>0</v>
      </c>
      <c r="BU586" s="66"/>
      <c r="BV586" s="143">
        <f t="shared" ref="BV586:BV617" si="109">BU586*AX586</f>
        <v>0</v>
      </c>
      <c r="BW586" s="66"/>
      <c r="BX586" s="146">
        <f t="shared" ref="BX586:BX617" si="110">BW586*AX586</f>
        <v>0</v>
      </c>
      <c r="BY586" s="66"/>
      <c r="BZ586" s="146">
        <f t="shared" ref="BZ586:BZ617" si="111">BY586*AX586</f>
        <v>0</v>
      </c>
      <c r="CA586" s="66"/>
      <c r="CB586" s="146">
        <f t="shared" ref="CB586:CB617" si="112">CA586*AX586</f>
        <v>0</v>
      </c>
      <c r="CC586" s="66"/>
      <c r="CD586" s="143">
        <f t="shared" ref="CD586:CD617" si="113">CC586*AX586</f>
        <v>0</v>
      </c>
      <c r="CE586" s="66"/>
      <c r="CF586" s="143">
        <f t="shared" ref="CF586:CF617" si="114">CE586*AX586</f>
        <v>0</v>
      </c>
      <c r="CG586" s="132"/>
      <c r="CH586" s="143">
        <f t="shared" ref="CH586:CH617" si="115">CG586*AX586</f>
        <v>0</v>
      </c>
      <c r="CI586" s="132">
        <f t="shared" ref="CI586:CJ617" si="116">SUM(BO586,BQ586,BS586,BU586,BW586,BY586,CA586,CC586,CE586,CG586)</f>
        <v>0</v>
      </c>
      <c r="CJ586" s="143">
        <f t="shared" si="116"/>
        <v>0</v>
      </c>
    </row>
    <row r="587" spans="1:88" x14ac:dyDescent="0.3">
      <c r="A587" s="27"/>
      <c r="B587" s="27"/>
      <c r="C587" s="27"/>
      <c r="D587" s="27"/>
      <c r="E587" s="27"/>
      <c r="F587" s="27"/>
      <c r="G587" s="27"/>
      <c r="H587" s="27"/>
      <c r="I587" s="27"/>
      <c r="J587" s="27"/>
      <c r="K587" s="27"/>
      <c r="L587" s="27"/>
      <c r="N587" s="27"/>
      <c r="O587" s="27"/>
      <c r="P587" s="27"/>
      <c r="Q587" s="117" t="s">
        <v>1158</v>
      </c>
      <c r="R587" s="27"/>
      <c r="S587" s="27"/>
      <c r="T587" s="27"/>
      <c r="U587" s="27"/>
      <c r="V587" s="27"/>
      <c r="W587" s="27"/>
      <c r="X587" s="27"/>
      <c r="Y587" s="27"/>
      <c r="AE587" s="27"/>
      <c r="BD587" s="97"/>
      <c r="BE587" s="108"/>
      <c r="BF587" s="108"/>
      <c r="BG587" s="97"/>
      <c r="BH587" s="97"/>
      <c r="BI587" s="97"/>
      <c r="BJ587" s="97"/>
      <c r="BK587" s="110"/>
      <c r="BL587" s="97"/>
      <c r="BM587" s="97"/>
      <c r="BN587" s="97"/>
      <c r="BO587" s="147"/>
      <c r="BP587" s="143">
        <f t="shared" si="106"/>
        <v>0</v>
      </c>
      <c r="BQ587" s="147"/>
      <c r="BR587" s="143">
        <f t="shared" si="107"/>
        <v>0</v>
      </c>
      <c r="BS587" s="132"/>
      <c r="BT587" s="146">
        <f t="shared" si="108"/>
        <v>0</v>
      </c>
      <c r="BU587" s="66"/>
      <c r="BV587" s="143">
        <f t="shared" si="109"/>
        <v>0</v>
      </c>
      <c r="BW587" s="66"/>
      <c r="BX587" s="146">
        <f t="shared" si="110"/>
        <v>0</v>
      </c>
      <c r="BY587" s="66"/>
      <c r="BZ587" s="146">
        <f t="shared" si="111"/>
        <v>0</v>
      </c>
      <c r="CA587" s="66"/>
      <c r="CB587" s="146">
        <f t="shared" si="112"/>
        <v>0</v>
      </c>
      <c r="CC587" s="66"/>
      <c r="CD587" s="143">
        <f t="shared" si="113"/>
        <v>0</v>
      </c>
      <c r="CE587" s="66"/>
      <c r="CF587" s="143">
        <f t="shared" si="114"/>
        <v>0</v>
      </c>
      <c r="CG587" s="132"/>
      <c r="CH587" s="143">
        <f t="shared" si="115"/>
        <v>0</v>
      </c>
      <c r="CI587" s="132">
        <f t="shared" si="116"/>
        <v>0</v>
      </c>
      <c r="CJ587" s="143">
        <f t="shared" si="116"/>
        <v>0</v>
      </c>
    </row>
    <row r="588" spans="1:88" ht="27.6" x14ac:dyDescent="0.3">
      <c r="A588" s="27"/>
      <c r="B588" s="27"/>
      <c r="C588" s="27"/>
      <c r="D588" s="27"/>
      <c r="E588" s="27"/>
      <c r="F588" s="27"/>
      <c r="G588" s="27"/>
      <c r="H588" s="27"/>
      <c r="I588" s="27"/>
      <c r="J588" s="27"/>
      <c r="K588" s="27"/>
      <c r="L588" s="27"/>
      <c r="N588" s="27"/>
      <c r="O588" s="27"/>
      <c r="P588" s="27"/>
      <c r="Q588" s="117" t="s">
        <v>1159</v>
      </c>
      <c r="R588" s="27"/>
      <c r="S588" s="27"/>
      <c r="T588" s="27"/>
      <c r="U588" s="27"/>
      <c r="V588" s="27"/>
      <c r="W588" s="27"/>
      <c r="X588" s="27"/>
      <c r="Y588" s="27"/>
      <c r="AE588" s="27"/>
      <c r="BD588" s="97"/>
      <c r="BE588" s="108"/>
      <c r="BF588" s="108"/>
      <c r="BG588" s="97"/>
      <c r="BH588" s="97"/>
      <c r="BI588" s="97"/>
      <c r="BJ588" s="97"/>
      <c r="BK588" s="110"/>
      <c r="BL588" s="97"/>
      <c r="BM588" s="97"/>
      <c r="BN588" s="97"/>
      <c r="BO588" s="147"/>
      <c r="BP588" s="143">
        <f t="shared" si="106"/>
        <v>0</v>
      </c>
      <c r="BQ588" s="147"/>
      <c r="BR588" s="143">
        <f t="shared" si="107"/>
        <v>0</v>
      </c>
      <c r="BS588" s="132"/>
      <c r="BT588" s="146">
        <f t="shared" si="108"/>
        <v>0</v>
      </c>
      <c r="BU588" s="66"/>
      <c r="BV588" s="143">
        <f t="shared" si="109"/>
        <v>0</v>
      </c>
      <c r="BW588" s="66"/>
      <c r="BX588" s="146">
        <f t="shared" si="110"/>
        <v>0</v>
      </c>
      <c r="BY588" s="66"/>
      <c r="BZ588" s="146">
        <f t="shared" si="111"/>
        <v>0</v>
      </c>
      <c r="CA588" s="66"/>
      <c r="CB588" s="146">
        <f t="shared" si="112"/>
        <v>0</v>
      </c>
      <c r="CC588" s="66"/>
      <c r="CD588" s="143">
        <f t="shared" si="113"/>
        <v>0</v>
      </c>
      <c r="CE588" s="66"/>
      <c r="CF588" s="143">
        <f t="shared" si="114"/>
        <v>0</v>
      </c>
      <c r="CG588" s="132"/>
      <c r="CH588" s="143">
        <f t="shared" si="115"/>
        <v>0</v>
      </c>
      <c r="CI588" s="132">
        <f t="shared" si="116"/>
        <v>0</v>
      </c>
      <c r="CJ588" s="143">
        <f t="shared" si="116"/>
        <v>0</v>
      </c>
    </row>
    <row r="589" spans="1:88" x14ac:dyDescent="0.3">
      <c r="A589" s="27"/>
      <c r="B589" s="27"/>
      <c r="C589" s="27"/>
      <c r="D589" s="27"/>
      <c r="E589" s="27"/>
      <c r="F589" s="27"/>
      <c r="G589" s="27"/>
      <c r="H589" s="27"/>
      <c r="I589" s="27"/>
      <c r="J589" s="27"/>
      <c r="K589" s="27"/>
      <c r="L589" s="27"/>
      <c r="N589" s="27"/>
      <c r="O589" s="27"/>
      <c r="P589" s="27"/>
      <c r="Q589" s="117" t="s">
        <v>1160</v>
      </c>
      <c r="R589" s="27"/>
      <c r="S589" s="27"/>
      <c r="T589" s="27"/>
      <c r="U589" s="27"/>
      <c r="V589" s="27"/>
      <c r="W589" s="27"/>
      <c r="X589" s="27"/>
      <c r="Y589" s="27"/>
      <c r="AE589" s="27"/>
      <c r="BD589" s="97"/>
      <c r="BE589" s="108"/>
      <c r="BF589" s="108"/>
      <c r="BG589" s="97"/>
      <c r="BH589" s="97"/>
      <c r="BI589" s="97"/>
      <c r="BJ589" s="97"/>
      <c r="BK589" s="110"/>
      <c r="BL589" s="97"/>
      <c r="BM589" s="97"/>
      <c r="BN589" s="97"/>
      <c r="BO589" s="147"/>
      <c r="BP589" s="143">
        <f t="shared" si="106"/>
        <v>0</v>
      </c>
      <c r="BQ589" s="147"/>
      <c r="BR589" s="143">
        <f t="shared" si="107"/>
        <v>0</v>
      </c>
      <c r="BS589" s="132"/>
      <c r="BT589" s="146">
        <f t="shared" si="108"/>
        <v>0</v>
      </c>
      <c r="BU589" s="66"/>
      <c r="BV589" s="143">
        <f t="shared" si="109"/>
        <v>0</v>
      </c>
      <c r="BW589" s="66"/>
      <c r="BX589" s="146">
        <f t="shared" si="110"/>
        <v>0</v>
      </c>
      <c r="BY589" s="66"/>
      <c r="BZ589" s="146">
        <f t="shared" si="111"/>
        <v>0</v>
      </c>
      <c r="CA589" s="66"/>
      <c r="CB589" s="146">
        <f t="shared" si="112"/>
        <v>0</v>
      </c>
      <c r="CC589" s="66"/>
      <c r="CD589" s="143">
        <f t="shared" si="113"/>
        <v>0</v>
      </c>
      <c r="CE589" s="66"/>
      <c r="CF589" s="143">
        <f t="shared" si="114"/>
        <v>0</v>
      </c>
      <c r="CG589" s="132"/>
      <c r="CH589" s="143">
        <f t="shared" si="115"/>
        <v>0</v>
      </c>
      <c r="CI589" s="132">
        <f t="shared" si="116"/>
        <v>0</v>
      </c>
      <c r="CJ589" s="143">
        <f t="shared" si="116"/>
        <v>0</v>
      </c>
    </row>
    <row r="590" spans="1:88" x14ac:dyDescent="0.3">
      <c r="A590" s="27"/>
      <c r="B590" s="27"/>
      <c r="C590" s="27"/>
      <c r="D590" s="27"/>
      <c r="E590" s="27"/>
      <c r="F590" s="27"/>
      <c r="G590" s="27"/>
      <c r="H590" s="27"/>
      <c r="I590" s="27"/>
      <c r="J590" s="27"/>
      <c r="K590" s="27"/>
      <c r="L590" s="27"/>
      <c r="N590" s="27"/>
      <c r="O590" s="27"/>
      <c r="P590" s="27"/>
      <c r="Q590" s="117" t="s">
        <v>1161</v>
      </c>
      <c r="R590" s="27"/>
      <c r="S590" s="27"/>
      <c r="T590" s="27"/>
      <c r="U590" s="27"/>
      <c r="V590" s="27"/>
      <c r="W590" s="27"/>
      <c r="X590" s="27"/>
      <c r="Y590" s="27"/>
      <c r="AE590" s="27"/>
      <c r="BD590" s="97"/>
      <c r="BE590" s="108"/>
      <c r="BF590" s="108"/>
      <c r="BG590" s="97"/>
      <c r="BH590" s="97"/>
      <c r="BI590" s="97"/>
      <c r="BJ590" s="97"/>
      <c r="BK590" s="110"/>
      <c r="BL590" s="97"/>
      <c r="BM590" s="97"/>
      <c r="BN590" s="97"/>
      <c r="BO590" s="147"/>
      <c r="BP590" s="143">
        <f t="shared" si="106"/>
        <v>0</v>
      </c>
      <c r="BQ590" s="147"/>
      <c r="BR590" s="143">
        <f t="shared" si="107"/>
        <v>0</v>
      </c>
      <c r="BS590" s="132"/>
      <c r="BT590" s="146">
        <f t="shared" si="108"/>
        <v>0</v>
      </c>
      <c r="BU590" s="66"/>
      <c r="BV590" s="143">
        <f t="shared" si="109"/>
        <v>0</v>
      </c>
      <c r="BW590" s="66"/>
      <c r="BX590" s="146">
        <f t="shared" si="110"/>
        <v>0</v>
      </c>
      <c r="BY590" s="66"/>
      <c r="BZ590" s="146">
        <f t="shared" si="111"/>
        <v>0</v>
      </c>
      <c r="CA590" s="66"/>
      <c r="CB590" s="146">
        <f t="shared" si="112"/>
        <v>0</v>
      </c>
      <c r="CC590" s="66"/>
      <c r="CD590" s="143">
        <f t="shared" si="113"/>
        <v>0</v>
      </c>
      <c r="CE590" s="66"/>
      <c r="CF590" s="143">
        <f t="shared" si="114"/>
        <v>0</v>
      </c>
      <c r="CG590" s="132"/>
      <c r="CH590" s="143">
        <f t="shared" si="115"/>
        <v>0</v>
      </c>
      <c r="CI590" s="132">
        <f t="shared" si="116"/>
        <v>0</v>
      </c>
      <c r="CJ590" s="143">
        <f t="shared" si="116"/>
        <v>0</v>
      </c>
    </row>
    <row r="591" spans="1:88" x14ac:dyDescent="0.3">
      <c r="A591" s="27"/>
      <c r="B591" s="27"/>
      <c r="C591" s="27"/>
      <c r="D591" s="27"/>
      <c r="E591" s="27"/>
      <c r="F591" s="27"/>
      <c r="G591" s="27"/>
      <c r="H591" s="27"/>
      <c r="I591" s="27"/>
      <c r="J591" s="27"/>
      <c r="K591" s="27"/>
      <c r="L591" s="27"/>
      <c r="N591" s="27"/>
      <c r="O591" s="27"/>
      <c r="P591" s="27"/>
      <c r="Q591" s="117" t="s">
        <v>1162</v>
      </c>
      <c r="R591" s="27"/>
      <c r="S591" s="27"/>
      <c r="T591" s="27"/>
      <c r="U591" s="27"/>
      <c r="V591" s="27"/>
      <c r="W591" s="27"/>
      <c r="X591" s="27"/>
      <c r="Y591" s="27"/>
      <c r="AE591" s="27"/>
      <c r="BD591" s="97"/>
      <c r="BE591" s="108"/>
      <c r="BF591" s="108"/>
      <c r="BG591" s="97"/>
      <c r="BH591" s="97"/>
      <c r="BI591" s="97"/>
      <c r="BJ591" s="97"/>
      <c r="BK591" s="110"/>
      <c r="BL591" s="97"/>
      <c r="BM591" s="97"/>
      <c r="BN591" s="97"/>
      <c r="BO591" s="147"/>
      <c r="BP591" s="143">
        <f t="shared" si="106"/>
        <v>0</v>
      </c>
      <c r="BQ591" s="147"/>
      <c r="BR591" s="143">
        <f t="shared" si="107"/>
        <v>0</v>
      </c>
      <c r="BS591" s="132"/>
      <c r="BT591" s="146">
        <f t="shared" si="108"/>
        <v>0</v>
      </c>
      <c r="BU591" s="66"/>
      <c r="BV591" s="143">
        <f t="shared" si="109"/>
        <v>0</v>
      </c>
      <c r="BW591" s="66"/>
      <c r="BX591" s="146">
        <f t="shared" si="110"/>
        <v>0</v>
      </c>
      <c r="BY591" s="66"/>
      <c r="BZ591" s="146">
        <f t="shared" si="111"/>
        <v>0</v>
      </c>
      <c r="CA591" s="66"/>
      <c r="CB591" s="146">
        <f t="shared" si="112"/>
        <v>0</v>
      </c>
      <c r="CC591" s="66"/>
      <c r="CD591" s="143">
        <f t="shared" si="113"/>
        <v>0</v>
      </c>
      <c r="CE591" s="66"/>
      <c r="CF591" s="143">
        <f t="shared" si="114"/>
        <v>0</v>
      </c>
      <c r="CG591" s="132"/>
      <c r="CH591" s="143">
        <f t="shared" si="115"/>
        <v>0</v>
      </c>
      <c r="CI591" s="132">
        <f t="shared" si="116"/>
        <v>0</v>
      </c>
      <c r="CJ591" s="143">
        <f t="shared" si="116"/>
        <v>0</v>
      </c>
    </row>
    <row r="592" spans="1:88" ht="27.6" x14ac:dyDescent="0.3">
      <c r="A592" s="27"/>
      <c r="B592" s="27"/>
      <c r="C592" s="27"/>
      <c r="D592" s="27"/>
      <c r="E592" s="27"/>
      <c r="F592" s="27"/>
      <c r="G592" s="27"/>
      <c r="H592" s="27"/>
      <c r="I592" s="27"/>
      <c r="J592" s="27"/>
      <c r="K592" s="27"/>
      <c r="L592" s="27"/>
      <c r="N592" s="27"/>
      <c r="O592" s="27"/>
      <c r="P592" s="27"/>
      <c r="Q592" s="117" t="s">
        <v>1163</v>
      </c>
      <c r="R592" s="27"/>
      <c r="S592" s="27"/>
      <c r="T592" s="27"/>
      <c r="U592" s="27"/>
      <c r="V592" s="27"/>
      <c r="W592" s="27"/>
      <c r="X592" s="27"/>
      <c r="Y592" s="27"/>
      <c r="AE592" s="27"/>
      <c r="BD592" s="97"/>
      <c r="BE592" s="108"/>
      <c r="BF592" s="108"/>
      <c r="BG592" s="97"/>
      <c r="BH592" s="97"/>
      <c r="BI592" s="97"/>
      <c r="BJ592" s="97"/>
      <c r="BK592" s="110"/>
      <c r="BL592" s="97"/>
      <c r="BM592" s="97"/>
      <c r="BN592" s="97"/>
      <c r="BO592" s="142"/>
      <c r="BP592" s="143">
        <f t="shared" si="106"/>
        <v>0</v>
      </c>
      <c r="BQ592" s="142"/>
      <c r="BR592" s="143">
        <f t="shared" si="107"/>
        <v>0</v>
      </c>
      <c r="BS592" s="132"/>
      <c r="BT592" s="146">
        <f t="shared" si="108"/>
        <v>0</v>
      </c>
      <c r="BU592" s="132"/>
      <c r="BV592" s="143">
        <f t="shared" si="109"/>
        <v>0</v>
      </c>
      <c r="BW592" s="132"/>
      <c r="BX592" s="146">
        <f t="shared" si="110"/>
        <v>0</v>
      </c>
      <c r="BY592" s="132"/>
      <c r="BZ592" s="146">
        <f t="shared" si="111"/>
        <v>0</v>
      </c>
      <c r="CA592" s="132"/>
      <c r="CB592" s="146">
        <f t="shared" si="112"/>
        <v>0</v>
      </c>
      <c r="CC592" s="132"/>
      <c r="CD592" s="143">
        <f t="shared" si="113"/>
        <v>0</v>
      </c>
      <c r="CE592" s="132"/>
      <c r="CF592" s="143">
        <f t="shared" si="114"/>
        <v>0</v>
      </c>
      <c r="CG592" s="132"/>
      <c r="CH592" s="143">
        <f t="shared" si="115"/>
        <v>0</v>
      </c>
      <c r="CI592" s="132">
        <f t="shared" si="116"/>
        <v>0</v>
      </c>
      <c r="CJ592" s="143">
        <f t="shared" si="116"/>
        <v>0</v>
      </c>
    </row>
    <row r="593" spans="1:88" x14ac:dyDescent="0.3">
      <c r="A593" s="27"/>
      <c r="B593" s="27"/>
      <c r="C593" s="27"/>
      <c r="D593" s="27"/>
      <c r="E593" s="27"/>
      <c r="F593" s="27"/>
      <c r="G593" s="27"/>
      <c r="H593" s="27"/>
      <c r="I593" s="27"/>
      <c r="J593" s="27"/>
      <c r="K593" s="27"/>
      <c r="L593" s="27"/>
      <c r="N593" s="27"/>
      <c r="O593" s="27"/>
      <c r="P593" s="27"/>
      <c r="Q593" s="117" t="s">
        <v>1164</v>
      </c>
      <c r="R593" s="27"/>
      <c r="S593" s="27"/>
      <c r="T593" s="27"/>
      <c r="U593" s="27"/>
      <c r="V593" s="27"/>
      <c r="W593" s="27"/>
      <c r="X593" s="27"/>
      <c r="Y593" s="27"/>
      <c r="AE593" s="27"/>
      <c r="BD593" s="97"/>
      <c r="BE593" s="108"/>
      <c r="BF593" s="108"/>
      <c r="BG593" s="97"/>
      <c r="BH593" s="97"/>
      <c r="BI593" s="97"/>
      <c r="BJ593" s="97"/>
      <c r="BK593" s="110"/>
      <c r="BL593" s="97"/>
      <c r="BM593" s="97"/>
      <c r="BN593" s="97"/>
      <c r="BO593" s="147"/>
      <c r="BP593" s="143">
        <f t="shared" si="106"/>
        <v>0</v>
      </c>
      <c r="BQ593" s="147"/>
      <c r="BR593" s="143">
        <f t="shared" si="107"/>
        <v>0</v>
      </c>
      <c r="BS593" s="132"/>
      <c r="BT593" s="146">
        <f t="shared" si="108"/>
        <v>0</v>
      </c>
      <c r="BU593" s="66"/>
      <c r="BV593" s="143">
        <f t="shared" si="109"/>
        <v>0</v>
      </c>
      <c r="BW593" s="66"/>
      <c r="BX593" s="146">
        <f t="shared" si="110"/>
        <v>0</v>
      </c>
      <c r="BY593" s="66"/>
      <c r="BZ593" s="146">
        <f t="shared" si="111"/>
        <v>0</v>
      </c>
      <c r="CA593" s="66"/>
      <c r="CB593" s="146">
        <f t="shared" si="112"/>
        <v>0</v>
      </c>
      <c r="CC593" s="66"/>
      <c r="CD593" s="143">
        <f t="shared" si="113"/>
        <v>0</v>
      </c>
      <c r="CE593" s="66"/>
      <c r="CF593" s="143">
        <f t="shared" si="114"/>
        <v>0</v>
      </c>
      <c r="CG593" s="132"/>
      <c r="CH593" s="143">
        <f t="shared" si="115"/>
        <v>0</v>
      </c>
      <c r="CI593" s="132">
        <f t="shared" si="116"/>
        <v>0</v>
      </c>
      <c r="CJ593" s="143">
        <f t="shared" si="116"/>
        <v>0</v>
      </c>
    </row>
    <row r="594" spans="1:88" ht="27.6" x14ac:dyDescent="0.3">
      <c r="A594" s="27"/>
      <c r="B594" s="27"/>
      <c r="C594" s="27"/>
      <c r="D594" s="27"/>
      <c r="E594" s="27"/>
      <c r="F594" s="27"/>
      <c r="G594" s="27"/>
      <c r="H594" s="27"/>
      <c r="I594" s="27"/>
      <c r="J594" s="27"/>
      <c r="K594" s="27"/>
      <c r="L594" s="27"/>
      <c r="N594" s="27"/>
      <c r="O594" s="27"/>
      <c r="P594" s="27"/>
      <c r="Q594" s="117" t="s">
        <v>1165</v>
      </c>
      <c r="R594" s="27"/>
      <c r="S594" s="27"/>
      <c r="T594" s="27"/>
      <c r="U594" s="27"/>
      <c r="V594" s="27"/>
      <c r="W594" s="27"/>
      <c r="X594" s="27"/>
      <c r="Y594" s="27"/>
      <c r="AE594" s="27"/>
      <c r="BD594" s="97"/>
      <c r="BE594" s="108"/>
      <c r="BF594" s="108"/>
      <c r="BG594" s="97"/>
      <c r="BH594" s="97"/>
      <c r="BI594" s="97"/>
      <c r="BJ594" s="97"/>
      <c r="BK594" s="110"/>
      <c r="BL594" s="97"/>
      <c r="BM594" s="97"/>
      <c r="BN594" s="97"/>
      <c r="BO594" s="147"/>
      <c r="BP594" s="143">
        <f t="shared" si="106"/>
        <v>0</v>
      </c>
      <c r="BQ594" s="147"/>
      <c r="BR594" s="143">
        <f t="shared" si="107"/>
        <v>0</v>
      </c>
      <c r="BS594" s="132"/>
      <c r="BT594" s="146">
        <f t="shared" si="108"/>
        <v>0</v>
      </c>
      <c r="BU594" s="66"/>
      <c r="BV594" s="143">
        <f t="shared" si="109"/>
        <v>0</v>
      </c>
      <c r="BW594" s="66"/>
      <c r="BX594" s="146">
        <f t="shared" si="110"/>
        <v>0</v>
      </c>
      <c r="BY594" s="66"/>
      <c r="BZ594" s="146">
        <f t="shared" si="111"/>
        <v>0</v>
      </c>
      <c r="CA594" s="66"/>
      <c r="CB594" s="146">
        <f t="shared" si="112"/>
        <v>0</v>
      </c>
      <c r="CC594" s="66"/>
      <c r="CD594" s="143">
        <f t="shared" si="113"/>
        <v>0</v>
      </c>
      <c r="CE594" s="66"/>
      <c r="CF594" s="143">
        <f t="shared" si="114"/>
        <v>0</v>
      </c>
      <c r="CG594" s="132"/>
      <c r="CH594" s="143">
        <f t="shared" si="115"/>
        <v>0</v>
      </c>
      <c r="CI594" s="132">
        <f t="shared" si="116"/>
        <v>0</v>
      </c>
      <c r="CJ594" s="143">
        <f t="shared" si="116"/>
        <v>0</v>
      </c>
    </row>
    <row r="595" spans="1:88" x14ac:dyDescent="0.3">
      <c r="A595" s="27"/>
      <c r="B595" s="27"/>
      <c r="C595" s="27"/>
      <c r="D595" s="27"/>
      <c r="E595" s="27"/>
      <c r="F595" s="27"/>
      <c r="G595" s="27"/>
      <c r="H595" s="27"/>
      <c r="I595" s="27"/>
      <c r="J595" s="27"/>
      <c r="K595" s="27"/>
      <c r="L595" s="27"/>
      <c r="N595" s="27"/>
      <c r="O595" s="27"/>
      <c r="P595" s="27"/>
      <c r="Q595" s="117" t="s">
        <v>1166</v>
      </c>
      <c r="R595" s="27"/>
      <c r="S595" s="27"/>
      <c r="T595" s="27"/>
      <c r="U595" s="27"/>
      <c r="V595" s="27"/>
      <c r="W595" s="27"/>
      <c r="X595" s="27"/>
      <c r="Y595" s="27"/>
      <c r="AE595" s="27"/>
      <c r="BD595" s="97"/>
      <c r="BE595" s="108"/>
      <c r="BF595" s="108"/>
      <c r="BG595" s="97"/>
      <c r="BH595" s="97"/>
      <c r="BI595" s="97"/>
      <c r="BJ595" s="97"/>
      <c r="BK595" s="110"/>
      <c r="BL595" s="97"/>
      <c r="BM595" s="97"/>
      <c r="BN595" s="97"/>
      <c r="BO595" s="156"/>
      <c r="BP595" s="143">
        <f t="shared" si="106"/>
        <v>0</v>
      </c>
      <c r="BQ595" s="156"/>
      <c r="BR595" s="143">
        <f t="shared" si="107"/>
        <v>0</v>
      </c>
      <c r="BS595" s="132"/>
      <c r="BT595" s="146">
        <f t="shared" si="108"/>
        <v>0</v>
      </c>
      <c r="BU595" s="121"/>
      <c r="BV595" s="143">
        <f t="shared" si="109"/>
        <v>0</v>
      </c>
      <c r="BW595" s="121"/>
      <c r="BX595" s="146">
        <f t="shared" si="110"/>
        <v>0</v>
      </c>
      <c r="BY595" s="121"/>
      <c r="BZ595" s="146">
        <f t="shared" si="111"/>
        <v>0</v>
      </c>
      <c r="CA595" s="121"/>
      <c r="CB595" s="146">
        <f t="shared" si="112"/>
        <v>0</v>
      </c>
      <c r="CC595" s="121"/>
      <c r="CD595" s="143">
        <f t="shared" si="113"/>
        <v>0</v>
      </c>
      <c r="CE595" s="121"/>
      <c r="CF595" s="143">
        <f t="shared" si="114"/>
        <v>0</v>
      </c>
      <c r="CG595" s="132"/>
      <c r="CH595" s="143">
        <f t="shared" si="115"/>
        <v>0</v>
      </c>
      <c r="CI595" s="132">
        <f t="shared" si="116"/>
        <v>0</v>
      </c>
      <c r="CJ595" s="143">
        <f t="shared" si="116"/>
        <v>0</v>
      </c>
    </row>
    <row r="596" spans="1:88" x14ac:dyDescent="0.3">
      <c r="A596" s="27"/>
      <c r="B596" s="27"/>
      <c r="C596" s="27"/>
      <c r="D596" s="27"/>
      <c r="E596" s="27"/>
      <c r="F596" s="27"/>
      <c r="G596" s="27"/>
      <c r="H596" s="27"/>
      <c r="I596" s="27"/>
      <c r="J596" s="27"/>
      <c r="K596" s="27"/>
      <c r="L596" s="27"/>
      <c r="N596" s="27"/>
      <c r="O596" s="27"/>
      <c r="P596" s="27"/>
      <c r="Q596" s="117" t="s">
        <v>1167</v>
      </c>
      <c r="R596" s="27"/>
      <c r="S596" s="27"/>
      <c r="T596" s="27"/>
      <c r="U596" s="27"/>
      <c r="V596" s="27"/>
      <c r="W596" s="27"/>
      <c r="X596" s="27"/>
      <c r="Y596" s="27"/>
      <c r="AE596" s="27"/>
      <c r="BD596" s="97"/>
      <c r="BE596" s="108"/>
      <c r="BF596" s="108"/>
      <c r="BG596" s="97"/>
      <c r="BH596" s="97"/>
      <c r="BI596" s="97"/>
      <c r="BJ596" s="97"/>
      <c r="BK596" s="110"/>
      <c r="BL596" s="97"/>
      <c r="BM596" s="97"/>
      <c r="BN596" s="97"/>
      <c r="BO596" s="147"/>
      <c r="BP596" s="143">
        <f t="shared" si="106"/>
        <v>0</v>
      </c>
      <c r="BQ596" s="147"/>
      <c r="BR596" s="143">
        <f t="shared" si="107"/>
        <v>0</v>
      </c>
      <c r="BS596" s="132"/>
      <c r="BT596" s="146">
        <f t="shared" si="108"/>
        <v>0</v>
      </c>
      <c r="BU596" s="66"/>
      <c r="BV596" s="143">
        <f t="shared" si="109"/>
        <v>0</v>
      </c>
      <c r="BW596" s="66"/>
      <c r="BX596" s="146">
        <f t="shared" si="110"/>
        <v>0</v>
      </c>
      <c r="BY596" s="66"/>
      <c r="BZ596" s="146">
        <f t="shared" si="111"/>
        <v>0</v>
      </c>
      <c r="CA596" s="66"/>
      <c r="CB596" s="146">
        <f t="shared" si="112"/>
        <v>0</v>
      </c>
      <c r="CC596" s="66"/>
      <c r="CD596" s="143">
        <f t="shared" si="113"/>
        <v>0</v>
      </c>
      <c r="CE596" s="66"/>
      <c r="CF596" s="143">
        <f t="shared" si="114"/>
        <v>0</v>
      </c>
      <c r="CG596" s="132"/>
      <c r="CH596" s="143">
        <f t="shared" si="115"/>
        <v>0</v>
      </c>
      <c r="CI596" s="132">
        <f t="shared" si="116"/>
        <v>0</v>
      </c>
      <c r="CJ596" s="143">
        <f t="shared" si="116"/>
        <v>0</v>
      </c>
    </row>
    <row r="597" spans="1:88" x14ac:dyDescent="0.3">
      <c r="A597" s="27"/>
      <c r="B597" s="27"/>
      <c r="C597" s="27"/>
      <c r="D597" s="27"/>
      <c r="E597" s="27"/>
      <c r="F597" s="27"/>
      <c r="G597" s="27"/>
      <c r="H597" s="27"/>
      <c r="I597" s="27"/>
      <c r="J597" s="27"/>
      <c r="K597" s="27"/>
      <c r="L597" s="27"/>
      <c r="N597" s="27"/>
      <c r="O597" s="27"/>
      <c r="P597" s="27"/>
      <c r="Q597" s="117" t="s">
        <v>1168</v>
      </c>
      <c r="R597" s="27"/>
      <c r="S597" s="27"/>
      <c r="T597" s="27"/>
      <c r="U597" s="27"/>
      <c r="V597" s="27"/>
      <c r="W597" s="27"/>
      <c r="X597" s="27"/>
      <c r="Y597" s="27"/>
      <c r="AE597" s="27"/>
      <c r="BD597" s="97"/>
      <c r="BE597" s="108"/>
      <c r="BF597" s="108"/>
      <c r="BG597" s="97"/>
      <c r="BH597" s="97"/>
      <c r="BI597" s="97"/>
      <c r="BJ597" s="97"/>
      <c r="BK597" s="110"/>
      <c r="BL597" s="97"/>
      <c r="BM597" s="97"/>
      <c r="BN597" s="97"/>
      <c r="BO597" s="147"/>
      <c r="BP597" s="143">
        <f t="shared" si="106"/>
        <v>0</v>
      </c>
      <c r="BQ597" s="147"/>
      <c r="BR597" s="143">
        <f t="shared" si="107"/>
        <v>0</v>
      </c>
      <c r="BS597" s="132"/>
      <c r="BT597" s="146">
        <f t="shared" si="108"/>
        <v>0</v>
      </c>
      <c r="BU597" s="66"/>
      <c r="BV597" s="143">
        <f t="shared" si="109"/>
        <v>0</v>
      </c>
      <c r="BW597" s="66"/>
      <c r="BX597" s="146">
        <f t="shared" si="110"/>
        <v>0</v>
      </c>
      <c r="BY597" s="66"/>
      <c r="BZ597" s="146">
        <f t="shared" si="111"/>
        <v>0</v>
      </c>
      <c r="CA597" s="66"/>
      <c r="CB597" s="146">
        <f t="shared" si="112"/>
        <v>0</v>
      </c>
      <c r="CC597" s="66"/>
      <c r="CD597" s="143">
        <f t="shared" si="113"/>
        <v>0</v>
      </c>
      <c r="CE597" s="66"/>
      <c r="CF597" s="143">
        <f t="shared" si="114"/>
        <v>0</v>
      </c>
      <c r="CG597" s="132"/>
      <c r="CH597" s="143">
        <f t="shared" si="115"/>
        <v>0</v>
      </c>
      <c r="CI597" s="132">
        <f t="shared" si="116"/>
        <v>0</v>
      </c>
      <c r="CJ597" s="143">
        <f t="shared" si="116"/>
        <v>0</v>
      </c>
    </row>
    <row r="598" spans="1:88" x14ac:dyDescent="0.3">
      <c r="A598" s="27"/>
      <c r="B598" s="27"/>
      <c r="C598" s="27"/>
      <c r="D598" s="27"/>
      <c r="E598" s="27"/>
      <c r="F598" s="27"/>
      <c r="G598" s="27"/>
      <c r="H598" s="27"/>
      <c r="I598" s="27"/>
      <c r="J598" s="27"/>
      <c r="K598" s="27"/>
      <c r="L598" s="27"/>
      <c r="N598" s="27"/>
      <c r="O598" s="27"/>
      <c r="P598" s="27"/>
      <c r="Q598" s="117" t="s">
        <v>1169</v>
      </c>
      <c r="R598" s="27"/>
      <c r="S598" s="27"/>
      <c r="T598" s="27"/>
      <c r="U598" s="27"/>
      <c r="V598" s="27"/>
      <c r="W598" s="27"/>
      <c r="X598" s="27"/>
      <c r="Y598" s="27"/>
      <c r="AE598" s="27"/>
      <c r="BD598" s="97"/>
      <c r="BE598" s="108"/>
      <c r="BF598" s="108"/>
      <c r="BG598" s="97"/>
      <c r="BH598" s="97"/>
      <c r="BI598" s="97"/>
      <c r="BJ598" s="97"/>
      <c r="BK598" s="110"/>
      <c r="BL598" s="97"/>
      <c r="BM598" s="97"/>
      <c r="BN598" s="97"/>
      <c r="BO598" s="147"/>
      <c r="BP598" s="143">
        <f t="shared" si="106"/>
        <v>0</v>
      </c>
      <c r="BQ598" s="147"/>
      <c r="BR598" s="143">
        <f t="shared" si="107"/>
        <v>0</v>
      </c>
      <c r="BS598" s="132"/>
      <c r="BT598" s="146">
        <f t="shared" si="108"/>
        <v>0</v>
      </c>
      <c r="BU598" s="66"/>
      <c r="BV598" s="143">
        <f t="shared" si="109"/>
        <v>0</v>
      </c>
      <c r="BW598" s="66"/>
      <c r="BX598" s="146">
        <f t="shared" si="110"/>
        <v>0</v>
      </c>
      <c r="BY598" s="66"/>
      <c r="BZ598" s="146">
        <f t="shared" si="111"/>
        <v>0</v>
      </c>
      <c r="CA598" s="66"/>
      <c r="CB598" s="146">
        <f t="shared" si="112"/>
        <v>0</v>
      </c>
      <c r="CC598" s="66"/>
      <c r="CD598" s="143">
        <f t="shared" si="113"/>
        <v>0</v>
      </c>
      <c r="CE598" s="66"/>
      <c r="CF598" s="143">
        <f t="shared" si="114"/>
        <v>0</v>
      </c>
      <c r="CG598" s="132"/>
      <c r="CH598" s="143">
        <f t="shared" si="115"/>
        <v>0</v>
      </c>
      <c r="CI598" s="132">
        <f t="shared" si="116"/>
        <v>0</v>
      </c>
      <c r="CJ598" s="143">
        <f t="shared" si="116"/>
        <v>0</v>
      </c>
    </row>
    <row r="599" spans="1:88" x14ac:dyDescent="0.3">
      <c r="A599" s="27"/>
      <c r="B599" s="27"/>
      <c r="C599" s="27"/>
      <c r="D599" s="27"/>
      <c r="E599" s="27"/>
      <c r="F599" s="27"/>
      <c r="G599" s="27"/>
      <c r="H599" s="27"/>
      <c r="I599" s="27"/>
      <c r="J599" s="27"/>
      <c r="K599" s="27"/>
      <c r="L599" s="27"/>
      <c r="N599" s="27"/>
      <c r="O599" s="27"/>
      <c r="P599" s="27"/>
      <c r="Q599" s="117" t="s">
        <v>1170</v>
      </c>
      <c r="R599" s="27"/>
      <c r="S599" s="27"/>
      <c r="T599" s="27"/>
      <c r="U599" s="27"/>
      <c r="V599" s="27"/>
      <c r="W599" s="27"/>
      <c r="X599" s="27"/>
      <c r="Y599" s="27"/>
      <c r="AE599" s="27"/>
      <c r="BD599" s="97"/>
      <c r="BE599" s="108"/>
      <c r="BF599" s="108"/>
      <c r="BG599" s="97"/>
      <c r="BH599" s="97"/>
      <c r="BI599" s="97"/>
      <c r="BJ599" s="97"/>
      <c r="BK599" s="110"/>
      <c r="BL599" s="97"/>
      <c r="BM599" s="97"/>
      <c r="BN599" s="97"/>
      <c r="BO599" s="147"/>
      <c r="BP599" s="143">
        <f t="shared" si="106"/>
        <v>0</v>
      </c>
      <c r="BQ599" s="147"/>
      <c r="BR599" s="143">
        <f t="shared" si="107"/>
        <v>0</v>
      </c>
      <c r="BS599" s="132"/>
      <c r="BT599" s="146">
        <f t="shared" si="108"/>
        <v>0</v>
      </c>
      <c r="BU599" s="66"/>
      <c r="BV599" s="143">
        <f t="shared" si="109"/>
        <v>0</v>
      </c>
      <c r="BW599" s="66"/>
      <c r="BX599" s="146">
        <f t="shared" si="110"/>
        <v>0</v>
      </c>
      <c r="BY599" s="66"/>
      <c r="BZ599" s="146">
        <f t="shared" si="111"/>
        <v>0</v>
      </c>
      <c r="CA599" s="66"/>
      <c r="CB599" s="146">
        <f t="shared" si="112"/>
        <v>0</v>
      </c>
      <c r="CC599" s="66"/>
      <c r="CD599" s="143">
        <f t="shared" si="113"/>
        <v>0</v>
      </c>
      <c r="CE599" s="66"/>
      <c r="CF599" s="143">
        <f t="shared" si="114"/>
        <v>0</v>
      </c>
      <c r="CG599" s="132"/>
      <c r="CH599" s="143">
        <f t="shared" si="115"/>
        <v>0</v>
      </c>
      <c r="CI599" s="132">
        <f t="shared" si="116"/>
        <v>0</v>
      </c>
      <c r="CJ599" s="143">
        <f t="shared" si="116"/>
        <v>0</v>
      </c>
    </row>
    <row r="600" spans="1:88" x14ac:dyDescent="0.3">
      <c r="A600" s="27"/>
      <c r="B600" s="27"/>
      <c r="C600" s="27"/>
      <c r="D600" s="27"/>
      <c r="E600" s="27"/>
      <c r="F600" s="27"/>
      <c r="G600" s="27"/>
      <c r="H600" s="27"/>
      <c r="I600" s="27"/>
      <c r="J600" s="27"/>
      <c r="K600" s="27"/>
      <c r="L600" s="27"/>
      <c r="N600" s="27"/>
      <c r="O600" s="27"/>
      <c r="P600" s="27"/>
      <c r="Q600" s="117" t="s">
        <v>1171</v>
      </c>
      <c r="R600" s="27"/>
      <c r="S600" s="27"/>
      <c r="T600" s="27"/>
      <c r="U600" s="27"/>
      <c r="V600" s="27"/>
      <c r="W600" s="27"/>
      <c r="X600" s="27"/>
      <c r="Y600" s="27"/>
      <c r="AE600" s="27"/>
      <c r="BD600" s="97"/>
      <c r="BE600" s="108"/>
      <c r="BF600" s="108"/>
      <c r="BG600" s="97"/>
      <c r="BH600" s="97"/>
      <c r="BI600" s="97"/>
      <c r="BJ600" s="97"/>
      <c r="BK600" s="110"/>
      <c r="BL600" s="97"/>
      <c r="BM600" s="97"/>
      <c r="BN600" s="97"/>
      <c r="BO600" s="147"/>
      <c r="BP600" s="143">
        <f t="shared" si="106"/>
        <v>0</v>
      </c>
      <c r="BQ600" s="147"/>
      <c r="BR600" s="143">
        <f t="shared" si="107"/>
        <v>0</v>
      </c>
      <c r="BS600" s="132"/>
      <c r="BT600" s="146">
        <f t="shared" si="108"/>
        <v>0</v>
      </c>
      <c r="BU600" s="66"/>
      <c r="BV600" s="143">
        <f t="shared" si="109"/>
        <v>0</v>
      </c>
      <c r="BW600" s="66"/>
      <c r="BX600" s="146">
        <f t="shared" si="110"/>
        <v>0</v>
      </c>
      <c r="BY600" s="66"/>
      <c r="BZ600" s="146">
        <f t="shared" si="111"/>
        <v>0</v>
      </c>
      <c r="CA600" s="66"/>
      <c r="CB600" s="146">
        <f t="shared" si="112"/>
        <v>0</v>
      </c>
      <c r="CC600" s="66"/>
      <c r="CD600" s="143">
        <f t="shared" si="113"/>
        <v>0</v>
      </c>
      <c r="CE600" s="66"/>
      <c r="CF600" s="143">
        <f t="shared" si="114"/>
        <v>0</v>
      </c>
      <c r="CG600" s="132"/>
      <c r="CH600" s="143">
        <f t="shared" si="115"/>
        <v>0</v>
      </c>
      <c r="CI600" s="132">
        <f t="shared" si="116"/>
        <v>0</v>
      </c>
      <c r="CJ600" s="143">
        <f t="shared" si="116"/>
        <v>0</v>
      </c>
    </row>
    <row r="601" spans="1:88" x14ac:dyDescent="0.3">
      <c r="A601" s="27"/>
      <c r="B601" s="27"/>
      <c r="C601" s="27"/>
      <c r="D601" s="27"/>
      <c r="E601" s="27"/>
      <c r="F601" s="27"/>
      <c r="G601" s="27"/>
      <c r="H601" s="27"/>
      <c r="I601" s="27"/>
      <c r="J601" s="27"/>
      <c r="K601" s="27"/>
      <c r="L601" s="27"/>
      <c r="N601" s="27"/>
      <c r="O601" s="27"/>
      <c r="P601" s="27"/>
      <c r="Q601" s="117" t="s">
        <v>1172</v>
      </c>
      <c r="R601" s="27"/>
      <c r="S601" s="27"/>
      <c r="T601" s="27"/>
      <c r="U601" s="27"/>
      <c r="V601" s="27"/>
      <c r="W601" s="27"/>
      <c r="X601" s="27"/>
      <c r="Y601" s="27"/>
      <c r="AE601" s="27"/>
      <c r="BD601" s="97"/>
      <c r="BE601" s="108"/>
      <c r="BF601" s="108"/>
      <c r="BG601" s="97"/>
      <c r="BH601" s="97"/>
      <c r="BI601" s="97"/>
      <c r="BJ601" s="97"/>
      <c r="BK601" s="110"/>
      <c r="BL601" s="97"/>
      <c r="BM601" s="97"/>
      <c r="BN601" s="97"/>
      <c r="BO601" s="147"/>
      <c r="BP601" s="143">
        <f t="shared" si="106"/>
        <v>0</v>
      </c>
      <c r="BQ601" s="147"/>
      <c r="BR601" s="143">
        <f t="shared" si="107"/>
        <v>0</v>
      </c>
      <c r="BS601" s="132"/>
      <c r="BT601" s="146">
        <f t="shared" si="108"/>
        <v>0</v>
      </c>
      <c r="BU601" s="66"/>
      <c r="BV601" s="143">
        <f t="shared" si="109"/>
        <v>0</v>
      </c>
      <c r="BW601" s="66"/>
      <c r="BX601" s="146">
        <f t="shared" si="110"/>
        <v>0</v>
      </c>
      <c r="BY601" s="66"/>
      <c r="BZ601" s="146">
        <f t="shared" si="111"/>
        <v>0</v>
      </c>
      <c r="CA601" s="66"/>
      <c r="CB601" s="146">
        <f t="shared" si="112"/>
        <v>0</v>
      </c>
      <c r="CC601" s="66"/>
      <c r="CD601" s="143">
        <f t="shared" si="113"/>
        <v>0</v>
      </c>
      <c r="CE601" s="66"/>
      <c r="CF601" s="143">
        <f t="shared" si="114"/>
        <v>0</v>
      </c>
      <c r="CG601" s="132"/>
      <c r="CH601" s="143">
        <f t="shared" si="115"/>
        <v>0</v>
      </c>
      <c r="CI601" s="132">
        <f t="shared" si="116"/>
        <v>0</v>
      </c>
      <c r="CJ601" s="143">
        <f t="shared" si="116"/>
        <v>0</v>
      </c>
    </row>
    <row r="602" spans="1:88" x14ac:dyDescent="0.3">
      <c r="A602" s="27"/>
      <c r="B602" s="27"/>
      <c r="C602" s="27"/>
      <c r="D602" s="27"/>
      <c r="E602" s="27"/>
      <c r="F602" s="27"/>
      <c r="G602" s="27"/>
      <c r="H602" s="27"/>
      <c r="I602" s="27"/>
      <c r="J602" s="27"/>
      <c r="K602" s="27"/>
      <c r="L602" s="27"/>
      <c r="N602" s="27"/>
      <c r="O602" s="27"/>
      <c r="P602" s="27"/>
      <c r="Q602" s="117" t="s">
        <v>1173</v>
      </c>
      <c r="R602" s="27"/>
      <c r="S602" s="27"/>
      <c r="T602" s="27"/>
      <c r="U602" s="27"/>
      <c r="V602" s="27"/>
      <c r="W602" s="27"/>
      <c r="X602" s="27"/>
      <c r="Y602" s="27"/>
      <c r="AE602" s="27"/>
      <c r="BD602" s="97"/>
      <c r="BE602" s="108"/>
      <c r="BF602" s="108"/>
      <c r="BG602" s="97"/>
      <c r="BH602" s="97"/>
      <c r="BI602" s="97"/>
      <c r="BJ602" s="97"/>
      <c r="BK602" s="110"/>
      <c r="BL602" s="97"/>
      <c r="BM602" s="97"/>
      <c r="BN602" s="97"/>
      <c r="BO602" s="147"/>
      <c r="BP602" s="143">
        <f t="shared" si="106"/>
        <v>0</v>
      </c>
      <c r="BQ602" s="147"/>
      <c r="BR602" s="143">
        <f t="shared" si="107"/>
        <v>0</v>
      </c>
      <c r="BS602" s="132"/>
      <c r="BT602" s="146">
        <f t="shared" si="108"/>
        <v>0</v>
      </c>
      <c r="BU602" s="66"/>
      <c r="BV602" s="143">
        <f t="shared" si="109"/>
        <v>0</v>
      </c>
      <c r="BW602" s="66"/>
      <c r="BX602" s="146">
        <f t="shared" si="110"/>
        <v>0</v>
      </c>
      <c r="BY602" s="66"/>
      <c r="BZ602" s="146">
        <f t="shared" si="111"/>
        <v>0</v>
      </c>
      <c r="CA602" s="66"/>
      <c r="CB602" s="146">
        <f t="shared" si="112"/>
        <v>0</v>
      </c>
      <c r="CC602" s="66"/>
      <c r="CD602" s="143">
        <f t="shared" si="113"/>
        <v>0</v>
      </c>
      <c r="CE602" s="66"/>
      <c r="CF602" s="143">
        <f t="shared" si="114"/>
        <v>0</v>
      </c>
      <c r="CG602" s="132"/>
      <c r="CH602" s="143">
        <f t="shared" si="115"/>
        <v>0</v>
      </c>
      <c r="CI602" s="132">
        <f t="shared" si="116"/>
        <v>0</v>
      </c>
      <c r="CJ602" s="143">
        <f t="shared" si="116"/>
        <v>0</v>
      </c>
    </row>
    <row r="603" spans="1:88" x14ac:dyDescent="0.3">
      <c r="A603" s="27"/>
      <c r="B603" s="27"/>
      <c r="C603" s="27"/>
      <c r="D603" s="27"/>
      <c r="E603" s="27"/>
      <c r="F603" s="27"/>
      <c r="G603" s="27"/>
      <c r="H603" s="27"/>
      <c r="I603" s="27"/>
      <c r="J603" s="27"/>
      <c r="K603" s="27"/>
      <c r="L603" s="27"/>
      <c r="N603" s="27"/>
      <c r="O603" s="27"/>
      <c r="P603" s="27"/>
      <c r="Q603" s="117" t="s">
        <v>1174</v>
      </c>
      <c r="R603" s="27"/>
      <c r="S603" s="27"/>
      <c r="T603" s="27"/>
      <c r="U603" s="27"/>
      <c r="V603" s="27"/>
      <c r="W603" s="27"/>
      <c r="X603" s="27"/>
      <c r="Y603" s="27"/>
      <c r="AE603" s="27"/>
      <c r="BD603" s="97"/>
      <c r="BE603" s="108"/>
      <c r="BF603" s="108"/>
      <c r="BG603" s="97"/>
      <c r="BH603" s="97"/>
      <c r="BI603" s="97"/>
      <c r="BJ603" s="97"/>
      <c r="BK603" s="110"/>
      <c r="BL603" s="97"/>
      <c r="BM603" s="97"/>
      <c r="BN603" s="97"/>
      <c r="BO603" s="147"/>
      <c r="BP603" s="143">
        <f t="shared" si="106"/>
        <v>0</v>
      </c>
      <c r="BQ603" s="147"/>
      <c r="BR603" s="143">
        <f t="shared" si="107"/>
        <v>0</v>
      </c>
      <c r="BS603" s="132"/>
      <c r="BT603" s="146">
        <f t="shared" si="108"/>
        <v>0</v>
      </c>
      <c r="BU603" s="66"/>
      <c r="BV603" s="143">
        <f t="shared" si="109"/>
        <v>0</v>
      </c>
      <c r="BW603" s="66"/>
      <c r="BX603" s="146">
        <f t="shared" si="110"/>
        <v>0</v>
      </c>
      <c r="BY603" s="66"/>
      <c r="BZ603" s="146">
        <f t="shared" si="111"/>
        <v>0</v>
      </c>
      <c r="CA603" s="66"/>
      <c r="CB603" s="146">
        <f t="shared" si="112"/>
        <v>0</v>
      </c>
      <c r="CC603" s="66"/>
      <c r="CD603" s="143">
        <f t="shared" si="113"/>
        <v>0</v>
      </c>
      <c r="CE603" s="66"/>
      <c r="CF603" s="143">
        <f t="shared" si="114"/>
        <v>0</v>
      </c>
      <c r="CG603" s="132"/>
      <c r="CH603" s="143">
        <f t="shared" si="115"/>
        <v>0</v>
      </c>
      <c r="CI603" s="132">
        <f t="shared" si="116"/>
        <v>0</v>
      </c>
      <c r="CJ603" s="143">
        <f t="shared" si="116"/>
        <v>0</v>
      </c>
    </row>
    <row r="604" spans="1:88" x14ac:dyDescent="0.3">
      <c r="A604" s="27"/>
      <c r="B604" s="27"/>
      <c r="C604" s="27"/>
      <c r="D604" s="27"/>
      <c r="E604" s="27"/>
      <c r="F604" s="27"/>
      <c r="G604" s="27"/>
      <c r="H604" s="27"/>
      <c r="I604" s="27"/>
      <c r="J604" s="27"/>
      <c r="K604" s="27"/>
      <c r="L604" s="27"/>
      <c r="N604" s="27"/>
      <c r="O604" s="27"/>
      <c r="P604" s="27"/>
      <c r="Q604" s="117" t="s">
        <v>1175</v>
      </c>
      <c r="R604" s="27"/>
      <c r="S604" s="27"/>
      <c r="T604" s="27"/>
      <c r="U604" s="27"/>
      <c r="V604" s="27"/>
      <c r="W604" s="27"/>
      <c r="X604" s="27"/>
      <c r="Y604" s="27"/>
      <c r="AE604" s="27"/>
      <c r="BD604" s="97"/>
      <c r="BE604" s="108"/>
      <c r="BF604" s="108"/>
      <c r="BG604" s="97"/>
      <c r="BH604" s="97"/>
      <c r="BI604" s="97"/>
      <c r="BJ604" s="97"/>
      <c r="BK604" s="110"/>
      <c r="BL604" s="97"/>
      <c r="BM604" s="97"/>
      <c r="BN604" s="97"/>
      <c r="BO604" s="147"/>
      <c r="BP604" s="143">
        <f t="shared" si="106"/>
        <v>0</v>
      </c>
      <c r="BQ604" s="147"/>
      <c r="BR604" s="143">
        <f t="shared" si="107"/>
        <v>0</v>
      </c>
      <c r="BS604" s="132"/>
      <c r="BT604" s="146">
        <f t="shared" si="108"/>
        <v>0</v>
      </c>
      <c r="BU604" s="66"/>
      <c r="BV604" s="143">
        <f t="shared" si="109"/>
        <v>0</v>
      </c>
      <c r="BW604" s="66"/>
      <c r="BX604" s="146">
        <f t="shared" si="110"/>
        <v>0</v>
      </c>
      <c r="BY604" s="66"/>
      <c r="BZ604" s="146">
        <f t="shared" si="111"/>
        <v>0</v>
      </c>
      <c r="CA604" s="66"/>
      <c r="CB604" s="146">
        <f t="shared" si="112"/>
        <v>0</v>
      </c>
      <c r="CC604" s="66"/>
      <c r="CD604" s="143">
        <f t="shared" si="113"/>
        <v>0</v>
      </c>
      <c r="CE604" s="66"/>
      <c r="CF604" s="143">
        <f t="shared" si="114"/>
        <v>0</v>
      </c>
      <c r="CG604" s="132"/>
      <c r="CH604" s="143">
        <f t="shared" si="115"/>
        <v>0</v>
      </c>
      <c r="CI604" s="132">
        <f t="shared" si="116"/>
        <v>0</v>
      </c>
      <c r="CJ604" s="143">
        <f t="shared" si="116"/>
        <v>0</v>
      </c>
    </row>
    <row r="605" spans="1:88" x14ac:dyDescent="0.3">
      <c r="A605" s="27"/>
      <c r="B605" s="27"/>
      <c r="C605" s="27"/>
      <c r="D605" s="27"/>
      <c r="E605" s="27"/>
      <c r="F605" s="27"/>
      <c r="G605" s="27"/>
      <c r="H605" s="27"/>
      <c r="I605" s="27"/>
      <c r="J605" s="27"/>
      <c r="K605" s="27"/>
      <c r="L605" s="27"/>
      <c r="N605" s="27"/>
      <c r="O605" s="27"/>
      <c r="P605" s="27"/>
      <c r="Q605" s="117" t="s">
        <v>1176</v>
      </c>
      <c r="R605" s="27"/>
      <c r="S605" s="27"/>
      <c r="T605" s="27"/>
      <c r="U605" s="27"/>
      <c r="V605" s="27"/>
      <c r="W605" s="27"/>
      <c r="X605" s="27"/>
      <c r="Y605" s="27"/>
      <c r="AE605" s="27"/>
      <c r="BD605" s="97"/>
      <c r="BE605" s="108"/>
      <c r="BF605" s="108"/>
      <c r="BG605" s="97"/>
      <c r="BH605" s="97"/>
      <c r="BI605" s="97"/>
      <c r="BJ605" s="97"/>
      <c r="BK605" s="110"/>
      <c r="BL605" s="97"/>
      <c r="BM605" s="97"/>
      <c r="BN605" s="97"/>
      <c r="BO605" s="147"/>
      <c r="BP605" s="143">
        <f t="shared" si="106"/>
        <v>0</v>
      </c>
      <c r="BQ605" s="147"/>
      <c r="BR605" s="143">
        <f t="shared" si="107"/>
        <v>0</v>
      </c>
      <c r="BS605" s="132"/>
      <c r="BT605" s="146">
        <f t="shared" si="108"/>
        <v>0</v>
      </c>
      <c r="BU605" s="66"/>
      <c r="BV605" s="143">
        <f t="shared" si="109"/>
        <v>0</v>
      </c>
      <c r="BW605" s="66"/>
      <c r="BX605" s="146">
        <f t="shared" si="110"/>
        <v>0</v>
      </c>
      <c r="BY605" s="66"/>
      <c r="BZ605" s="146">
        <f t="shared" si="111"/>
        <v>0</v>
      </c>
      <c r="CA605" s="66"/>
      <c r="CB605" s="146">
        <f t="shared" si="112"/>
        <v>0</v>
      </c>
      <c r="CC605" s="66"/>
      <c r="CD605" s="143">
        <f t="shared" si="113"/>
        <v>0</v>
      </c>
      <c r="CE605" s="66"/>
      <c r="CF605" s="143">
        <f t="shared" si="114"/>
        <v>0</v>
      </c>
      <c r="CG605" s="132"/>
      <c r="CH605" s="143">
        <f t="shared" si="115"/>
        <v>0</v>
      </c>
      <c r="CI605" s="132">
        <f t="shared" si="116"/>
        <v>0</v>
      </c>
      <c r="CJ605" s="143">
        <f t="shared" si="116"/>
        <v>0</v>
      </c>
    </row>
    <row r="606" spans="1:88" x14ac:dyDescent="0.3">
      <c r="A606" s="27"/>
      <c r="B606" s="27"/>
      <c r="C606" s="27"/>
      <c r="D606" s="27"/>
      <c r="E606" s="27"/>
      <c r="F606" s="27"/>
      <c r="G606" s="27"/>
      <c r="H606" s="27"/>
      <c r="I606" s="27"/>
      <c r="J606" s="27"/>
      <c r="K606" s="27"/>
      <c r="L606" s="27"/>
      <c r="N606" s="27"/>
      <c r="O606" s="27"/>
      <c r="P606" s="27"/>
      <c r="Q606" s="117" t="s">
        <v>1177</v>
      </c>
      <c r="R606" s="27"/>
      <c r="S606" s="27"/>
      <c r="T606" s="27"/>
      <c r="U606" s="27"/>
      <c r="V606" s="27"/>
      <c r="W606" s="27"/>
      <c r="X606" s="27"/>
      <c r="Y606" s="27"/>
      <c r="AE606" s="27"/>
      <c r="BD606" s="97"/>
      <c r="BE606" s="108"/>
      <c r="BF606" s="108"/>
      <c r="BG606" s="97"/>
      <c r="BH606" s="97"/>
      <c r="BI606" s="97"/>
      <c r="BJ606" s="97"/>
      <c r="BK606" s="110"/>
      <c r="BL606" s="97"/>
      <c r="BM606" s="97"/>
      <c r="BN606" s="97"/>
      <c r="BO606" s="147"/>
      <c r="BP606" s="143">
        <f t="shared" si="106"/>
        <v>0</v>
      </c>
      <c r="BQ606" s="147"/>
      <c r="BR606" s="143">
        <f t="shared" si="107"/>
        <v>0</v>
      </c>
      <c r="BS606" s="132"/>
      <c r="BT606" s="146">
        <f t="shared" si="108"/>
        <v>0</v>
      </c>
      <c r="BU606" s="66"/>
      <c r="BV606" s="143">
        <f t="shared" si="109"/>
        <v>0</v>
      </c>
      <c r="BW606" s="66"/>
      <c r="BX606" s="146">
        <f t="shared" si="110"/>
        <v>0</v>
      </c>
      <c r="BY606" s="66"/>
      <c r="BZ606" s="146">
        <f t="shared" si="111"/>
        <v>0</v>
      </c>
      <c r="CA606" s="66"/>
      <c r="CB606" s="146">
        <f t="shared" si="112"/>
        <v>0</v>
      </c>
      <c r="CC606" s="66"/>
      <c r="CD606" s="143">
        <f t="shared" si="113"/>
        <v>0</v>
      </c>
      <c r="CE606" s="66"/>
      <c r="CF606" s="143">
        <f t="shared" si="114"/>
        <v>0</v>
      </c>
      <c r="CG606" s="132"/>
      <c r="CH606" s="143">
        <f t="shared" si="115"/>
        <v>0</v>
      </c>
      <c r="CI606" s="132">
        <f t="shared" si="116"/>
        <v>0</v>
      </c>
      <c r="CJ606" s="143">
        <f t="shared" si="116"/>
        <v>0</v>
      </c>
    </row>
    <row r="607" spans="1:88" x14ac:dyDescent="0.3">
      <c r="A607" s="27"/>
      <c r="B607" s="27"/>
      <c r="C607" s="27"/>
      <c r="D607" s="27"/>
      <c r="E607" s="27"/>
      <c r="F607" s="27"/>
      <c r="G607" s="27"/>
      <c r="H607" s="27"/>
      <c r="I607" s="27"/>
      <c r="J607" s="27"/>
      <c r="K607" s="27"/>
      <c r="L607" s="27"/>
      <c r="N607" s="27"/>
      <c r="O607" s="27"/>
      <c r="P607" s="27"/>
      <c r="Q607" s="117" t="s">
        <v>1178</v>
      </c>
      <c r="R607" s="27"/>
      <c r="S607" s="27"/>
      <c r="T607" s="27"/>
      <c r="U607" s="27"/>
      <c r="V607" s="27"/>
      <c r="W607" s="27"/>
      <c r="X607" s="27"/>
      <c r="Y607" s="27"/>
      <c r="AE607" s="27"/>
      <c r="BD607" s="97"/>
      <c r="BE607" s="108"/>
      <c r="BF607" s="108"/>
      <c r="BG607" s="97"/>
      <c r="BH607" s="97"/>
      <c r="BI607" s="97"/>
      <c r="BJ607" s="97"/>
      <c r="BK607" s="110"/>
      <c r="BL607" s="97"/>
      <c r="BM607" s="97"/>
      <c r="BN607" s="97"/>
      <c r="BO607" s="147"/>
      <c r="BP607" s="143">
        <f t="shared" si="106"/>
        <v>0</v>
      </c>
      <c r="BQ607" s="147"/>
      <c r="BR607" s="143">
        <f t="shared" si="107"/>
        <v>0</v>
      </c>
      <c r="BS607" s="132"/>
      <c r="BT607" s="146">
        <f t="shared" si="108"/>
        <v>0</v>
      </c>
      <c r="BU607" s="66"/>
      <c r="BV607" s="143">
        <f t="shared" si="109"/>
        <v>0</v>
      </c>
      <c r="BW607" s="66"/>
      <c r="BX607" s="146">
        <f t="shared" si="110"/>
        <v>0</v>
      </c>
      <c r="BY607" s="66"/>
      <c r="BZ607" s="146">
        <f t="shared" si="111"/>
        <v>0</v>
      </c>
      <c r="CA607" s="66"/>
      <c r="CB607" s="146">
        <f t="shared" si="112"/>
        <v>0</v>
      </c>
      <c r="CC607" s="66"/>
      <c r="CD607" s="143">
        <f t="shared" si="113"/>
        <v>0</v>
      </c>
      <c r="CE607" s="66"/>
      <c r="CF607" s="143">
        <f t="shared" si="114"/>
        <v>0</v>
      </c>
      <c r="CG607" s="132"/>
      <c r="CH607" s="143">
        <f t="shared" si="115"/>
        <v>0</v>
      </c>
      <c r="CI607" s="132">
        <f t="shared" si="116"/>
        <v>0</v>
      </c>
      <c r="CJ607" s="143">
        <f t="shared" si="116"/>
        <v>0</v>
      </c>
    </row>
    <row r="608" spans="1:88" x14ac:dyDescent="0.3">
      <c r="A608" s="27"/>
      <c r="B608" s="27"/>
      <c r="C608" s="27"/>
      <c r="D608" s="27"/>
      <c r="E608" s="27"/>
      <c r="F608" s="27"/>
      <c r="G608" s="27"/>
      <c r="H608" s="27"/>
      <c r="I608" s="27"/>
      <c r="J608" s="27"/>
      <c r="K608" s="27"/>
      <c r="L608" s="27"/>
      <c r="N608" s="27"/>
      <c r="O608" s="27"/>
      <c r="P608" s="27"/>
      <c r="Q608" s="117" t="s">
        <v>1179</v>
      </c>
      <c r="R608" s="27"/>
      <c r="S608" s="27"/>
      <c r="T608" s="27"/>
      <c r="U608" s="27"/>
      <c r="V608" s="27"/>
      <c r="W608" s="27"/>
      <c r="X608" s="27"/>
      <c r="Y608" s="27"/>
      <c r="AE608" s="27"/>
      <c r="BD608" s="97"/>
      <c r="BE608" s="108"/>
      <c r="BF608" s="108"/>
      <c r="BG608" s="97"/>
      <c r="BH608" s="97"/>
      <c r="BI608" s="97"/>
      <c r="BJ608" s="97"/>
      <c r="BK608" s="110"/>
      <c r="BL608" s="97"/>
      <c r="BM608" s="97"/>
      <c r="BN608" s="97"/>
      <c r="BO608" s="147"/>
      <c r="BP608" s="143">
        <f t="shared" si="106"/>
        <v>0</v>
      </c>
      <c r="BQ608" s="147"/>
      <c r="BR608" s="143">
        <f t="shared" si="107"/>
        <v>0</v>
      </c>
      <c r="BS608" s="132"/>
      <c r="BT608" s="146">
        <f t="shared" si="108"/>
        <v>0</v>
      </c>
      <c r="BU608" s="66"/>
      <c r="BV608" s="143">
        <f t="shared" si="109"/>
        <v>0</v>
      </c>
      <c r="BW608" s="66"/>
      <c r="BX608" s="146">
        <f t="shared" si="110"/>
        <v>0</v>
      </c>
      <c r="BY608" s="66"/>
      <c r="BZ608" s="146">
        <f t="shared" si="111"/>
        <v>0</v>
      </c>
      <c r="CA608" s="66"/>
      <c r="CB608" s="146">
        <f t="shared" si="112"/>
        <v>0</v>
      </c>
      <c r="CC608" s="66"/>
      <c r="CD608" s="143">
        <f t="shared" si="113"/>
        <v>0</v>
      </c>
      <c r="CE608" s="66"/>
      <c r="CF608" s="143">
        <f t="shared" si="114"/>
        <v>0</v>
      </c>
      <c r="CG608" s="132"/>
      <c r="CH608" s="143">
        <f t="shared" si="115"/>
        <v>0</v>
      </c>
      <c r="CI608" s="132">
        <f t="shared" si="116"/>
        <v>0</v>
      </c>
      <c r="CJ608" s="143">
        <f t="shared" si="116"/>
        <v>0</v>
      </c>
    </row>
    <row r="609" spans="1:88" x14ac:dyDescent="0.3">
      <c r="A609" s="27"/>
      <c r="B609" s="27"/>
      <c r="C609" s="27"/>
      <c r="D609" s="27"/>
      <c r="E609" s="27"/>
      <c r="F609" s="27"/>
      <c r="G609" s="27"/>
      <c r="H609" s="27"/>
      <c r="I609" s="27"/>
      <c r="J609" s="27"/>
      <c r="K609" s="27"/>
      <c r="L609" s="27"/>
      <c r="N609" s="27"/>
      <c r="O609" s="27"/>
      <c r="P609" s="27"/>
      <c r="Q609" s="117" t="s">
        <v>1180</v>
      </c>
      <c r="R609" s="27"/>
      <c r="S609" s="27"/>
      <c r="T609" s="27"/>
      <c r="U609" s="27"/>
      <c r="V609" s="27"/>
      <c r="W609" s="27"/>
      <c r="X609" s="27"/>
      <c r="Y609" s="27"/>
      <c r="AE609" s="27"/>
      <c r="BD609" s="97"/>
      <c r="BE609" s="108"/>
      <c r="BF609" s="108"/>
      <c r="BG609" s="97"/>
      <c r="BH609" s="97"/>
      <c r="BI609" s="97"/>
      <c r="BJ609" s="97"/>
      <c r="BK609" s="110"/>
      <c r="BL609" s="97"/>
      <c r="BM609" s="97"/>
      <c r="BN609" s="97"/>
      <c r="BO609" s="147"/>
      <c r="BP609" s="143">
        <f t="shared" si="106"/>
        <v>0</v>
      </c>
      <c r="BQ609" s="147"/>
      <c r="BR609" s="143">
        <f t="shared" si="107"/>
        <v>0</v>
      </c>
      <c r="BS609" s="132"/>
      <c r="BT609" s="146">
        <f t="shared" si="108"/>
        <v>0</v>
      </c>
      <c r="BU609" s="66"/>
      <c r="BV609" s="143">
        <f t="shared" si="109"/>
        <v>0</v>
      </c>
      <c r="BW609" s="66"/>
      <c r="BX609" s="146">
        <f t="shared" si="110"/>
        <v>0</v>
      </c>
      <c r="BY609" s="66"/>
      <c r="BZ609" s="146">
        <f t="shared" si="111"/>
        <v>0</v>
      </c>
      <c r="CA609" s="66"/>
      <c r="CB609" s="146">
        <f t="shared" si="112"/>
        <v>0</v>
      </c>
      <c r="CC609" s="66"/>
      <c r="CD609" s="143">
        <f t="shared" si="113"/>
        <v>0</v>
      </c>
      <c r="CE609" s="66"/>
      <c r="CF609" s="143">
        <f t="shared" si="114"/>
        <v>0</v>
      </c>
      <c r="CG609" s="132"/>
      <c r="CH609" s="143">
        <f t="shared" si="115"/>
        <v>0</v>
      </c>
      <c r="CI609" s="132">
        <f t="shared" si="116"/>
        <v>0</v>
      </c>
      <c r="CJ609" s="143">
        <f t="shared" si="116"/>
        <v>0</v>
      </c>
    </row>
    <row r="610" spans="1:88" x14ac:dyDescent="0.3">
      <c r="A610" s="27"/>
      <c r="B610" s="27"/>
      <c r="C610" s="27"/>
      <c r="D610" s="27"/>
      <c r="E610" s="27"/>
      <c r="F610" s="27"/>
      <c r="G610" s="27"/>
      <c r="H610" s="27"/>
      <c r="I610" s="27"/>
      <c r="J610" s="27"/>
      <c r="K610" s="27"/>
      <c r="L610" s="27"/>
      <c r="N610" s="27"/>
      <c r="O610" s="27"/>
      <c r="P610" s="27"/>
      <c r="Q610" s="117" t="s">
        <v>1181</v>
      </c>
      <c r="R610" s="27"/>
      <c r="S610" s="27"/>
      <c r="T610" s="27"/>
      <c r="U610" s="27"/>
      <c r="V610" s="27"/>
      <c r="W610" s="27"/>
      <c r="X610" s="27"/>
      <c r="Y610" s="27"/>
      <c r="AE610" s="27"/>
      <c r="BD610" s="97"/>
      <c r="BE610" s="108"/>
      <c r="BF610" s="108"/>
      <c r="BG610" s="97"/>
      <c r="BH610" s="97"/>
      <c r="BI610" s="97"/>
      <c r="BJ610" s="97"/>
      <c r="BK610" s="110"/>
      <c r="BL610" s="97"/>
      <c r="BM610" s="97"/>
      <c r="BN610" s="97"/>
      <c r="BO610" s="147"/>
      <c r="BP610" s="143">
        <f t="shared" si="106"/>
        <v>0</v>
      </c>
      <c r="BQ610" s="147"/>
      <c r="BR610" s="143">
        <f t="shared" si="107"/>
        <v>0</v>
      </c>
      <c r="BS610" s="132"/>
      <c r="BT610" s="146">
        <f t="shared" si="108"/>
        <v>0</v>
      </c>
      <c r="BU610" s="66"/>
      <c r="BV610" s="143">
        <f t="shared" si="109"/>
        <v>0</v>
      </c>
      <c r="BW610" s="66"/>
      <c r="BX610" s="146">
        <f t="shared" si="110"/>
        <v>0</v>
      </c>
      <c r="BY610" s="66"/>
      <c r="BZ610" s="146">
        <f t="shared" si="111"/>
        <v>0</v>
      </c>
      <c r="CA610" s="66"/>
      <c r="CB610" s="146">
        <f t="shared" si="112"/>
        <v>0</v>
      </c>
      <c r="CC610" s="66"/>
      <c r="CD610" s="143">
        <f t="shared" si="113"/>
        <v>0</v>
      </c>
      <c r="CE610" s="66"/>
      <c r="CF610" s="143">
        <f t="shared" si="114"/>
        <v>0</v>
      </c>
      <c r="CG610" s="132"/>
      <c r="CH610" s="143">
        <f t="shared" si="115"/>
        <v>0</v>
      </c>
      <c r="CI610" s="132">
        <f t="shared" si="116"/>
        <v>0</v>
      </c>
      <c r="CJ610" s="143">
        <f t="shared" si="116"/>
        <v>0</v>
      </c>
    </row>
    <row r="611" spans="1:88" x14ac:dyDescent="0.3">
      <c r="A611" s="27"/>
      <c r="B611" s="27"/>
      <c r="C611" s="27"/>
      <c r="D611" s="27"/>
      <c r="E611" s="27"/>
      <c r="F611" s="27"/>
      <c r="G611" s="27"/>
      <c r="H611" s="27"/>
      <c r="I611" s="27"/>
      <c r="J611" s="27"/>
      <c r="K611" s="27"/>
      <c r="L611" s="27"/>
      <c r="N611" s="27"/>
      <c r="O611" s="27"/>
      <c r="P611" s="27"/>
      <c r="Q611" s="117" t="s">
        <v>1182</v>
      </c>
      <c r="R611" s="27"/>
      <c r="S611" s="27"/>
      <c r="T611" s="27"/>
      <c r="U611" s="27"/>
      <c r="V611" s="27"/>
      <c r="W611" s="27"/>
      <c r="X611" s="27"/>
      <c r="Y611" s="27"/>
      <c r="AE611" s="27"/>
      <c r="BD611" s="97"/>
      <c r="BE611" s="108"/>
      <c r="BF611" s="108"/>
      <c r="BG611" s="97"/>
      <c r="BH611" s="97"/>
      <c r="BI611" s="97"/>
      <c r="BJ611" s="97"/>
      <c r="BK611" s="110"/>
      <c r="BL611" s="97"/>
      <c r="BM611" s="97"/>
      <c r="BN611" s="97"/>
      <c r="BO611" s="156"/>
      <c r="BP611" s="143">
        <f t="shared" si="106"/>
        <v>0</v>
      </c>
      <c r="BQ611" s="156"/>
      <c r="BR611" s="143">
        <f t="shared" si="107"/>
        <v>0</v>
      </c>
      <c r="BS611" s="132"/>
      <c r="BT611" s="146">
        <f t="shared" si="108"/>
        <v>0</v>
      </c>
      <c r="BU611" s="121"/>
      <c r="BV611" s="143">
        <f t="shared" si="109"/>
        <v>0</v>
      </c>
      <c r="BW611" s="121"/>
      <c r="BX611" s="146">
        <f t="shared" si="110"/>
        <v>0</v>
      </c>
      <c r="BY611" s="121"/>
      <c r="BZ611" s="146">
        <f t="shared" si="111"/>
        <v>0</v>
      </c>
      <c r="CA611" s="121"/>
      <c r="CB611" s="146">
        <f t="shared" si="112"/>
        <v>0</v>
      </c>
      <c r="CC611" s="66"/>
      <c r="CD611" s="143">
        <f t="shared" si="113"/>
        <v>0</v>
      </c>
      <c r="CE611" s="66"/>
      <c r="CF611" s="143">
        <f t="shared" si="114"/>
        <v>0</v>
      </c>
      <c r="CG611" s="132"/>
      <c r="CH611" s="143">
        <f t="shared" si="115"/>
        <v>0</v>
      </c>
      <c r="CI611" s="132">
        <f t="shared" si="116"/>
        <v>0</v>
      </c>
      <c r="CJ611" s="143">
        <f t="shared" si="116"/>
        <v>0</v>
      </c>
    </row>
    <row r="612" spans="1:88" x14ac:dyDescent="0.3">
      <c r="A612" s="27"/>
      <c r="B612" s="27"/>
      <c r="C612" s="27"/>
      <c r="D612" s="27"/>
      <c r="E612" s="27"/>
      <c r="F612" s="27"/>
      <c r="G612" s="27"/>
      <c r="H612" s="27"/>
      <c r="I612" s="27"/>
      <c r="J612" s="27"/>
      <c r="K612" s="27"/>
      <c r="L612" s="27"/>
      <c r="N612" s="27"/>
      <c r="O612" s="27"/>
      <c r="P612" s="27"/>
      <c r="Q612" s="117" t="s">
        <v>1183</v>
      </c>
      <c r="R612" s="27"/>
      <c r="S612" s="27"/>
      <c r="T612" s="27"/>
      <c r="U612" s="27"/>
      <c r="V612" s="27"/>
      <c r="W612" s="27"/>
      <c r="X612" s="27"/>
      <c r="Y612" s="27"/>
      <c r="AE612" s="27"/>
      <c r="BD612" s="97"/>
      <c r="BE612" s="108"/>
      <c r="BF612" s="108"/>
      <c r="BG612" s="97"/>
      <c r="BH612" s="97"/>
      <c r="BI612" s="97"/>
      <c r="BJ612" s="97"/>
      <c r="BK612" s="110"/>
      <c r="BL612" s="97"/>
      <c r="BM612" s="97"/>
      <c r="BN612" s="97"/>
      <c r="BO612" s="156"/>
      <c r="BP612" s="143">
        <f t="shared" si="106"/>
        <v>0</v>
      </c>
      <c r="BQ612" s="156"/>
      <c r="BR612" s="143">
        <f t="shared" si="107"/>
        <v>0</v>
      </c>
      <c r="BS612" s="132"/>
      <c r="BT612" s="146">
        <f t="shared" si="108"/>
        <v>0</v>
      </c>
      <c r="BU612" s="121"/>
      <c r="BV612" s="143">
        <f t="shared" si="109"/>
        <v>0</v>
      </c>
      <c r="BW612" s="121"/>
      <c r="BX612" s="146">
        <f t="shared" si="110"/>
        <v>0</v>
      </c>
      <c r="BY612" s="121"/>
      <c r="BZ612" s="146">
        <f t="shared" si="111"/>
        <v>0</v>
      </c>
      <c r="CA612" s="121"/>
      <c r="CB612" s="146">
        <f t="shared" si="112"/>
        <v>0</v>
      </c>
      <c r="CC612" s="66"/>
      <c r="CD612" s="143">
        <f t="shared" si="113"/>
        <v>0</v>
      </c>
      <c r="CE612" s="66"/>
      <c r="CF612" s="143">
        <f t="shared" si="114"/>
        <v>0</v>
      </c>
      <c r="CG612" s="132"/>
      <c r="CH612" s="143">
        <f t="shared" si="115"/>
        <v>0</v>
      </c>
      <c r="CI612" s="132">
        <f t="shared" si="116"/>
        <v>0</v>
      </c>
      <c r="CJ612" s="143">
        <f t="shared" si="116"/>
        <v>0</v>
      </c>
    </row>
    <row r="613" spans="1:88" x14ac:dyDescent="0.3">
      <c r="A613" s="27"/>
      <c r="B613" s="27"/>
      <c r="C613" s="27"/>
      <c r="D613" s="27"/>
      <c r="E613" s="27"/>
      <c r="F613" s="27"/>
      <c r="G613" s="27"/>
      <c r="H613" s="27"/>
      <c r="I613" s="27"/>
      <c r="J613" s="27"/>
      <c r="K613" s="27"/>
      <c r="L613" s="27"/>
      <c r="N613" s="27"/>
      <c r="O613" s="27"/>
      <c r="P613" s="27"/>
      <c r="Q613" s="117" t="s">
        <v>1184</v>
      </c>
      <c r="R613" s="27"/>
      <c r="S613" s="27"/>
      <c r="T613" s="27"/>
      <c r="U613" s="27"/>
      <c r="V613" s="27"/>
      <c r="W613" s="27"/>
      <c r="X613" s="27"/>
      <c r="Y613" s="27"/>
      <c r="AE613" s="27"/>
      <c r="BD613" s="97"/>
      <c r="BE613" s="108"/>
      <c r="BF613" s="108"/>
      <c r="BG613" s="97"/>
      <c r="BH613" s="97"/>
      <c r="BI613" s="97"/>
      <c r="BJ613" s="97"/>
      <c r="BK613" s="110"/>
      <c r="BL613" s="97"/>
      <c r="BM613" s="97"/>
      <c r="BN613" s="97"/>
      <c r="BO613" s="156"/>
      <c r="BP613" s="143">
        <f t="shared" si="106"/>
        <v>0</v>
      </c>
      <c r="BQ613" s="156"/>
      <c r="BR613" s="143">
        <f t="shared" si="107"/>
        <v>0</v>
      </c>
      <c r="BS613" s="132"/>
      <c r="BT613" s="146">
        <f t="shared" si="108"/>
        <v>0</v>
      </c>
      <c r="BU613" s="121"/>
      <c r="BV613" s="143">
        <f t="shared" si="109"/>
        <v>0</v>
      </c>
      <c r="BW613" s="121"/>
      <c r="BX613" s="146">
        <f t="shared" si="110"/>
        <v>0</v>
      </c>
      <c r="BY613" s="121"/>
      <c r="BZ613" s="146">
        <f t="shared" si="111"/>
        <v>0</v>
      </c>
      <c r="CA613" s="121"/>
      <c r="CB613" s="146">
        <f t="shared" si="112"/>
        <v>0</v>
      </c>
      <c r="CC613" s="66"/>
      <c r="CD613" s="143">
        <f t="shared" si="113"/>
        <v>0</v>
      </c>
      <c r="CE613" s="66"/>
      <c r="CF613" s="143">
        <f t="shared" si="114"/>
        <v>0</v>
      </c>
      <c r="CG613" s="132"/>
      <c r="CH613" s="143">
        <f t="shared" si="115"/>
        <v>0</v>
      </c>
      <c r="CI613" s="132">
        <f t="shared" si="116"/>
        <v>0</v>
      </c>
      <c r="CJ613" s="143">
        <f t="shared" si="116"/>
        <v>0</v>
      </c>
    </row>
    <row r="614" spans="1:88" x14ac:dyDescent="0.3">
      <c r="A614" s="27"/>
      <c r="B614" s="27"/>
      <c r="C614" s="27"/>
      <c r="D614" s="27"/>
      <c r="E614" s="27"/>
      <c r="F614" s="27"/>
      <c r="G614" s="27"/>
      <c r="H614" s="27"/>
      <c r="I614" s="27"/>
      <c r="J614" s="27"/>
      <c r="K614" s="27"/>
      <c r="L614" s="27"/>
      <c r="N614" s="27"/>
      <c r="O614" s="27"/>
      <c r="P614" s="27"/>
      <c r="Q614" s="117" t="s">
        <v>1185</v>
      </c>
      <c r="R614" s="27"/>
      <c r="S614" s="27"/>
      <c r="T614" s="27"/>
      <c r="U614" s="27"/>
      <c r="V614" s="27"/>
      <c r="W614" s="27"/>
      <c r="X614" s="27"/>
      <c r="Y614" s="27"/>
      <c r="AE614" s="27"/>
      <c r="BD614" s="97"/>
      <c r="BE614" s="108"/>
      <c r="BF614" s="108"/>
      <c r="BG614" s="97"/>
      <c r="BH614" s="97"/>
      <c r="BI614" s="97"/>
      <c r="BJ614" s="97"/>
      <c r="BK614" s="110"/>
      <c r="BL614" s="97"/>
      <c r="BM614" s="97"/>
      <c r="BN614" s="97"/>
      <c r="BO614" s="156"/>
      <c r="BP614" s="143">
        <f t="shared" si="106"/>
        <v>0</v>
      </c>
      <c r="BQ614" s="156"/>
      <c r="BR614" s="143">
        <f t="shared" si="107"/>
        <v>0</v>
      </c>
      <c r="BS614" s="132"/>
      <c r="BT614" s="146">
        <f t="shared" si="108"/>
        <v>0</v>
      </c>
      <c r="BU614" s="121"/>
      <c r="BV614" s="143">
        <f t="shared" si="109"/>
        <v>0</v>
      </c>
      <c r="BW614" s="121"/>
      <c r="BX614" s="146">
        <f t="shared" si="110"/>
        <v>0</v>
      </c>
      <c r="BY614" s="121"/>
      <c r="BZ614" s="146">
        <f t="shared" si="111"/>
        <v>0</v>
      </c>
      <c r="CA614" s="121"/>
      <c r="CB614" s="146">
        <f t="shared" si="112"/>
        <v>0</v>
      </c>
      <c r="CC614" s="66"/>
      <c r="CD614" s="143">
        <f t="shared" si="113"/>
        <v>0</v>
      </c>
      <c r="CE614" s="66"/>
      <c r="CF614" s="143">
        <f t="shared" si="114"/>
        <v>0</v>
      </c>
      <c r="CG614" s="132"/>
      <c r="CH614" s="143">
        <f t="shared" si="115"/>
        <v>0</v>
      </c>
      <c r="CI614" s="132">
        <f t="shared" si="116"/>
        <v>0</v>
      </c>
      <c r="CJ614" s="143">
        <f t="shared" si="116"/>
        <v>0</v>
      </c>
    </row>
    <row r="615" spans="1:88" x14ac:dyDescent="0.3">
      <c r="A615" s="27"/>
      <c r="B615" s="27"/>
      <c r="C615" s="27"/>
      <c r="D615" s="27"/>
      <c r="E615" s="27"/>
      <c r="F615" s="27"/>
      <c r="G615" s="27"/>
      <c r="H615" s="27"/>
      <c r="I615" s="27"/>
      <c r="J615" s="27"/>
      <c r="K615" s="27"/>
      <c r="L615" s="27"/>
      <c r="N615" s="27"/>
      <c r="O615" s="27"/>
      <c r="P615" s="27"/>
      <c r="Q615" s="117" t="s">
        <v>1186</v>
      </c>
      <c r="R615" s="27"/>
      <c r="S615" s="27"/>
      <c r="T615" s="27"/>
      <c r="U615" s="27"/>
      <c r="V615" s="27"/>
      <c r="W615" s="27"/>
      <c r="X615" s="27"/>
      <c r="Y615" s="27"/>
      <c r="AE615" s="27"/>
      <c r="BD615" s="97"/>
      <c r="BE615" s="108"/>
      <c r="BF615" s="108"/>
      <c r="BG615" s="97"/>
      <c r="BH615" s="97"/>
      <c r="BI615" s="97"/>
      <c r="BJ615" s="97"/>
      <c r="BK615" s="110"/>
      <c r="BL615" s="97"/>
      <c r="BM615" s="97"/>
      <c r="BN615" s="97"/>
      <c r="BO615" s="156"/>
      <c r="BP615" s="143">
        <f t="shared" si="106"/>
        <v>0</v>
      </c>
      <c r="BQ615" s="156"/>
      <c r="BR615" s="143">
        <f t="shared" si="107"/>
        <v>0</v>
      </c>
      <c r="BS615" s="132"/>
      <c r="BT615" s="146">
        <f t="shared" si="108"/>
        <v>0</v>
      </c>
      <c r="BU615" s="121"/>
      <c r="BV615" s="143">
        <f t="shared" si="109"/>
        <v>0</v>
      </c>
      <c r="BW615" s="121"/>
      <c r="BX615" s="146">
        <f t="shared" si="110"/>
        <v>0</v>
      </c>
      <c r="BY615" s="121"/>
      <c r="BZ615" s="146">
        <f t="shared" si="111"/>
        <v>0</v>
      </c>
      <c r="CA615" s="121"/>
      <c r="CB615" s="146">
        <f t="shared" si="112"/>
        <v>0</v>
      </c>
      <c r="CC615" s="66"/>
      <c r="CD615" s="143">
        <f t="shared" si="113"/>
        <v>0</v>
      </c>
      <c r="CE615" s="66"/>
      <c r="CF615" s="143">
        <f t="shared" si="114"/>
        <v>0</v>
      </c>
      <c r="CG615" s="132"/>
      <c r="CH615" s="143">
        <f t="shared" si="115"/>
        <v>0</v>
      </c>
      <c r="CI615" s="132">
        <f t="shared" si="116"/>
        <v>0</v>
      </c>
      <c r="CJ615" s="143">
        <f t="shared" si="116"/>
        <v>0</v>
      </c>
    </row>
    <row r="616" spans="1:88" x14ac:dyDescent="0.3">
      <c r="A616" s="27"/>
      <c r="B616" s="27"/>
      <c r="C616" s="27"/>
      <c r="D616" s="27"/>
      <c r="E616" s="27"/>
      <c r="F616" s="27"/>
      <c r="G616" s="27"/>
      <c r="H616" s="27"/>
      <c r="I616" s="27"/>
      <c r="J616" s="27"/>
      <c r="K616" s="27"/>
      <c r="L616" s="27"/>
      <c r="N616" s="27"/>
      <c r="O616" s="27"/>
      <c r="P616" s="27"/>
      <c r="Q616" s="117" t="s">
        <v>1187</v>
      </c>
      <c r="R616" s="27"/>
      <c r="S616" s="27"/>
      <c r="T616" s="27"/>
      <c r="U616" s="27"/>
      <c r="V616" s="27"/>
      <c r="W616" s="27"/>
      <c r="X616" s="27"/>
      <c r="Y616" s="27"/>
      <c r="AE616" s="27"/>
      <c r="BD616" s="97"/>
      <c r="BE616" s="108"/>
      <c r="BF616" s="108"/>
      <c r="BG616" s="97"/>
      <c r="BH616" s="97"/>
      <c r="BI616" s="97"/>
      <c r="BJ616" s="97"/>
      <c r="BK616" s="110"/>
      <c r="BL616" s="97"/>
      <c r="BM616" s="97"/>
      <c r="BN616" s="97"/>
      <c r="BO616" s="156"/>
      <c r="BP616" s="143">
        <f t="shared" si="106"/>
        <v>0</v>
      </c>
      <c r="BQ616" s="156"/>
      <c r="BR616" s="143">
        <f t="shared" si="107"/>
        <v>0</v>
      </c>
      <c r="BS616" s="132"/>
      <c r="BT616" s="146">
        <f t="shared" si="108"/>
        <v>0</v>
      </c>
      <c r="BU616" s="121"/>
      <c r="BV616" s="143">
        <f t="shared" si="109"/>
        <v>0</v>
      </c>
      <c r="BW616" s="121"/>
      <c r="BX616" s="146">
        <f t="shared" si="110"/>
        <v>0</v>
      </c>
      <c r="BY616" s="121"/>
      <c r="BZ616" s="146">
        <f t="shared" si="111"/>
        <v>0</v>
      </c>
      <c r="CA616" s="121"/>
      <c r="CB616" s="146">
        <f t="shared" si="112"/>
        <v>0</v>
      </c>
      <c r="CC616" s="66"/>
      <c r="CD616" s="143">
        <f t="shared" si="113"/>
        <v>0</v>
      </c>
      <c r="CE616" s="66"/>
      <c r="CF616" s="143">
        <f t="shared" si="114"/>
        <v>0</v>
      </c>
      <c r="CG616" s="132"/>
      <c r="CH616" s="143">
        <f t="shared" si="115"/>
        <v>0</v>
      </c>
      <c r="CI616" s="132">
        <f t="shared" si="116"/>
        <v>0</v>
      </c>
      <c r="CJ616" s="143">
        <f t="shared" si="116"/>
        <v>0</v>
      </c>
    </row>
    <row r="617" spans="1:88" x14ac:dyDescent="0.3">
      <c r="A617" s="27"/>
      <c r="B617" s="27"/>
      <c r="C617" s="27"/>
      <c r="D617" s="27"/>
      <c r="E617" s="27"/>
      <c r="F617" s="27"/>
      <c r="G617" s="27"/>
      <c r="H617" s="27"/>
      <c r="I617" s="27"/>
      <c r="J617" s="27"/>
      <c r="K617" s="27"/>
      <c r="L617" s="27"/>
      <c r="N617" s="27"/>
      <c r="O617" s="27"/>
      <c r="P617" s="27"/>
      <c r="Q617" s="117" t="s">
        <v>1188</v>
      </c>
      <c r="R617" s="27"/>
      <c r="S617" s="27"/>
      <c r="T617" s="27"/>
      <c r="U617" s="27"/>
      <c r="V617" s="27"/>
      <c r="W617" s="27"/>
      <c r="X617" s="27"/>
      <c r="Y617" s="27"/>
      <c r="AE617" s="27"/>
      <c r="BD617" s="97"/>
      <c r="BE617" s="108"/>
      <c r="BF617" s="108"/>
      <c r="BG617" s="97"/>
      <c r="BH617" s="97"/>
      <c r="BI617" s="97"/>
      <c r="BJ617" s="97"/>
      <c r="BK617" s="110"/>
      <c r="BL617" s="97"/>
      <c r="BM617" s="97"/>
      <c r="BN617" s="97"/>
      <c r="BO617" s="156"/>
      <c r="BP617" s="143">
        <f t="shared" si="106"/>
        <v>0</v>
      </c>
      <c r="BQ617" s="156"/>
      <c r="BR617" s="143">
        <f t="shared" si="107"/>
        <v>0</v>
      </c>
      <c r="BS617" s="132"/>
      <c r="BT617" s="146">
        <f t="shared" si="108"/>
        <v>0</v>
      </c>
      <c r="BU617" s="121"/>
      <c r="BV617" s="143">
        <f t="shared" si="109"/>
        <v>0</v>
      </c>
      <c r="BW617" s="121"/>
      <c r="BX617" s="146">
        <f t="shared" si="110"/>
        <v>0</v>
      </c>
      <c r="BY617" s="121"/>
      <c r="BZ617" s="146">
        <f t="shared" si="111"/>
        <v>0</v>
      </c>
      <c r="CA617" s="121"/>
      <c r="CB617" s="146">
        <f t="shared" si="112"/>
        <v>0</v>
      </c>
      <c r="CC617" s="66"/>
      <c r="CD617" s="143">
        <f t="shared" si="113"/>
        <v>0</v>
      </c>
      <c r="CE617" s="66"/>
      <c r="CF617" s="143">
        <f t="shared" si="114"/>
        <v>0</v>
      </c>
      <c r="CG617" s="132"/>
      <c r="CH617" s="143">
        <f t="shared" si="115"/>
        <v>0</v>
      </c>
      <c r="CI617" s="132">
        <f t="shared" si="116"/>
        <v>0</v>
      </c>
      <c r="CJ617" s="143">
        <f t="shared" si="116"/>
        <v>0</v>
      </c>
    </row>
    <row r="618" spans="1:88" x14ac:dyDescent="0.3">
      <c r="A618" s="27"/>
      <c r="B618" s="27"/>
      <c r="C618" s="27"/>
      <c r="D618" s="27"/>
      <c r="E618" s="27"/>
      <c r="F618" s="27"/>
      <c r="G618" s="27"/>
      <c r="H618" s="27"/>
      <c r="I618" s="27"/>
      <c r="J618" s="27"/>
      <c r="K618" s="27"/>
      <c r="L618" s="27"/>
      <c r="N618" s="27"/>
      <c r="O618" s="27"/>
      <c r="P618" s="27"/>
      <c r="Q618" s="117" t="s">
        <v>1189</v>
      </c>
      <c r="R618" s="27"/>
      <c r="S618" s="27"/>
      <c r="T618" s="27"/>
      <c r="U618" s="27"/>
      <c r="V618" s="27"/>
      <c r="W618" s="27"/>
      <c r="X618" s="27"/>
      <c r="Y618" s="27"/>
      <c r="AE618" s="27"/>
      <c r="BD618" s="97"/>
      <c r="BE618" s="108"/>
      <c r="BF618" s="108"/>
      <c r="BG618" s="97"/>
      <c r="BH618" s="97"/>
      <c r="BI618" s="97"/>
      <c r="BJ618" s="97"/>
      <c r="BK618" s="110"/>
      <c r="BL618" s="97"/>
      <c r="BM618" s="97"/>
      <c r="BN618" s="97"/>
      <c r="BO618" s="121"/>
      <c r="BP618" s="121"/>
      <c r="BQ618" s="121"/>
      <c r="BR618" s="121"/>
      <c r="BS618" s="121"/>
      <c r="BT618" s="121"/>
      <c r="BU618" s="121"/>
      <c r="BV618" s="121"/>
      <c r="BW618" s="121"/>
      <c r="BX618" s="121"/>
      <c r="BY618" s="121"/>
      <c r="BZ618" s="121"/>
      <c r="CA618" s="121"/>
      <c r="CB618" s="66"/>
      <c r="CC618" s="66"/>
      <c r="CD618" s="66"/>
      <c r="CE618" s="66"/>
      <c r="CF618" s="66"/>
      <c r="CG618" s="66"/>
      <c r="CH618" s="66"/>
      <c r="CI618" s="66"/>
      <c r="CJ618" s="143">
        <f t="shared" ref="CJ618:CJ624" si="117">SUM(BP618,BR618,BT618,BV618,BX618,BZ618,CB618,CD618,CF618,CH618)</f>
        <v>0</v>
      </c>
    </row>
    <row r="619" spans="1:88" x14ac:dyDescent="0.3">
      <c r="A619" s="27"/>
      <c r="B619" s="27"/>
      <c r="C619" s="27"/>
      <c r="D619" s="27"/>
      <c r="E619" s="27"/>
      <c r="F619" s="27"/>
      <c r="G619" s="27"/>
      <c r="H619" s="27"/>
      <c r="I619" s="27"/>
      <c r="J619" s="27"/>
      <c r="K619" s="27"/>
      <c r="L619" s="27"/>
      <c r="N619" s="27"/>
      <c r="O619" s="27"/>
      <c r="P619" s="27"/>
      <c r="Q619" s="117" t="s">
        <v>1190</v>
      </c>
      <c r="R619" s="27"/>
      <c r="S619" s="27"/>
      <c r="T619" s="27"/>
      <c r="U619" s="27"/>
      <c r="V619" s="27"/>
      <c r="W619" s="27"/>
      <c r="X619" s="27"/>
      <c r="Y619" s="27"/>
      <c r="AE619" s="27"/>
      <c r="BD619" s="97"/>
      <c r="BE619" s="108"/>
      <c r="BF619" s="108"/>
      <c r="BG619" s="97"/>
      <c r="BH619" s="97"/>
      <c r="BI619" s="97"/>
      <c r="BJ619" s="97"/>
      <c r="BK619" s="110"/>
      <c r="BL619" s="97"/>
      <c r="BM619" s="97"/>
      <c r="BN619" s="97"/>
      <c r="BO619" s="121"/>
      <c r="BP619" s="121"/>
      <c r="BQ619" s="121"/>
      <c r="BR619" s="121"/>
      <c r="BS619" s="121"/>
      <c r="BT619" s="121"/>
      <c r="BU619" s="121"/>
      <c r="BV619" s="121"/>
      <c r="BW619" s="121"/>
      <c r="BX619" s="121"/>
      <c r="BY619" s="121"/>
      <c r="BZ619" s="121"/>
      <c r="CA619" s="121"/>
      <c r="CB619" s="66"/>
      <c r="CC619" s="66"/>
      <c r="CD619" s="66"/>
      <c r="CE619" s="66"/>
      <c r="CF619" s="66"/>
      <c r="CG619" s="66"/>
      <c r="CH619" s="66"/>
      <c r="CI619" s="66"/>
      <c r="CJ619" s="143">
        <f t="shared" si="117"/>
        <v>0</v>
      </c>
    </row>
    <row r="620" spans="1:88" x14ac:dyDescent="0.3">
      <c r="A620" s="27"/>
      <c r="B620" s="27"/>
      <c r="C620" s="27"/>
      <c r="D620" s="27"/>
      <c r="E620" s="27"/>
      <c r="F620" s="27"/>
      <c r="G620" s="27"/>
      <c r="H620" s="27"/>
      <c r="I620" s="27"/>
      <c r="J620" s="27"/>
      <c r="K620" s="27"/>
      <c r="L620" s="27"/>
      <c r="N620" s="27"/>
      <c r="O620" s="27"/>
      <c r="P620" s="27"/>
      <c r="Q620" s="117" t="s">
        <v>1191</v>
      </c>
      <c r="R620" s="27"/>
      <c r="S620" s="27"/>
      <c r="T620" s="27"/>
      <c r="U620" s="27"/>
      <c r="V620" s="27"/>
      <c r="W620" s="27"/>
      <c r="X620" s="27"/>
      <c r="Y620" s="27"/>
      <c r="AE620" s="27"/>
      <c r="BD620" s="97"/>
      <c r="BE620" s="108"/>
      <c r="BF620" s="108"/>
      <c r="BG620" s="97"/>
      <c r="BH620" s="97"/>
      <c r="BI620" s="97"/>
      <c r="BJ620" s="97"/>
      <c r="BK620" s="110"/>
      <c r="BL620" s="97"/>
      <c r="BM620" s="97"/>
      <c r="BN620" s="97"/>
      <c r="BO620" s="121"/>
      <c r="BP620" s="121"/>
      <c r="BQ620" s="121"/>
      <c r="BR620" s="121"/>
      <c r="BS620" s="121"/>
      <c r="BT620" s="121"/>
      <c r="BU620" s="121"/>
      <c r="BV620" s="121"/>
      <c r="BW620" s="121"/>
      <c r="BX620" s="121"/>
      <c r="BY620" s="121"/>
      <c r="BZ620" s="121"/>
      <c r="CA620" s="121"/>
      <c r="CB620" s="66"/>
      <c r="CC620" s="66"/>
      <c r="CD620" s="66"/>
      <c r="CE620" s="66"/>
      <c r="CF620" s="66"/>
      <c r="CG620" s="66"/>
      <c r="CH620" s="66"/>
      <c r="CI620" s="66"/>
      <c r="CJ620" s="143">
        <f t="shared" si="117"/>
        <v>0</v>
      </c>
    </row>
    <row r="621" spans="1:88" x14ac:dyDescent="0.3">
      <c r="A621" s="27"/>
      <c r="B621" s="27"/>
      <c r="C621" s="27"/>
      <c r="D621" s="27"/>
      <c r="E621" s="27"/>
      <c r="F621" s="27"/>
      <c r="G621" s="27"/>
      <c r="H621" s="27"/>
      <c r="I621" s="27"/>
      <c r="J621" s="27"/>
      <c r="K621" s="27"/>
      <c r="L621" s="27"/>
      <c r="N621" s="27"/>
      <c r="O621" s="27"/>
      <c r="P621" s="27"/>
      <c r="Q621" s="117" t="s">
        <v>1192</v>
      </c>
      <c r="R621" s="27"/>
      <c r="S621" s="27"/>
      <c r="T621" s="27"/>
      <c r="U621" s="27"/>
      <c r="V621" s="27"/>
      <c r="W621" s="27"/>
      <c r="X621" s="27"/>
      <c r="Y621" s="27"/>
      <c r="AE621" s="27"/>
      <c r="BD621" s="97"/>
      <c r="BE621" s="108"/>
      <c r="BF621" s="108"/>
      <c r="BG621" s="97"/>
      <c r="BH621" s="97"/>
      <c r="BI621" s="97"/>
      <c r="BJ621" s="97"/>
      <c r="BK621" s="110"/>
      <c r="BL621" s="97"/>
      <c r="BM621" s="97"/>
      <c r="BN621" s="97"/>
      <c r="BO621" s="121"/>
      <c r="BP621" s="121"/>
      <c r="BQ621" s="121"/>
      <c r="BR621" s="121"/>
      <c r="BS621" s="121"/>
      <c r="BT621" s="121"/>
      <c r="BU621" s="121"/>
      <c r="BV621" s="121"/>
      <c r="BW621" s="121"/>
      <c r="BX621" s="121"/>
      <c r="BY621" s="121"/>
      <c r="BZ621" s="121"/>
      <c r="CA621" s="121"/>
      <c r="CB621" s="66"/>
      <c r="CC621" s="66"/>
      <c r="CD621" s="66"/>
      <c r="CE621" s="66"/>
      <c r="CF621" s="66"/>
      <c r="CG621" s="66"/>
      <c r="CH621" s="66"/>
      <c r="CI621" s="66"/>
      <c r="CJ621" s="143">
        <f t="shared" si="117"/>
        <v>0</v>
      </c>
    </row>
    <row r="622" spans="1:88" x14ac:dyDescent="0.3">
      <c r="A622" s="27"/>
      <c r="B622" s="27"/>
      <c r="C622" s="27"/>
      <c r="D622" s="27"/>
      <c r="E622" s="27"/>
      <c r="F622" s="27"/>
      <c r="G622" s="27"/>
      <c r="H622" s="27"/>
      <c r="I622" s="27"/>
      <c r="J622" s="27"/>
      <c r="K622" s="27"/>
      <c r="L622" s="27"/>
      <c r="N622" s="27"/>
      <c r="O622" s="27"/>
      <c r="P622" s="27"/>
      <c r="Q622" s="117" t="s">
        <v>1193</v>
      </c>
      <c r="R622" s="27"/>
      <c r="S622" s="27"/>
      <c r="T622" s="27"/>
      <c r="U622" s="27"/>
      <c r="V622" s="27"/>
      <c r="W622" s="27"/>
      <c r="X622" s="27"/>
      <c r="Y622" s="27"/>
      <c r="AE622" s="27"/>
      <c r="BD622" s="97"/>
      <c r="BE622" s="108"/>
      <c r="BF622" s="108"/>
      <c r="BG622" s="97"/>
      <c r="BH622" s="97"/>
      <c r="BI622" s="97"/>
      <c r="BJ622" s="97"/>
      <c r="BK622" s="110"/>
      <c r="BL622" s="97"/>
      <c r="BM622" s="97"/>
      <c r="BN622" s="97"/>
      <c r="BO622" s="121"/>
      <c r="BP622" s="121"/>
      <c r="BQ622" s="121"/>
      <c r="BR622" s="121"/>
      <c r="BS622" s="121"/>
      <c r="BT622" s="121"/>
      <c r="BU622" s="121"/>
      <c r="BV622" s="121"/>
      <c r="BW622" s="121"/>
      <c r="BX622" s="121"/>
      <c r="BY622" s="121"/>
      <c r="BZ622" s="121"/>
      <c r="CA622" s="121"/>
      <c r="CB622" s="66"/>
      <c r="CC622" s="66"/>
      <c r="CD622" s="66"/>
      <c r="CE622" s="66"/>
      <c r="CF622" s="66"/>
      <c r="CG622" s="66"/>
      <c r="CH622" s="66"/>
      <c r="CI622" s="66"/>
      <c r="CJ622" s="143">
        <f t="shared" si="117"/>
        <v>0</v>
      </c>
    </row>
    <row r="623" spans="1:88" x14ac:dyDescent="0.3">
      <c r="A623" s="27"/>
      <c r="B623" s="27"/>
      <c r="C623" s="27"/>
      <c r="D623" s="27"/>
      <c r="E623" s="27"/>
      <c r="F623" s="27"/>
      <c r="G623" s="27"/>
      <c r="H623" s="27"/>
      <c r="I623" s="27"/>
      <c r="J623" s="27"/>
      <c r="K623" s="27"/>
      <c r="L623" s="27"/>
      <c r="N623" s="27"/>
      <c r="O623" s="27"/>
      <c r="P623" s="27"/>
      <c r="Q623" s="117" t="s">
        <v>1194</v>
      </c>
      <c r="R623" s="27"/>
      <c r="S623" s="27"/>
      <c r="T623" s="27"/>
      <c r="U623" s="27"/>
      <c r="V623" s="27"/>
      <c r="W623" s="27"/>
      <c r="X623" s="27"/>
      <c r="Y623" s="27"/>
      <c r="AE623" s="27"/>
      <c r="BD623" s="97"/>
      <c r="BE623" s="108"/>
      <c r="BF623" s="108"/>
      <c r="BG623" s="97"/>
      <c r="BH623" s="97"/>
      <c r="BI623" s="97"/>
      <c r="BJ623" s="97"/>
      <c r="BK623" s="110"/>
      <c r="BL623" s="97"/>
      <c r="BM623" s="97"/>
      <c r="BN623" s="97"/>
      <c r="BO623" s="121"/>
      <c r="BP623" s="121"/>
      <c r="BQ623" s="121"/>
      <c r="BR623" s="121"/>
      <c r="BS623" s="121"/>
      <c r="BT623" s="121"/>
      <c r="BU623" s="121"/>
      <c r="BV623" s="121"/>
      <c r="BW623" s="121"/>
      <c r="BX623" s="121"/>
      <c r="BY623" s="121"/>
      <c r="BZ623" s="121"/>
      <c r="CA623" s="121"/>
      <c r="CB623" s="66"/>
      <c r="CC623" s="66"/>
      <c r="CD623" s="66"/>
      <c r="CE623" s="66"/>
      <c r="CF623" s="66"/>
      <c r="CG623" s="66"/>
      <c r="CH623" s="66"/>
      <c r="CI623" s="66"/>
      <c r="CJ623" s="143">
        <f t="shared" si="117"/>
        <v>0</v>
      </c>
    </row>
    <row r="624" spans="1:88" x14ac:dyDescent="0.3">
      <c r="A624" s="27"/>
      <c r="B624" s="27"/>
      <c r="C624" s="27"/>
      <c r="D624" s="27"/>
      <c r="E624" s="27"/>
      <c r="F624" s="27"/>
      <c r="G624" s="27"/>
      <c r="H624" s="27"/>
      <c r="I624" s="27"/>
      <c r="J624" s="27"/>
      <c r="K624" s="27"/>
      <c r="L624" s="27"/>
      <c r="N624" s="27"/>
      <c r="O624" s="27"/>
      <c r="P624" s="27"/>
      <c r="Q624" s="117" t="s">
        <v>1195</v>
      </c>
      <c r="R624" s="27"/>
      <c r="S624" s="27"/>
      <c r="T624" s="27"/>
      <c r="U624" s="27"/>
      <c r="V624" s="27"/>
      <c r="W624" s="27"/>
      <c r="X624" s="27"/>
      <c r="Y624" s="27"/>
      <c r="AE624" s="27"/>
      <c r="BD624" s="97"/>
      <c r="BE624" s="108"/>
      <c r="BF624" s="108"/>
      <c r="BG624" s="97"/>
      <c r="BH624" s="97"/>
      <c r="BI624" s="97"/>
      <c r="BJ624" s="97"/>
      <c r="BK624" s="110"/>
      <c r="BL624" s="97"/>
      <c r="BM624" s="97"/>
      <c r="BN624" s="97"/>
      <c r="BO624" s="121"/>
      <c r="BP624" s="121"/>
      <c r="BQ624" s="121"/>
      <c r="BR624" s="121"/>
      <c r="BS624" s="121"/>
      <c r="BT624" s="121"/>
      <c r="BU624" s="121"/>
      <c r="BV624" s="121"/>
      <c r="BW624" s="121"/>
      <c r="BX624" s="121"/>
      <c r="BY624" s="121"/>
      <c r="BZ624" s="121"/>
      <c r="CA624" s="121"/>
      <c r="CB624" s="66"/>
      <c r="CC624" s="66"/>
      <c r="CD624" s="66"/>
      <c r="CE624" s="66"/>
      <c r="CF624" s="66"/>
      <c r="CG624" s="66"/>
      <c r="CH624" s="66"/>
      <c r="CI624" s="66"/>
      <c r="CJ624" s="143">
        <f t="shared" si="117"/>
        <v>0</v>
      </c>
    </row>
    <row r="625" spans="1:88" x14ac:dyDescent="0.3">
      <c r="A625" s="27"/>
      <c r="B625" s="27"/>
      <c r="C625" s="27"/>
      <c r="D625" s="27"/>
      <c r="E625" s="27"/>
      <c r="F625" s="27"/>
      <c r="G625" s="27"/>
      <c r="H625" s="27"/>
      <c r="I625" s="27"/>
      <c r="J625" s="27"/>
      <c r="K625" s="27"/>
      <c r="L625" s="27"/>
      <c r="N625" s="27"/>
      <c r="O625" s="27"/>
      <c r="P625" s="27"/>
      <c r="Q625" s="117" t="s">
        <v>1196</v>
      </c>
      <c r="R625" s="27"/>
      <c r="S625" s="27"/>
      <c r="T625" s="27"/>
      <c r="U625" s="27"/>
      <c r="V625" s="27"/>
      <c r="W625" s="27"/>
      <c r="X625" s="27"/>
      <c r="Y625" s="27"/>
      <c r="AE625" s="27"/>
      <c r="BD625" s="97"/>
      <c r="BE625" s="108"/>
      <c r="BF625" s="108"/>
      <c r="BG625" s="97"/>
      <c r="BH625" s="97"/>
      <c r="BI625" s="97"/>
      <c r="BJ625" s="97"/>
      <c r="BK625" s="110"/>
      <c r="BL625" s="97"/>
      <c r="BM625" s="97"/>
      <c r="BN625" s="97"/>
      <c r="BO625" s="121"/>
      <c r="BP625" s="121"/>
      <c r="BQ625" s="121"/>
      <c r="BR625" s="121"/>
      <c r="BS625" s="121"/>
      <c r="BT625" s="121"/>
      <c r="BU625" s="121"/>
      <c r="BV625" s="121"/>
      <c r="BW625" s="121"/>
      <c r="BX625" s="121"/>
      <c r="BY625" s="121"/>
      <c r="BZ625" s="121"/>
      <c r="CA625" s="121"/>
      <c r="CB625" s="66"/>
      <c r="CC625" s="66"/>
      <c r="CD625" s="66"/>
      <c r="CE625" s="66"/>
      <c r="CF625" s="66"/>
      <c r="CG625" s="66"/>
      <c r="CH625" s="66"/>
      <c r="CI625" s="66"/>
      <c r="CJ625" s="66"/>
    </row>
    <row r="626" spans="1:88" x14ac:dyDescent="0.3">
      <c r="A626" s="27"/>
      <c r="B626" s="27"/>
      <c r="C626" s="27"/>
      <c r="D626" s="27"/>
      <c r="E626" s="27"/>
      <c r="F626" s="27"/>
      <c r="G626" s="27"/>
      <c r="H626" s="27"/>
      <c r="I626" s="27"/>
      <c r="J626" s="27"/>
      <c r="K626" s="27"/>
      <c r="L626" s="27"/>
      <c r="N626" s="27"/>
      <c r="O626" s="27"/>
      <c r="P626" s="27"/>
      <c r="Q626" s="117" t="s">
        <v>1197</v>
      </c>
      <c r="R626" s="27"/>
      <c r="S626" s="27"/>
      <c r="T626" s="27"/>
      <c r="U626" s="27"/>
      <c r="V626" s="27"/>
      <c r="W626" s="27"/>
      <c r="X626" s="27"/>
      <c r="Y626" s="27"/>
      <c r="AE626" s="27"/>
      <c r="BD626" s="97"/>
      <c r="BE626" s="108"/>
      <c r="BF626" s="108"/>
      <c r="BG626" s="97"/>
      <c r="BH626" s="97"/>
      <c r="BI626" s="97"/>
      <c r="BJ626" s="97"/>
      <c r="BK626" s="110"/>
      <c r="BL626" s="97"/>
      <c r="BM626" s="97"/>
      <c r="BN626" s="97"/>
      <c r="BO626" s="121"/>
      <c r="BP626" s="121"/>
      <c r="BQ626" s="121"/>
      <c r="BR626" s="121"/>
      <c r="BS626" s="121"/>
      <c r="BT626" s="121"/>
      <c r="BU626" s="121"/>
      <c r="BV626" s="121"/>
      <c r="BW626" s="121"/>
      <c r="BX626" s="121"/>
      <c r="BY626" s="121"/>
      <c r="BZ626" s="121"/>
      <c r="CA626" s="121"/>
      <c r="CB626" s="66"/>
      <c r="CC626" s="66"/>
      <c r="CD626" s="66"/>
      <c r="CE626" s="66"/>
      <c r="CF626" s="66"/>
      <c r="CG626" s="66"/>
      <c r="CH626" s="66"/>
      <c r="CI626" s="66"/>
      <c r="CJ626" s="66"/>
    </row>
    <row r="627" spans="1:88" x14ac:dyDescent="0.3">
      <c r="A627" s="27"/>
      <c r="B627" s="27"/>
      <c r="C627" s="27"/>
      <c r="D627" s="27"/>
      <c r="E627" s="27"/>
      <c r="F627" s="27"/>
      <c r="G627" s="27"/>
      <c r="H627" s="27"/>
      <c r="I627" s="27"/>
      <c r="J627" s="27"/>
      <c r="K627" s="27"/>
      <c r="L627" s="27"/>
      <c r="N627" s="27"/>
      <c r="O627" s="27"/>
      <c r="P627" s="27"/>
      <c r="Q627" s="117" t="s">
        <v>1198</v>
      </c>
      <c r="R627" s="27"/>
      <c r="S627" s="27"/>
      <c r="T627" s="27"/>
      <c r="U627" s="27"/>
      <c r="V627" s="27"/>
      <c r="W627" s="27"/>
      <c r="X627" s="27"/>
      <c r="Y627" s="27"/>
      <c r="AE627" s="27"/>
      <c r="BD627" s="97"/>
      <c r="BE627" s="108"/>
      <c r="BF627" s="108"/>
      <c r="BG627" s="97"/>
      <c r="BH627" s="97"/>
      <c r="BI627" s="97"/>
      <c r="BJ627" s="97"/>
      <c r="BK627" s="110"/>
      <c r="BL627" s="97"/>
      <c r="BM627" s="97"/>
      <c r="BN627" s="97"/>
      <c r="BO627" s="121"/>
      <c r="BP627" s="121"/>
      <c r="BQ627" s="121"/>
      <c r="BR627" s="121"/>
      <c r="BS627" s="121"/>
      <c r="BT627" s="121"/>
      <c r="BU627" s="121"/>
      <c r="BV627" s="121"/>
      <c r="BW627" s="121"/>
      <c r="BX627" s="121"/>
      <c r="BY627" s="121"/>
      <c r="BZ627" s="121"/>
      <c r="CA627" s="121"/>
      <c r="CB627" s="66"/>
      <c r="CC627" s="66"/>
      <c r="CD627" s="66"/>
      <c r="CE627" s="66"/>
      <c r="CF627" s="66"/>
      <c r="CG627" s="66"/>
      <c r="CH627" s="66"/>
      <c r="CI627" s="66"/>
      <c r="CJ627" s="66"/>
    </row>
    <row r="628" spans="1:88" x14ac:dyDescent="0.3">
      <c r="A628" s="27"/>
      <c r="B628" s="27"/>
      <c r="C628" s="27"/>
      <c r="D628" s="27"/>
      <c r="E628" s="27"/>
      <c r="F628" s="27"/>
      <c r="G628" s="27"/>
      <c r="H628" s="27"/>
      <c r="I628" s="27"/>
      <c r="J628" s="27"/>
      <c r="K628" s="27"/>
      <c r="L628" s="27"/>
      <c r="N628" s="27"/>
      <c r="O628" s="27"/>
      <c r="P628" s="27"/>
      <c r="Q628" s="117" t="s">
        <v>1199</v>
      </c>
      <c r="R628" s="27"/>
      <c r="S628" s="27"/>
      <c r="T628" s="27"/>
      <c r="U628" s="27"/>
      <c r="V628" s="27"/>
      <c r="W628" s="27"/>
      <c r="X628" s="27"/>
      <c r="Y628" s="27"/>
      <c r="AE628" s="27"/>
      <c r="BD628" s="97"/>
      <c r="BE628" s="108"/>
      <c r="BF628" s="108"/>
      <c r="BG628" s="97"/>
      <c r="BH628" s="97"/>
      <c r="BI628" s="97"/>
      <c r="BJ628" s="97"/>
      <c r="BK628" s="110"/>
      <c r="BL628" s="97"/>
      <c r="BM628" s="97"/>
      <c r="BN628" s="97"/>
      <c r="BO628" s="121"/>
      <c r="BP628" s="121"/>
      <c r="BQ628" s="121"/>
      <c r="BR628" s="121"/>
      <c r="BS628" s="121"/>
      <c r="BT628" s="121"/>
      <c r="BU628" s="121"/>
      <c r="BV628" s="121"/>
      <c r="BW628" s="121"/>
      <c r="BX628" s="121"/>
      <c r="BY628" s="121"/>
      <c r="BZ628" s="121"/>
      <c r="CA628" s="121"/>
      <c r="CB628" s="66"/>
      <c r="CC628" s="66"/>
      <c r="CD628" s="66"/>
      <c r="CE628" s="66"/>
      <c r="CF628" s="66"/>
      <c r="CG628" s="66"/>
      <c r="CH628" s="66"/>
      <c r="CI628" s="66"/>
      <c r="CJ628" s="66"/>
    </row>
    <row r="629" spans="1:88" x14ac:dyDescent="0.3">
      <c r="A629" s="27"/>
      <c r="B629" s="27"/>
      <c r="C629" s="27"/>
      <c r="D629" s="27"/>
      <c r="E629" s="27"/>
      <c r="F629" s="27"/>
      <c r="G629" s="27"/>
      <c r="H629" s="27"/>
      <c r="I629" s="27"/>
      <c r="J629" s="27"/>
      <c r="K629" s="27"/>
      <c r="L629" s="27"/>
      <c r="N629" s="27"/>
      <c r="O629" s="27"/>
      <c r="P629" s="27"/>
      <c r="Q629" s="117" t="s">
        <v>1200</v>
      </c>
      <c r="R629" s="27"/>
      <c r="S629" s="27"/>
      <c r="T629" s="27"/>
      <c r="U629" s="27"/>
      <c r="V629" s="27"/>
      <c r="W629" s="27"/>
      <c r="X629" s="27"/>
      <c r="Y629" s="27"/>
      <c r="AE629" s="27"/>
      <c r="BD629" s="97"/>
      <c r="BE629" s="108"/>
      <c r="BF629" s="108"/>
      <c r="BG629" s="97"/>
      <c r="BH629" s="97"/>
      <c r="BI629" s="97"/>
      <c r="BJ629" s="97"/>
      <c r="BK629" s="110"/>
      <c r="BL629" s="97"/>
      <c r="BM629" s="97"/>
      <c r="BN629" s="97"/>
      <c r="BO629" s="121"/>
      <c r="BP629" s="121"/>
      <c r="BQ629" s="121"/>
      <c r="BR629" s="121"/>
      <c r="BS629" s="121"/>
      <c r="BT629" s="121"/>
      <c r="BU629" s="121"/>
      <c r="BV629" s="121"/>
      <c r="BW629" s="121"/>
      <c r="BX629" s="121"/>
      <c r="BY629" s="121"/>
      <c r="BZ629" s="121"/>
      <c r="CA629" s="121"/>
      <c r="CB629" s="66"/>
      <c r="CC629" s="66"/>
      <c r="CD629" s="66"/>
      <c r="CE629" s="66"/>
      <c r="CF629" s="66"/>
      <c r="CG629" s="66"/>
      <c r="CH629" s="66"/>
      <c r="CI629" s="66"/>
      <c r="CJ629" s="66"/>
    </row>
    <row r="630" spans="1:88" x14ac:dyDescent="0.3">
      <c r="A630" s="27"/>
      <c r="B630" s="27"/>
      <c r="C630" s="27"/>
      <c r="D630" s="27"/>
      <c r="E630" s="27"/>
      <c r="F630" s="27"/>
      <c r="G630" s="27"/>
      <c r="H630" s="27"/>
      <c r="I630" s="27"/>
      <c r="J630" s="27"/>
      <c r="K630" s="27"/>
      <c r="L630" s="27"/>
      <c r="N630" s="27"/>
      <c r="O630" s="27"/>
      <c r="P630" s="27"/>
      <c r="Q630" s="117" t="s">
        <v>1201</v>
      </c>
      <c r="R630" s="27"/>
      <c r="S630" s="27"/>
      <c r="T630" s="27"/>
      <c r="U630" s="27"/>
      <c r="V630" s="27"/>
      <c r="W630" s="27"/>
      <c r="X630" s="27"/>
      <c r="Y630" s="27"/>
      <c r="AE630" s="27"/>
      <c r="BD630" s="97"/>
      <c r="BE630" s="108"/>
      <c r="BF630" s="108"/>
      <c r="BG630" s="97"/>
      <c r="BH630" s="97"/>
      <c r="BI630" s="97"/>
      <c r="BJ630" s="97"/>
      <c r="BK630" s="110"/>
      <c r="BL630" s="97"/>
      <c r="BM630" s="97"/>
      <c r="BN630" s="97"/>
      <c r="BO630" s="121"/>
      <c r="BP630" s="121"/>
      <c r="BQ630" s="121"/>
      <c r="BR630" s="121"/>
      <c r="BS630" s="121"/>
      <c r="BT630" s="121"/>
      <c r="BU630" s="121"/>
      <c r="BV630" s="121"/>
      <c r="BW630" s="121"/>
      <c r="BX630" s="121"/>
      <c r="BY630" s="121"/>
      <c r="BZ630" s="121"/>
      <c r="CA630" s="121"/>
      <c r="CB630" s="66"/>
      <c r="CC630" s="66"/>
      <c r="CD630" s="66"/>
      <c r="CE630" s="66"/>
      <c r="CF630" s="66"/>
      <c r="CG630" s="66"/>
      <c r="CH630" s="66"/>
      <c r="CI630" s="66"/>
      <c r="CJ630" s="66"/>
    </row>
    <row r="631" spans="1:88" x14ac:dyDescent="0.3">
      <c r="A631" s="27"/>
      <c r="B631" s="27"/>
      <c r="C631" s="27"/>
      <c r="D631" s="27"/>
      <c r="E631" s="27"/>
      <c r="F631" s="27"/>
      <c r="G631" s="27"/>
      <c r="H631" s="27"/>
      <c r="I631" s="27"/>
      <c r="J631" s="27"/>
      <c r="K631" s="27"/>
      <c r="L631" s="27"/>
      <c r="N631" s="27"/>
      <c r="O631" s="27"/>
      <c r="P631" s="27"/>
      <c r="Q631" s="117" t="s">
        <v>1202</v>
      </c>
      <c r="R631" s="27"/>
      <c r="S631" s="27"/>
      <c r="T631" s="27"/>
      <c r="U631" s="27"/>
      <c r="V631" s="27"/>
      <c r="W631" s="27"/>
      <c r="X631" s="27"/>
      <c r="Y631" s="27"/>
      <c r="AE631" s="27"/>
      <c r="BD631" s="97"/>
      <c r="BE631" s="108"/>
      <c r="BF631" s="108"/>
      <c r="BG631" s="97"/>
      <c r="BH631" s="97"/>
      <c r="BI631" s="97"/>
      <c r="BJ631" s="97"/>
      <c r="BK631" s="110"/>
      <c r="BL631" s="97"/>
      <c r="BM631" s="97"/>
      <c r="BN631" s="97"/>
      <c r="BO631" s="121"/>
      <c r="BP631" s="121"/>
      <c r="BQ631" s="121"/>
      <c r="BR631" s="121"/>
      <c r="BS631" s="121"/>
      <c r="BT631" s="121"/>
      <c r="BU631" s="121"/>
      <c r="BV631" s="121"/>
      <c r="BW631" s="121"/>
      <c r="BX631" s="121"/>
      <c r="BY631" s="121"/>
      <c r="BZ631" s="121"/>
      <c r="CA631" s="121"/>
      <c r="CB631" s="66"/>
      <c r="CC631" s="66"/>
      <c r="CD631" s="66"/>
      <c r="CE631" s="66"/>
      <c r="CF631" s="66"/>
      <c r="CG631" s="66"/>
      <c r="CH631" s="66"/>
      <c r="CI631" s="66"/>
      <c r="CJ631" s="66"/>
    </row>
    <row r="632" spans="1:88" x14ac:dyDescent="0.3">
      <c r="A632" s="27"/>
      <c r="B632" s="27"/>
      <c r="C632" s="27"/>
      <c r="D632" s="27"/>
      <c r="E632" s="27"/>
      <c r="F632" s="27"/>
      <c r="G632" s="27"/>
      <c r="H632" s="27"/>
      <c r="I632" s="27"/>
      <c r="J632" s="27"/>
      <c r="K632" s="27"/>
      <c r="L632" s="27"/>
      <c r="N632" s="27"/>
      <c r="O632" s="27"/>
      <c r="P632" s="27"/>
      <c r="Q632" s="117" t="s">
        <v>1203</v>
      </c>
      <c r="R632" s="27"/>
      <c r="S632" s="27"/>
      <c r="T632" s="27"/>
      <c r="U632" s="27"/>
      <c r="V632" s="27"/>
      <c r="W632" s="27"/>
      <c r="X632" s="27"/>
      <c r="Y632" s="27"/>
      <c r="AE632" s="27"/>
      <c r="BD632" s="97"/>
      <c r="BE632" s="108"/>
      <c r="BF632" s="108"/>
      <c r="BG632" s="97"/>
      <c r="BH632" s="97"/>
      <c r="BI632" s="97"/>
      <c r="BJ632" s="97"/>
      <c r="BK632" s="110"/>
      <c r="BL632" s="97"/>
      <c r="BM632" s="97"/>
      <c r="BN632" s="97"/>
      <c r="BO632" s="121"/>
      <c r="BP632" s="121"/>
      <c r="BQ632" s="121"/>
      <c r="BR632" s="121"/>
      <c r="BS632" s="121"/>
      <c r="BT632" s="121"/>
      <c r="BU632" s="121"/>
      <c r="BV632" s="121"/>
      <c r="BW632" s="121"/>
      <c r="BX632" s="121"/>
      <c r="BY632" s="121"/>
      <c r="BZ632" s="121"/>
      <c r="CA632" s="121"/>
      <c r="CB632" s="66"/>
      <c r="CC632" s="66"/>
      <c r="CD632" s="66"/>
      <c r="CE632" s="66"/>
      <c r="CF632" s="66"/>
      <c r="CG632" s="66"/>
      <c r="CH632" s="66"/>
      <c r="CI632" s="66"/>
      <c r="CJ632" s="66"/>
    </row>
    <row r="633" spans="1:88" x14ac:dyDescent="0.3">
      <c r="A633" s="27"/>
      <c r="B633" s="27"/>
      <c r="C633" s="27"/>
      <c r="D633" s="27"/>
      <c r="E633" s="27"/>
      <c r="F633" s="27"/>
      <c r="G633" s="27"/>
      <c r="H633" s="27"/>
      <c r="I633" s="27"/>
      <c r="J633" s="27"/>
      <c r="K633" s="27"/>
      <c r="L633" s="27"/>
      <c r="N633" s="27"/>
      <c r="O633" s="27"/>
      <c r="P633" s="27"/>
      <c r="Q633" s="117" t="s">
        <v>503</v>
      </c>
      <c r="R633" s="27"/>
      <c r="S633" s="27"/>
      <c r="T633" s="27"/>
      <c r="U633" s="27"/>
      <c r="V633" s="27"/>
      <c r="W633" s="27"/>
      <c r="X633" s="27"/>
      <c r="Y633" s="27"/>
      <c r="AE633" s="27"/>
      <c r="BD633" s="97"/>
      <c r="BE633" s="108"/>
      <c r="BF633" s="108"/>
      <c r="BG633" s="97"/>
      <c r="BH633" s="97"/>
      <c r="BI633" s="97"/>
      <c r="BJ633" s="97"/>
      <c r="BK633" s="110"/>
      <c r="BL633" s="97"/>
      <c r="BM633" s="97"/>
      <c r="BN633" s="97"/>
      <c r="BO633" s="121"/>
      <c r="BP633" s="121"/>
      <c r="BQ633" s="121"/>
      <c r="BR633" s="121"/>
      <c r="BS633" s="121"/>
      <c r="BT633" s="121"/>
      <c r="BU633" s="121"/>
      <c r="BV633" s="121"/>
      <c r="BW633" s="121"/>
      <c r="BX633" s="121"/>
      <c r="BY633" s="121"/>
      <c r="BZ633" s="121"/>
      <c r="CA633" s="121"/>
      <c r="CB633" s="66"/>
      <c r="CC633" s="66"/>
      <c r="CD633" s="66"/>
      <c r="CE633" s="66"/>
      <c r="CF633" s="66"/>
      <c r="CG633" s="66"/>
      <c r="CH633" s="66"/>
      <c r="CI633" s="66"/>
      <c r="CJ633" s="66"/>
    </row>
    <row r="634" spans="1:88" x14ac:dyDescent="0.3">
      <c r="A634" s="27"/>
      <c r="B634" s="27"/>
      <c r="C634" s="27"/>
      <c r="D634" s="27"/>
      <c r="E634" s="27"/>
      <c r="F634" s="27"/>
      <c r="G634" s="27"/>
      <c r="H634" s="27"/>
      <c r="I634" s="27"/>
      <c r="J634" s="27"/>
      <c r="K634" s="27"/>
      <c r="L634" s="27"/>
      <c r="N634" s="27"/>
      <c r="O634" s="27"/>
      <c r="P634" s="27"/>
      <c r="Q634" s="117" t="s">
        <v>1204</v>
      </c>
      <c r="R634" s="27"/>
      <c r="S634" s="27"/>
      <c r="T634" s="27"/>
      <c r="U634" s="27"/>
      <c r="V634" s="27"/>
      <c r="W634" s="27"/>
      <c r="X634" s="27"/>
      <c r="Y634" s="27"/>
      <c r="AE634" s="27"/>
      <c r="BD634" s="97"/>
      <c r="BE634" s="108"/>
      <c r="BF634" s="108"/>
      <c r="BG634" s="97"/>
      <c r="BH634" s="97"/>
      <c r="BI634" s="97"/>
      <c r="BJ634" s="97"/>
      <c r="BK634" s="110"/>
      <c r="BL634" s="97"/>
      <c r="BM634" s="97"/>
      <c r="BN634" s="97"/>
      <c r="BO634" s="121"/>
      <c r="BP634" s="121"/>
      <c r="BQ634" s="121"/>
      <c r="BR634" s="121"/>
      <c r="BS634" s="121"/>
      <c r="BT634" s="121"/>
      <c r="BU634" s="121"/>
      <c r="BV634" s="121"/>
      <c r="BW634" s="121"/>
      <c r="BX634" s="121"/>
      <c r="BY634" s="121"/>
      <c r="BZ634" s="121"/>
      <c r="CA634" s="121"/>
      <c r="CB634" s="66"/>
      <c r="CC634" s="66"/>
      <c r="CD634" s="66"/>
      <c r="CE634" s="66"/>
      <c r="CF634" s="66"/>
      <c r="CG634" s="66"/>
      <c r="CH634" s="66"/>
      <c r="CI634" s="66"/>
      <c r="CJ634" s="66"/>
    </row>
    <row r="635" spans="1:88" x14ac:dyDescent="0.3">
      <c r="A635" s="27"/>
      <c r="B635" s="27"/>
      <c r="C635" s="27"/>
      <c r="D635" s="27"/>
      <c r="E635" s="27"/>
      <c r="F635" s="27"/>
      <c r="G635" s="27"/>
      <c r="H635" s="27"/>
      <c r="I635" s="27"/>
      <c r="J635" s="27"/>
      <c r="K635" s="27"/>
      <c r="L635" s="27"/>
      <c r="N635" s="27"/>
      <c r="O635" s="27"/>
      <c r="P635" s="27"/>
      <c r="Q635" s="117" t="s">
        <v>1205</v>
      </c>
      <c r="R635" s="27"/>
      <c r="S635" s="27"/>
      <c r="T635" s="27"/>
      <c r="U635" s="27"/>
      <c r="V635" s="27"/>
      <c r="W635" s="27"/>
      <c r="X635" s="27"/>
      <c r="Y635" s="27"/>
      <c r="AE635" s="27"/>
      <c r="BD635" s="97"/>
      <c r="BE635" s="108"/>
      <c r="BF635" s="108"/>
      <c r="BG635" s="97"/>
      <c r="BH635" s="97"/>
      <c r="BI635" s="97"/>
      <c r="BJ635" s="97"/>
      <c r="BK635" s="110"/>
      <c r="BL635" s="97"/>
      <c r="BM635" s="97"/>
      <c r="BN635" s="97"/>
      <c r="BO635" s="121"/>
      <c r="BP635" s="121"/>
      <c r="BQ635" s="121"/>
      <c r="BR635" s="121"/>
      <c r="BS635" s="121"/>
      <c r="BT635" s="121"/>
      <c r="BU635" s="121"/>
      <c r="BV635" s="121"/>
      <c r="BW635" s="121"/>
      <c r="BX635" s="121"/>
      <c r="BY635" s="121"/>
      <c r="BZ635" s="121"/>
      <c r="CA635" s="121"/>
      <c r="CB635" s="66"/>
      <c r="CC635" s="66"/>
      <c r="CD635" s="66"/>
      <c r="CE635" s="66"/>
      <c r="CF635" s="66"/>
      <c r="CG635" s="66"/>
      <c r="CH635" s="66"/>
      <c r="CI635" s="66"/>
      <c r="CJ635" s="66"/>
    </row>
    <row r="636" spans="1:88" x14ac:dyDescent="0.3">
      <c r="A636" s="27"/>
      <c r="B636" s="27"/>
      <c r="C636" s="27"/>
      <c r="D636" s="27"/>
      <c r="E636" s="27"/>
      <c r="F636" s="27"/>
      <c r="G636" s="27"/>
      <c r="H636" s="27"/>
      <c r="I636" s="27"/>
      <c r="J636" s="27"/>
      <c r="K636" s="27"/>
      <c r="L636" s="27"/>
      <c r="N636" s="27"/>
      <c r="O636" s="27"/>
      <c r="P636" s="27"/>
      <c r="Q636" s="117" t="s">
        <v>1206</v>
      </c>
      <c r="R636" s="27"/>
      <c r="S636" s="27"/>
      <c r="T636" s="27"/>
      <c r="U636" s="27"/>
      <c r="V636" s="27"/>
      <c r="W636" s="27"/>
      <c r="X636" s="27"/>
      <c r="Y636" s="27"/>
      <c r="AE636" s="27"/>
      <c r="BD636" s="97"/>
      <c r="BE636" s="108"/>
      <c r="BF636" s="108"/>
      <c r="BG636" s="97"/>
      <c r="BH636" s="97"/>
      <c r="BI636" s="97"/>
      <c r="BJ636" s="97"/>
      <c r="BK636" s="110"/>
      <c r="BL636" s="97"/>
      <c r="BM636" s="97"/>
      <c r="BN636" s="97"/>
      <c r="BO636" s="121"/>
      <c r="BP636" s="121"/>
      <c r="BQ636" s="121"/>
      <c r="BR636" s="121"/>
      <c r="BS636" s="121"/>
      <c r="BT636" s="121"/>
      <c r="BU636" s="121"/>
      <c r="BV636" s="121"/>
      <c r="BW636" s="121"/>
      <c r="BX636" s="121"/>
      <c r="BY636" s="121"/>
      <c r="BZ636" s="121"/>
      <c r="CA636" s="121"/>
      <c r="CB636" s="66"/>
      <c r="CC636" s="66"/>
      <c r="CD636" s="66"/>
      <c r="CE636" s="66"/>
      <c r="CF636" s="66"/>
      <c r="CG636" s="66"/>
      <c r="CH636" s="66"/>
      <c r="CI636" s="66"/>
      <c r="CJ636" s="66"/>
    </row>
    <row r="637" spans="1:88" x14ac:dyDescent="0.3">
      <c r="A637" s="27"/>
      <c r="B637" s="27"/>
      <c r="C637" s="27"/>
      <c r="D637" s="27"/>
      <c r="E637" s="27"/>
      <c r="F637" s="27"/>
      <c r="G637" s="27"/>
      <c r="H637" s="27"/>
      <c r="I637" s="27"/>
      <c r="J637" s="27"/>
      <c r="K637" s="27"/>
      <c r="L637" s="27"/>
      <c r="N637" s="27"/>
      <c r="O637" s="27"/>
      <c r="P637" s="27"/>
      <c r="Q637" s="117" t="s">
        <v>1207</v>
      </c>
      <c r="R637" s="27"/>
      <c r="S637" s="27"/>
      <c r="T637" s="27"/>
      <c r="U637" s="27"/>
      <c r="V637" s="27"/>
      <c r="W637" s="27"/>
      <c r="X637" s="27"/>
      <c r="Y637" s="27"/>
      <c r="AE637" s="27"/>
      <c r="BD637" s="97"/>
      <c r="BE637" s="108"/>
      <c r="BF637" s="108"/>
      <c r="BG637" s="97"/>
      <c r="BH637" s="97"/>
      <c r="BI637" s="97"/>
      <c r="BJ637" s="97"/>
      <c r="BK637" s="110"/>
      <c r="BL637" s="97"/>
      <c r="BM637" s="97"/>
      <c r="BN637" s="97"/>
      <c r="BO637" s="121"/>
      <c r="BP637" s="121"/>
      <c r="BQ637" s="121"/>
      <c r="BR637" s="121"/>
      <c r="BS637" s="121"/>
      <c r="BT637" s="121"/>
      <c r="BU637" s="121"/>
      <c r="BV637" s="121"/>
      <c r="BW637" s="121"/>
      <c r="BX637" s="121"/>
      <c r="BY637" s="121"/>
      <c r="BZ637" s="121"/>
      <c r="CA637" s="121"/>
      <c r="CB637" s="66"/>
      <c r="CC637" s="66"/>
      <c r="CD637" s="66"/>
      <c r="CE637" s="66"/>
      <c r="CF637" s="66"/>
      <c r="CG637" s="66"/>
      <c r="CH637" s="66"/>
      <c r="CI637" s="66"/>
      <c r="CJ637" s="66"/>
    </row>
    <row r="638" spans="1:88" x14ac:dyDescent="0.3">
      <c r="A638" s="27"/>
      <c r="B638" s="27"/>
      <c r="C638" s="27"/>
      <c r="D638" s="27"/>
      <c r="E638" s="27"/>
      <c r="F638" s="27"/>
      <c r="G638" s="27"/>
      <c r="H638" s="27"/>
      <c r="I638" s="27"/>
      <c r="J638" s="27"/>
      <c r="K638" s="27"/>
      <c r="L638" s="27"/>
      <c r="N638" s="27"/>
      <c r="O638" s="27"/>
      <c r="P638" s="27"/>
      <c r="Q638" s="117" t="s">
        <v>1208</v>
      </c>
      <c r="R638" s="27"/>
      <c r="S638" s="27"/>
      <c r="T638" s="27"/>
      <c r="U638" s="27"/>
      <c r="V638" s="27"/>
      <c r="W638" s="27"/>
      <c r="X638" s="27"/>
      <c r="Y638" s="27"/>
      <c r="AE638" s="27"/>
      <c r="BD638" s="97"/>
      <c r="BE638" s="108"/>
      <c r="BF638" s="108"/>
      <c r="BG638" s="97"/>
      <c r="BH638" s="97"/>
      <c r="BI638" s="97"/>
      <c r="BJ638" s="97"/>
      <c r="BK638" s="110"/>
      <c r="BL638" s="97"/>
      <c r="BM638" s="97"/>
      <c r="BN638" s="97"/>
      <c r="BO638" s="121"/>
      <c r="BP638" s="121"/>
      <c r="BQ638" s="121"/>
      <c r="BR638" s="121"/>
      <c r="BS638" s="121"/>
      <c r="BT638" s="121"/>
      <c r="BU638" s="121"/>
      <c r="BV638" s="121"/>
      <c r="BW638" s="121"/>
      <c r="BX638" s="121"/>
      <c r="BY638" s="121"/>
      <c r="BZ638" s="121"/>
      <c r="CA638" s="121"/>
      <c r="CB638" s="66"/>
      <c r="CC638" s="66"/>
      <c r="CD638" s="66"/>
      <c r="CE638" s="66"/>
      <c r="CF638" s="66"/>
      <c r="CG638" s="66"/>
      <c r="CH638" s="66"/>
      <c r="CI638" s="66"/>
      <c r="CJ638" s="66"/>
    </row>
    <row r="639" spans="1:88" x14ac:dyDescent="0.3">
      <c r="A639" s="27"/>
      <c r="B639" s="27"/>
      <c r="C639" s="27"/>
      <c r="D639" s="27"/>
      <c r="E639" s="27"/>
      <c r="F639" s="27"/>
      <c r="G639" s="27"/>
      <c r="H639" s="27"/>
      <c r="I639" s="27"/>
      <c r="J639" s="27"/>
      <c r="K639" s="27"/>
      <c r="L639" s="27"/>
      <c r="N639" s="27"/>
      <c r="O639" s="27"/>
      <c r="P639" s="27"/>
      <c r="Q639" s="117" t="s">
        <v>1209</v>
      </c>
      <c r="R639" s="27"/>
      <c r="S639" s="27"/>
      <c r="T639" s="27"/>
      <c r="U639" s="27"/>
      <c r="V639" s="27"/>
      <c r="W639" s="27"/>
      <c r="X639" s="27"/>
      <c r="Y639" s="27"/>
      <c r="AE639" s="27"/>
      <c r="BD639" s="97"/>
      <c r="BE639" s="108"/>
      <c r="BF639" s="108"/>
      <c r="BG639" s="97"/>
      <c r="BH639" s="97"/>
      <c r="BI639" s="97"/>
      <c r="BJ639" s="97"/>
      <c r="BK639" s="110"/>
      <c r="BL639" s="97"/>
      <c r="BM639" s="97"/>
      <c r="BN639" s="97"/>
      <c r="BO639" s="121"/>
      <c r="BP639" s="121"/>
      <c r="BQ639" s="121"/>
      <c r="BR639" s="121"/>
      <c r="BS639" s="121"/>
      <c r="BT639" s="121"/>
      <c r="BU639" s="121"/>
      <c r="BV639" s="121"/>
      <c r="BW639" s="121"/>
      <c r="BX639" s="121"/>
      <c r="BY639" s="121"/>
      <c r="BZ639" s="121"/>
      <c r="CA639" s="121"/>
      <c r="CB639" s="66"/>
      <c r="CC639" s="66"/>
      <c r="CD639" s="66"/>
      <c r="CE639" s="66"/>
      <c r="CF639" s="66"/>
      <c r="CG639" s="66"/>
      <c r="CH639" s="66"/>
      <c r="CI639" s="66"/>
      <c r="CJ639" s="66"/>
    </row>
    <row r="640" spans="1:88" x14ac:dyDescent="0.3">
      <c r="A640" s="27"/>
      <c r="B640" s="27"/>
      <c r="C640" s="27"/>
      <c r="D640" s="27"/>
      <c r="E640" s="27"/>
      <c r="F640" s="27"/>
      <c r="G640" s="27"/>
      <c r="H640" s="27"/>
      <c r="I640" s="27"/>
      <c r="J640" s="27"/>
      <c r="K640" s="27"/>
      <c r="L640" s="27"/>
      <c r="N640" s="27"/>
      <c r="O640" s="27"/>
      <c r="P640" s="27"/>
      <c r="Q640" s="117" t="s">
        <v>1210</v>
      </c>
      <c r="R640" s="27"/>
      <c r="S640" s="27"/>
      <c r="T640" s="27"/>
      <c r="U640" s="27"/>
      <c r="V640" s="27"/>
      <c r="W640" s="27"/>
      <c r="X640" s="27"/>
      <c r="Y640" s="27"/>
      <c r="AE640" s="27"/>
      <c r="BD640" s="97"/>
      <c r="BE640" s="108"/>
      <c r="BF640" s="108"/>
      <c r="BG640" s="97"/>
      <c r="BH640" s="97"/>
      <c r="BI640" s="97"/>
      <c r="BJ640" s="97"/>
      <c r="BK640" s="110"/>
      <c r="BL640" s="97"/>
      <c r="BM640" s="97"/>
      <c r="BN640" s="97"/>
      <c r="BO640" s="121"/>
      <c r="BP640" s="121"/>
      <c r="BQ640" s="121"/>
      <c r="BR640" s="121"/>
      <c r="BS640" s="121"/>
      <c r="BT640" s="121"/>
      <c r="BU640" s="121"/>
      <c r="BV640" s="121"/>
      <c r="BW640" s="121"/>
      <c r="BX640" s="121"/>
      <c r="BY640" s="121"/>
      <c r="BZ640" s="121"/>
      <c r="CA640" s="121"/>
      <c r="CB640" s="66"/>
      <c r="CC640" s="66"/>
      <c r="CD640" s="66"/>
      <c r="CE640" s="66"/>
      <c r="CF640" s="66"/>
      <c r="CG640" s="66"/>
      <c r="CH640" s="66"/>
      <c r="CI640" s="66"/>
      <c r="CJ640" s="66"/>
    </row>
    <row r="641" spans="1:88" x14ac:dyDescent="0.3">
      <c r="A641" s="27"/>
      <c r="B641" s="27"/>
      <c r="C641" s="27"/>
      <c r="D641" s="27"/>
      <c r="E641" s="27"/>
      <c r="F641" s="27"/>
      <c r="G641" s="27"/>
      <c r="H641" s="27"/>
      <c r="I641" s="27"/>
      <c r="J641" s="27"/>
      <c r="K641" s="27"/>
      <c r="L641" s="27"/>
      <c r="N641" s="27"/>
      <c r="O641" s="27"/>
      <c r="P641" s="27"/>
      <c r="Q641" s="117" t="s">
        <v>1211</v>
      </c>
      <c r="R641" s="27"/>
      <c r="S641" s="27"/>
      <c r="T641" s="27"/>
      <c r="U641" s="27"/>
      <c r="V641" s="27"/>
      <c r="W641" s="27"/>
      <c r="X641" s="27"/>
      <c r="Y641" s="27"/>
      <c r="AE641" s="27"/>
      <c r="BD641" s="97"/>
      <c r="BE641" s="108"/>
      <c r="BF641" s="108"/>
      <c r="BG641" s="97"/>
      <c r="BH641" s="97"/>
      <c r="BI641" s="97"/>
      <c r="BJ641" s="97"/>
      <c r="BK641" s="110"/>
      <c r="BL641" s="97"/>
      <c r="BM641" s="97"/>
      <c r="BN641" s="97"/>
      <c r="BO641" s="121"/>
      <c r="BP641" s="121"/>
      <c r="BQ641" s="121"/>
      <c r="BR641" s="121"/>
      <c r="BS641" s="121"/>
      <c r="BT641" s="121"/>
      <c r="BU641" s="121"/>
      <c r="BV641" s="121"/>
      <c r="BW641" s="121"/>
      <c r="BX641" s="121"/>
      <c r="BY641" s="121"/>
      <c r="BZ641" s="121"/>
      <c r="CA641" s="121"/>
      <c r="CB641" s="66"/>
      <c r="CC641" s="66"/>
      <c r="CD641" s="66"/>
      <c r="CE641" s="66"/>
      <c r="CF641" s="66"/>
      <c r="CG641" s="66"/>
      <c r="CH641" s="66"/>
      <c r="CI641" s="66"/>
      <c r="CJ641" s="66"/>
    </row>
    <row r="642" spans="1:88" x14ac:dyDescent="0.3">
      <c r="A642" s="27"/>
      <c r="B642" s="27"/>
      <c r="C642" s="27"/>
      <c r="D642" s="27"/>
      <c r="E642" s="27"/>
      <c r="F642" s="27"/>
      <c r="G642" s="27"/>
      <c r="H642" s="27"/>
      <c r="I642" s="27"/>
      <c r="J642" s="27"/>
      <c r="K642" s="27"/>
      <c r="L642" s="27"/>
      <c r="N642" s="27"/>
      <c r="O642" s="27"/>
      <c r="P642" s="27"/>
      <c r="Q642" s="117" t="s">
        <v>1212</v>
      </c>
      <c r="R642" s="27"/>
      <c r="S642" s="27"/>
      <c r="T642" s="27"/>
      <c r="U642" s="27"/>
      <c r="V642" s="27"/>
      <c r="W642" s="27"/>
      <c r="X642" s="27"/>
      <c r="Y642" s="27"/>
      <c r="AE642" s="27"/>
      <c r="BD642" s="97"/>
      <c r="BE642" s="108"/>
      <c r="BF642" s="108"/>
      <c r="BG642" s="97"/>
      <c r="BH642" s="97"/>
      <c r="BI642" s="97"/>
      <c r="BJ642" s="97"/>
      <c r="BK642" s="110"/>
      <c r="BL642" s="97"/>
      <c r="BM642" s="97"/>
      <c r="BN642" s="97"/>
      <c r="BO642" s="121"/>
      <c r="BP642" s="121"/>
      <c r="BQ642" s="121"/>
      <c r="BR642" s="121"/>
      <c r="BS642" s="121"/>
      <c r="BT642" s="121"/>
      <c r="BU642" s="121"/>
      <c r="BV642" s="121"/>
      <c r="BW642" s="121"/>
      <c r="BX642" s="121"/>
      <c r="BY642" s="121"/>
      <c r="BZ642" s="121"/>
      <c r="CA642" s="121"/>
      <c r="CB642" s="66"/>
      <c r="CC642" s="66"/>
      <c r="CD642" s="66"/>
      <c r="CE642" s="66"/>
      <c r="CF642" s="66"/>
      <c r="CG642" s="66"/>
      <c r="CH642" s="66"/>
      <c r="CI642" s="66"/>
      <c r="CJ642" s="66"/>
    </row>
    <row r="643" spans="1:88" x14ac:dyDescent="0.3">
      <c r="A643" s="27"/>
      <c r="B643" s="27"/>
      <c r="C643" s="27"/>
      <c r="D643" s="27"/>
      <c r="E643" s="27"/>
      <c r="F643" s="27"/>
      <c r="G643" s="27"/>
      <c r="H643" s="27"/>
      <c r="I643" s="27"/>
      <c r="J643" s="27"/>
      <c r="K643" s="27"/>
      <c r="L643" s="27"/>
      <c r="N643" s="27"/>
      <c r="O643" s="27"/>
      <c r="P643" s="27"/>
      <c r="Q643" s="117" t="s">
        <v>1213</v>
      </c>
      <c r="R643" s="27"/>
      <c r="S643" s="27"/>
      <c r="T643" s="27"/>
      <c r="U643" s="27"/>
      <c r="V643" s="27"/>
      <c r="W643" s="27"/>
      <c r="X643" s="27"/>
      <c r="Y643" s="27"/>
      <c r="AE643" s="27"/>
      <c r="BD643" s="97"/>
      <c r="BE643" s="108"/>
      <c r="BF643" s="108"/>
      <c r="BG643" s="97"/>
      <c r="BH643" s="97"/>
      <c r="BI643" s="97"/>
      <c r="BJ643" s="97"/>
      <c r="BK643" s="110"/>
      <c r="BL643" s="97"/>
      <c r="BM643" s="97"/>
      <c r="BN643" s="97"/>
      <c r="BO643" s="121"/>
      <c r="BP643" s="121"/>
      <c r="BQ643" s="121"/>
      <c r="BR643" s="121"/>
      <c r="BS643" s="121"/>
      <c r="BT643" s="121"/>
      <c r="BU643" s="121"/>
      <c r="BV643" s="121"/>
      <c r="BW643" s="121"/>
      <c r="BX643" s="121"/>
      <c r="BY643" s="121"/>
      <c r="BZ643" s="121"/>
      <c r="CA643" s="121"/>
      <c r="CB643" s="66"/>
      <c r="CC643" s="66"/>
      <c r="CD643" s="66"/>
      <c r="CE643" s="66"/>
      <c r="CF643" s="66"/>
      <c r="CG643" s="66"/>
      <c r="CH643" s="66"/>
      <c r="CI643" s="66"/>
      <c r="CJ643" s="66"/>
    </row>
    <row r="644" spans="1:88" x14ac:dyDescent="0.3">
      <c r="A644" s="27"/>
      <c r="B644" s="27"/>
      <c r="C644" s="27"/>
      <c r="D644" s="27"/>
      <c r="E644" s="27"/>
      <c r="F644" s="27"/>
      <c r="G644" s="27"/>
      <c r="H644" s="27"/>
      <c r="I644" s="27"/>
      <c r="J644" s="27"/>
      <c r="K644" s="27"/>
      <c r="L644" s="27"/>
      <c r="N644" s="27"/>
      <c r="O644" s="27"/>
      <c r="P644" s="27"/>
      <c r="Q644" s="117" t="s">
        <v>1214</v>
      </c>
      <c r="R644" s="27"/>
      <c r="S644" s="27"/>
      <c r="T644" s="27"/>
      <c r="U644" s="27"/>
      <c r="V644" s="27"/>
      <c r="W644" s="27"/>
      <c r="X644" s="27"/>
      <c r="Y644" s="27"/>
      <c r="AE644" s="27"/>
      <c r="BD644" s="97"/>
      <c r="BE644" s="108"/>
      <c r="BF644" s="108"/>
      <c r="BG644" s="97"/>
      <c r="BH644" s="97"/>
      <c r="BI644" s="97"/>
      <c r="BJ644" s="97"/>
      <c r="BK644" s="110"/>
      <c r="BL644" s="97"/>
      <c r="BM644" s="97"/>
      <c r="BN644" s="97"/>
      <c r="BO644" s="121"/>
      <c r="BP644" s="121"/>
      <c r="BQ644" s="121"/>
      <c r="BR644" s="121"/>
      <c r="BS644" s="121"/>
      <c r="BT644" s="121"/>
      <c r="BU644" s="121"/>
      <c r="BV644" s="121"/>
      <c r="BW644" s="121"/>
      <c r="BX644" s="121"/>
      <c r="BY644" s="121"/>
      <c r="BZ644" s="121"/>
      <c r="CA644" s="121"/>
      <c r="CB644" s="66"/>
      <c r="CC644" s="66"/>
      <c r="CD644" s="66"/>
      <c r="CE644" s="66"/>
      <c r="CF644" s="66"/>
      <c r="CG644" s="66"/>
      <c r="CH644" s="66"/>
      <c r="CI644" s="66"/>
      <c r="CJ644" s="66"/>
    </row>
    <row r="645" spans="1:88" x14ac:dyDescent="0.3">
      <c r="A645" s="27"/>
      <c r="B645" s="27"/>
      <c r="C645" s="27"/>
      <c r="D645" s="27"/>
      <c r="E645" s="27"/>
      <c r="F645" s="27"/>
      <c r="G645" s="27"/>
      <c r="H645" s="27"/>
      <c r="I645" s="27"/>
      <c r="J645" s="27"/>
      <c r="K645" s="27"/>
      <c r="L645" s="27"/>
      <c r="N645" s="27"/>
      <c r="O645" s="27"/>
      <c r="P645" s="27"/>
      <c r="Q645" s="117" t="s">
        <v>1215</v>
      </c>
      <c r="R645" s="27"/>
      <c r="S645" s="27"/>
      <c r="T645" s="27"/>
      <c r="U645" s="27"/>
      <c r="V645" s="27"/>
      <c r="W645" s="27"/>
      <c r="X645" s="27"/>
      <c r="Y645" s="27"/>
      <c r="AE645" s="27"/>
      <c r="BD645" s="97"/>
      <c r="BE645" s="108"/>
      <c r="BF645" s="108"/>
      <c r="BG645" s="97"/>
      <c r="BH645" s="97"/>
      <c r="BI645" s="97"/>
      <c r="BJ645" s="97"/>
      <c r="BK645" s="110"/>
      <c r="BL645" s="97"/>
      <c r="BM645" s="97"/>
      <c r="BN645" s="97"/>
      <c r="BO645" s="121"/>
      <c r="BP645" s="121"/>
      <c r="BQ645" s="121"/>
      <c r="BR645" s="121"/>
      <c r="BS645" s="121"/>
      <c r="BT645" s="121"/>
      <c r="BU645" s="121"/>
      <c r="BV645" s="121"/>
      <c r="BW645" s="121"/>
      <c r="BX645" s="121"/>
      <c r="BY645" s="121"/>
      <c r="BZ645" s="121"/>
      <c r="CA645" s="121"/>
      <c r="CB645" s="66"/>
      <c r="CC645" s="66"/>
      <c r="CD645" s="66"/>
      <c r="CE645" s="66"/>
      <c r="CF645" s="66"/>
      <c r="CG645" s="66"/>
      <c r="CH645" s="66"/>
      <c r="CI645" s="66"/>
      <c r="CJ645" s="66"/>
    </row>
    <row r="646" spans="1:88" x14ac:dyDescent="0.3">
      <c r="A646" s="27"/>
      <c r="B646" s="27"/>
      <c r="C646" s="27"/>
      <c r="D646" s="27"/>
      <c r="E646" s="27"/>
      <c r="F646" s="27"/>
      <c r="G646" s="27"/>
      <c r="H646" s="27"/>
      <c r="I646" s="27"/>
      <c r="J646" s="27"/>
      <c r="K646" s="27"/>
      <c r="L646" s="27"/>
      <c r="N646" s="27"/>
      <c r="O646" s="27"/>
      <c r="P646" s="27"/>
      <c r="Q646" s="117" t="s">
        <v>1216</v>
      </c>
      <c r="R646" s="27"/>
      <c r="S646" s="27"/>
      <c r="T646" s="27"/>
      <c r="U646" s="27"/>
      <c r="V646" s="27"/>
      <c r="W646" s="27"/>
      <c r="X646" s="27"/>
      <c r="Y646" s="27"/>
      <c r="AE646" s="27"/>
      <c r="BD646" s="97"/>
      <c r="BE646" s="108"/>
      <c r="BF646" s="108"/>
      <c r="BG646" s="97"/>
      <c r="BH646" s="97"/>
      <c r="BI646" s="97"/>
      <c r="BJ646" s="97"/>
      <c r="BK646" s="110"/>
      <c r="BL646" s="97"/>
      <c r="BM646" s="97"/>
      <c r="BN646" s="97"/>
      <c r="BO646" s="121"/>
      <c r="BP646" s="121"/>
      <c r="BQ646" s="121"/>
      <c r="BR646" s="121"/>
      <c r="BS646" s="121"/>
      <c r="BT646" s="121"/>
      <c r="BU646" s="121"/>
      <c r="BV646" s="121"/>
      <c r="BW646" s="121"/>
      <c r="BX646" s="121"/>
      <c r="BY646" s="121"/>
      <c r="BZ646" s="121"/>
      <c r="CA646" s="121"/>
      <c r="CB646" s="66"/>
      <c r="CC646" s="66"/>
      <c r="CD646" s="66"/>
      <c r="CE646" s="66"/>
      <c r="CF646" s="66"/>
      <c r="CG646" s="66"/>
      <c r="CH646" s="66"/>
      <c r="CI646" s="66"/>
      <c r="CJ646" s="66"/>
    </row>
    <row r="647" spans="1:88" x14ac:dyDescent="0.3">
      <c r="A647" s="27"/>
      <c r="B647" s="27"/>
      <c r="C647" s="27"/>
      <c r="D647" s="27"/>
      <c r="E647" s="27"/>
      <c r="F647" s="27"/>
      <c r="G647" s="27"/>
      <c r="H647" s="27"/>
      <c r="I647" s="27"/>
      <c r="J647" s="27"/>
      <c r="K647" s="27"/>
      <c r="L647" s="27"/>
      <c r="N647" s="27"/>
      <c r="O647" s="27"/>
      <c r="P647" s="27"/>
      <c r="Q647" s="117" t="s">
        <v>512</v>
      </c>
      <c r="R647" s="27"/>
      <c r="S647" s="27"/>
      <c r="T647" s="27"/>
      <c r="U647" s="27"/>
      <c r="V647" s="27"/>
      <c r="W647" s="27"/>
      <c r="X647" s="27"/>
      <c r="Y647" s="27"/>
      <c r="AE647" s="27"/>
      <c r="BD647" s="97"/>
      <c r="BE647" s="108"/>
      <c r="BF647" s="108"/>
      <c r="BG647" s="97"/>
      <c r="BH647" s="97"/>
      <c r="BI647" s="97"/>
      <c r="BJ647" s="97"/>
      <c r="BK647" s="110"/>
      <c r="BL647" s="97"/>
      <c r="BM647" s="97"/>
      <c r="BN647" s="97"/>
      <c r="BO647" s="121"/>
      <c r="BP647" s="121"/>
      <c r="BQ647" s="121"/>
      <c r="BR647" s="121"/>
      <c r="BS647" s="121"/>
      <c r="BT647" s="121"/>
      <c r="BU647" s="121"/>
      <c r="BV647" s="121"/>
      <c r="BW647" s="121"/>
      <c r="BX647" s="121"/>
      <c r="BY647" s="121"/>
      <c r="BZ647" s="121"/>
      <c r="CA647" s="121"/>
      <c r="CB647" s="66"/>
      <c r="CC647" s="66"/>
      <c r="CD647" s="66"/>
      <c r="CE647" s="66"/>
      <c r="CF647" s="66"/>
      <c r="CG647" s="66"/>
      <c r="CH647" s="66"/>
      <c r="CI647" s="66"/>
      <c r="CJ647" s="66"/>
    </row>
    <row r="648" spans="1:88" x14ac:dyDescent="0.3">
      <c r="A648" s="27"/>
      <c r="B648" s="27"/>
      <c r="C648" s="27"/>
      <c r="D648" s="27"/>
      <c r="E648" s="27"/>
      <c r="F648" s="27"/>
      <c r="G648" s="27"/>
      <c r="H648" s="27"/>
      <c r="I648" s="27"/>
      <c r="J648" s="27"/>
      <c r="K648" s="27"/>
      <c r="L648" s="27"/>
      <c r="N648" s="27"/>
      <c r="O648" s="27"/>
      <c r="P648" s="27"/>
      <c r="Q648" s="117" t="s">
        <v>1217</v>
      </c>
      <c r="R648" s="27"/>
      <c r="S648" s="27"/>
      <c r="T648" s="27"/>
      <c r="U648" s="27"/>
      <c r="V648" s="27"/>
      <c r="W648" s="27"/>
      <c r="X648" s="27"/>
      <c r="Y648" s="27"/>
      <c r="AE648" s="27"/>
      <c r="BD648" s="97"/>
      <c r="BE648" s="108"/>
      <c r="BF648" s="108"/>
      <c r="BG648" s="97"/>
      <c r="BH648" s="97"/>
      <c r="BI648" s="97"/>
      <c r="BJ648" s="97"/>
      <c r="BK648" s="110"/>
      <c r="BL648" s="97"/>
      <c r="BM648" s="97"/>
      <c r="BN648" s="97"/>
      <c r="BO648" s="121"/>
      <c r="BP648" s="121"/>
      <c r="BQ648" s="121"/>
      <c r="BR648" s="121"/>
      <c r="BS648" s="121"/>
      <c r="BT648" s="121"/>
      <c r="BU648" s="121"/>
      <c r="BV648" s="121"/>
      <c r="BW648" s="121"/>
      <c r="BX648" s="121"/>
      <c r="BY648" s="121"/>
      <c r="BZ648" s="121"/>
      <c r="CA648" s="121"/>
      <c r="CB648" s="66"/>
      <c r="CC648" s="66"/>
      <c r="CD648" s="66"/>
      <c r="CE648" s="66"/>
      <c r="CF648" s="66"/>
      <c r="CG648" s="66"/>
      <c r="CH648" s="66"/>
      <c r="CI648" s="66"/>
      <c r="CJ648" s="66"/>
    </row>
    <row r="649" spans="1:88" x14ac:dyDescent="0.3">
      <c r="A649" s="27"/>
      <c r="B649" s="27"/>
      <c r="C649" s="27"/>
      <c r="D649" s="27"/>
      <c r="E649" s="27"/>
      <c r="F649" s="27"/>
      <c r="G649" s="27"/>
      <c r="H649" s="27"/>
      <c r="I649" s="27"/>
      <c r="J649" s="27"/>
      <c r="K649" s="27"/>
      <c r="L649" s="27"/>
      <c r="N649" s="27"/>
      <c r="O649" s="27"/>
      <c r="P649" s="27"/>
      <c r="Q649" s="117" t="s">
        <v>1218</v>
      </c>
      <c r="R649" s="27"/>
      <c r="S649" s="27"/>
      <c r="T649" s="27"/>
      <c r="U649" s="27"/>
      <c r="V649" s="27"/>
      <c r="W649" s="27"/>
      <c r="X649" s="27"/>
      <c r="Y649" s="27"/>
      <c r="AE649" s="27"/>
      <c r="BD649" s="97"/>
      <c r="BE649" s="108"/>
      <c r="BF649" s="108"/>
      <c r="BG649" s="97"/>
      <c r="BH649" s="97"/>
      <c r="BI649" s="97"/>
      <c r="BJ649" s="97"/>
      <c r="BK649" s="110"/>
      <c r="BL649" s="97"/>
      <c r="BM649" s="97"/>
      <c r="BN649" s="97"/>
      <c r="BO649" s="121"/>
      <c r="BP649" s="121"/>
      <c r="BQ649" s="121"/>
      <c r="BR649" s="121"/>
      <c r="BS649" s="121"/>
      <c r="BT649" s="121"/>
      <c r="BU649" s="121"/>
      <c r="BV649" s="121"/>
      <c r="BW649" s="121"/>
      <c r="BX649" s="121"/>
      <c r="BY649" s="121"/>
      <c r="BZ649" s="121"/>
      <c r="CA649" s="121"/>
      <c r="CB649" s="66"/>
      <c r="CC649" s="66"/>
      <c r="CD649" s="66"/>
      <c r="CE649" s="66"/>
      <c r="CF649" s="66"/>
      <c r="CG649" s="66"/>
      <c r="CH649" s="66"/>
      <c r="CI649" s="66"/>
      <c r="CJ649" s="66"/>
    </row>
    <row r="650" spans="1:88" x14ac:dyDescent="0.3">
      <c r="A650" s="27"/>
      <c r="B650" s="27"/>
      <c r="C650" s="27"/>
      <c r="D650" s="27"/>
      <c r="E650" s="27"/>
      <c r="F650" s="27"/>
      <c r="G650" s="27"/>
      <c r="H650" s="27"/>
      <c r="I650" s="27"/>
      <c r="J650" s="27"/>
      <c r="K650" s="27"/>
      <c r="L650" s="27"/>
      <c r="N650" s="27"/>
      <c r="O650" s="27"/>
      <c r="P650" s="27"/>
      <c r="Q650" s="117" t="s">
        <v>1219</v>
      </c>
      <c r="R650" s="27"/>
      <c r="S650" s="27"/>
      <c r="T650" s="27"/>
      <c r="U650" s="27"/>
      <c r="V650" s="27"/>
      <c r="W650" s="27"/>
      <c r="X650" s="27"/>
      <c r="Y650" s="27"/>
      <c r="AE650" s="27"/>
      <c r="BD650" s="97"/>
      <c r="BE650" s="108"/>
      <c r="BF650" s="108"/>
      <c r="BG650" s="97"/>
      <c r="BH650" s="97"/>
      <c r="BI650" s="97"/>
      <c r="BJ650" s="97"/>
      <c r="BK650" s="110"/>
      <c r="BL650" s="97"/>
      <c r="BM650" s="97"/>
      <c r="BN650" s="97"/>
      <c r="BO650" s="121"/>
      <c r="BP650" s="121"/>
      <c r="BQ650" s="121"/>
      <c r="BR650" s="121"/>
      <c r="BS650" s="121"/>
      <c r="BT650" s="121"/>
      <c r="BU650" s="121"/>
      <c r="BV650" s="121"/>
      <c r="BW650" s="121"/>
      <c r="BX650" s="121"/>
      <c r="BY650" s="121"/>
      <c r="BZ650" s="121"/>
      <c r="CA650" s="121"/>
      <c r="CB650" s="66"/>
      <c r="CC650" s="66"/>
      <c r="CD650" s="66"/>
      <c r="CE650" s="66"/>
      <c r="CF650" s="66"/>
      <c r="CG650" s="66"/>
      <c r="CH650" s="66"/>
      <c r="CI650" s="66"/>
      <c r="CJ650" s="66"/>
    </row>
    <row r="651" spans="1:88" x14ac:dyDescent="0.3">
      <c r="A651" s="27"/>
      <c r="B651" s="27"/>
      <c r="C651" s="27"/>
      <c r="D651" s="27"/>
      <c r="E651" s="27"/>
      <c r="F651" s="27"/>
      <c r="G651" s="27"/>
      <c r="H651" s="27"/>
      <c r="I651" s="27"/>
      <c r="J651" s="27"/>
      <c r="K651" s="27"/>
      <c r="L651" s="27"/>
      <c r="N651" s="27"/>
      <c r="O651" s="27"/>
      <c r="P651" s="27"/>
      <c r="Q651" s="117" t="s">
        <v>1220</v>
      </c>
      <c r="R651" s="27"/>
      <c r="S651" s="27"/>
      <c r="T651" s="27"/>
      <c r="U651" s="27"/>
      <c r="V651" s="27"/>
      <c r="W651" s="27"/>
      <c r="X651" s="27"/>
      <c r="Y651" s="27"/>
      <c r="AE651" s="27"/>
      <c r="BD651" s="97"/>
      <c r="BE651" s="108"/>
      <c r="BF651" s="108"/>
      <c r="BG651" s="97"/>
      <c r="BH651" s="97"/>
      <c r="BI651" s="97"/>
      <c r="BJ651" s="97"/>
      <c r="BK651" s="110"/>
      <c r="BL651" s="97"/>
      <c r="BM651" s="97"/>
      <c r="BN651" s="97"/>
      <c r="BO651" s="121"/>
      <c r="BP651" s="121"/>
      <c r="BQ651" s="121"/>
      <c r="BR651" s="121"/>
      <c r="BS651" s="121"/>
      <c r="BT651" s="121"/>
      <c r="BU651" s="121"/>
      <c r="BV651" s="121"/>
      <c r="BW651" s="121"/>
      <c r="BX651" s="121"/>
      <c r="BY651" s="121"/>
      <c r="BZ651" s="121"/>
      <c r="CA651" s="121"/>
      <c r="CB651" s="66"/>
      <c r="CC651" s="66"/>
      <c r="CD651" s="66"/>
      <c r="CE651" s="66"/>
      <c r="CF651" s="66"/>
      <c r="CG651" s="66"/>
      <c r="CH651" s="66"/>
      <c r="CI651" s="66"/>
      <c r="CJ651" s="66"/>
    </row>
    <row r="652" spans="1:88" x14ac:dyDescent="0.3">
      <c r="A652" s="27"/>
      <c r="B652" s="27"/>
      <c r="C652" s="27"/>
      <c r="D652" s="27"/>
      <c r="E652" s="27"/>
      <c r="F652" s="27"/>
      <c r="G652" s="27"/>
      <c r="H652" s="27"/>
      <c r="I652" s="27"/>
      <c r="J652" s="27"/>
      <c r="K652" s="27"/>
      <c r="L652" s="27"/>
      <c r="N652" s="27"/>
      <c r="O652" s="27"/>
      <c r="P652" s="27"/>
      <c r="Q652" s="117" t="s">
        <v>1221</v>
      </c>
      <c r="R652" s="27"/>
      <c r="S652" s="27"/>
      <c r="T652" s="27"/>
      <c r="U652" s="27"/>
      <c r="V652" s="27"/>
      <c r="W652" s="27"/>
      <c r="X652" s="27"/>
      <c r="Y652" s="27"/>
      <c r="AE652" s="27"/>
      <c r="BD652" s="97"/>
      <c r="BE652" s="108"/>
      <c r="BF652" s="108"/>
      <c r="BG652" s="97"/>
      <c r="BH652" s="97"/>
      <c r="BI652" s="97"/>
      <c r="BJ652" s="97"/>
      <c r="BK652" s="110"/>
      <c r="BL652" s="97"/>
      <c r="BM652" s="97"/>
      <c r="BN652" s="97"/>
      <c r="BO652" s="121"/>
      <c r="BP652" s="121"/>
      <c r="BQ652" s="121"/>
      <c r="BR652" s="121"/>
      <c r="BS652" s="121"/>
      <c r="BT652" s="121"/>
      <c r="BU652" s="121"/>
      <c r="BV652" s="121"/>
      <c r="BW652" s="121"/>
      <c r="BX652" s="121"/>
      <c r="BY652" s="121"/>
      <c r="BZ652" s="121"/>
      <c r="CA652" s="121"/>
      <c r="CB652" s="66"/>
      <c r="CC652" s="66"/>
      <c r="CD652" s="66"/>
      <c r="CE652" s="66"/>
      <c r="CF652" s="66"/>
      <c r="CG652" s="66"/>
      <c r="CH652" s="66"/>
      <c r="CI652" s="66"/>
      <c r="CJ652" s="66"/>
    </row>
    <row r="653" spans="1:88" x14ac:dyDescent="0.3">
      <c r="A653" s="27"/>
      <c r="B653" s="27"/>
      <c r="C653" s="27"/>
      <c r="D653" s="27"/>
      <c r="E653" s="27"/>
      <c r="F653" s="27"/>
      <c r="G653" s="27"/>
      <c r="H653" s="27"/>
      <c r="I653" s="27"/>
      <c r="J653" s="27"/>
      <c r="K653" s="27"/>
      <c r="L653" s="27"/>
      <c r="N653" s="27"/>
      <c r="O653" s="27"/>
      <c r="P653" s="27"/>
      <c r="Q653" s="117" t="s">
        <v>1222</v>
      </c>
      <c r="R653" s="27"/>
      <c r="S653" s="27"/>
      <c r="T653" s="27"/>
      <c r="U653" s="27"/>
      <c r="V653" s="27"/>
      <c r="W653" s="27"/>
      <c r="X653" s="27"/>
      <c r="Y653" s="27"/>
      <c r="AE653" s="27"/>
      <c r="BD653" s="97"/>
      <c r="BE653" s="108"/>
      <c r="BF653" s="108"/>
      <c r="BG653" s="97"/>
      <c r="BH653" s="97"/>
      <c r="BI653" s="97"/>
      <c r="BJ653" s="97"/>
      <c r="BK653" s="110"/>
      <c r="BL653" s="97"/>
      <c r="BM653" s="97"/>
      <c r="BN653" s="97"/>
      <c r="BO653" s="121"/>
      <c r="BP653" s="121"/>
      <c r="BQ653" s="121"/>
      <c r="BR653" s="121"/>
      <c r="BS653" s="121"/>
      <c r="BT653" s="121"/>
      <c r="BU653" s="121"/>
      <c r="BV653" s="121"/>
      <c r="BW653" s="121"/>
      <c r="BX653" s="121"/>
      <c r="BY653" s="121"/>
      <c r="BZ653" s="121"/>
      <c r="CA653" s="121"/>
      <c r="CB653" s="66"/>
      <c r="CC653" s="66"/>
      <c r="CD653" s="66"/>
      <c r="CE653" s="66"/>
      <c r="CF653" s="66"/>
      <c r="CG653" s="66"/>
      <c r="CH653" s="66"/>
      <c r="CI653" s="66"/>
      <c r="CJ653" s="66"/>
    </row>
    <row r="654" spans="1:88" x14ac:dyDescent="0.3">
      <c r="A654" s="27"/>
      <c r="B654" s="27"/>
      <c r="C654" s="27"/>
      <c r="D654" s="27"/>
      <c r="E654" s="27"/>
      <c r="F654" s="27"/>
      <c r="G654" s="27"/>
      <c r="H654" s="27"/>
      <c r="I654" s="27"/>
      <c r="J654" s="27"/>
      <c r="K654" s="27"/>
      <c r="L654" s="27"/>
      <c r="N654" s="27"/>
      <c r="O654" s="27"/>
      <c r="P654" s="27"/>
      <c r="Q654" s="117" t="s">
        <v>1223</v>
      </c>
      <c r="R654" s="27"/>
      <c r="S654" s="27"/>
      <c r="T654" s="27"/>
      <c r="U654" s="27"/>
      <c r="V654" s="27"/>
      <c r="W654" s="27"/>
      <c r="X654" s="27"/>
      <c r="Y654" s="27"/>
      <c r="AE654" s="27"/>
      <c r="BD654" s="97"/>
      <c r="BE654" s="108"/>
      <c r="BF654" s="108"/>
      <c r="BG654" s="97"/>
      <c r="BH654" s="97"/>
      <c r="BI654" s="97"/>
      <c r="BJ654" s="97"/>
      <c r="BK654" s="110"/>
      <c r="BL654" s="97"/>
      <c r="BM654" s="97"/>
      <c r="BN654" s="97"/>
      <c r="BO654" s="121"/>
      <c r="BP654" s="121"/>
      <c r="BQ654" s="121"/>
      <c r="BR654" s="121"/>
      <c r="BS654" s="121"/>
      <c r="BT654" s="121"/>
      <c r="BU654" s="121"/>
      <c r="BV654" s="121"/>
      <c r="BW654" s="121"/>
      <c r="BX654" s="121"/>
      <c r="BY654" s="121"/>
      <c r="BZ654" s="121"/>
      <c r="CA654" s="121"/>
      <c r="CB654" s="66"/>
      <c r="CC654" s="66"/>
      <c r="CD654" s="66"/>
      <c r="CE654" s="66"/>
      <c r="CF654" s="66"/>
      <c r="CG654" s="66"/>
      <c r="CH654" s="66"/>
      <c r="CI654" s="66"/>
      <c r="CJ654" s="66"/>
    </row>
    <row r="655" spans="1:88" x14ac:dyDescent="0.3">
      <c r="A655" s="27"/>
      <c r="B655" s="27"/>
      <c r="C655" s="27"/>
      <c r="D655" s="27"/>
      <c r="E655" s="27"/>
      <c r="F655" s="27"/>
      <c r="G655" s="27"/>
      <c r="H655" s="27"/>
      <c r="I655" s="27"/>
      <c r="J655" s="27"/>
      <c r="K655" s="27"/>
      <c r="L655" s="27"/>
      <c r="N655" s="27"/>
      <c r="O655" s="27"/>
      <c r="P655" s="27"/>
      <c r="Q655" s="117" t="s">
        <v>1224</v>
      </c>
      <c r="R655" s="27"/>
      <c r="S655" s="27"/>
      <c r="T655" s="27"/>
      <c r="U655" s="27"/>
      <c r="V655" s="27"/>
      <c r="W655" s="27"/>
      <c r="X655" s="27"/>
      <c r="Y655" s="27"/>
      <c r="AE655" s="27"/>
      <c r="BD655" s="97"/>
      <c r="BE655" s="108"/>
      <c r="BF655" s="108"/>
      <c r="BG655" s="97"/>
      <c r="BH655" s="97"/>
      <c r="BI655" s="97"/>
      <c r="BJ655" s="97"/>
      <c r="BK655" s="110"/>
      <c r="BL655" s="97"/>
      <c r="BM655" s="97"/>
      <c r="BN655" s="97"/>
      <c r="BO655" s="121"/>
      <c r="BP655" s="121"/>
      <c r="BQ655" s="121"/>
      <c r="BR655" s="121"/>
      <c r="BS655" s="121"/>
      <c r="BT655" s="121"/>
      <c r="BU655" s="121"/>
      <c r="BV655" s="121"/>
      <c r="BW655" s="121"/>
      <c r="BX655" s="121"/>
      <c r="BY655" s="121"/>
      <c r="BZ655" s="121"/>
      <c r="CA655" s="121"/>
      <c r="CB655" s="66"/>
      <c r="CC655" s="66"/>
      <c r="CD655" s="66"/>
      <c r="CE655" s="66"/>
      <c r="CF655" s="66"/>
      <c r="CG655" s="66"/>
      <c r="CH655" s="66"/>
      <c r="CI655" s="66"/>
      <c r="CJ655" s="66"/>
    </row>
    <row r="656" spans="1:88" x14ac:dyDescent="0.3">
      <c r="A656" s="27"/>
      <c r="B656" s="27"/>
      <c r="C656" s="27"/>
      <c r="D656" s="27"/>
      <c r="E656" s="27"/>
      <c r="F656" s="27"/>
      <c r="G656" s="27"/>
      <c r="H656" s="27"/>
      <c r="I656" s="27"/>
      <c r="J656" s="27"/>
      <c r="K656" s="27"/>
      <c r="L656" s="27"/>
      <c r="N656" s="27"/>
      <c r="O656" s="27"/>
      <c r="P656" s="27"/>
      <c r="Q656" s="117" t="s">
        <v>1225</v>
      </c>
      <c r="R656" s="27"/>
      <c r="S656" s="27"/>
      <c r="T656" s="27"/>
      <c r="U656" s="27"/>
      <c r="V656" s="27"/>
      <c r="W656" s="27"/>
      <c r="X656" s="27"/>
      <c r="Y656" s="27"/>
      <c r="AE656" s="27"/>
      <c r="BD656" s="97"/>
      <c r="BE656" s="108"/>
      <c r="BF656" s="108"/>
      <c r="BG656" s="97"/>
      <c r="BH656" s="97"/>
      <c r="BI656" s="97"/>
      <c r="BJ656" s="97"/>
      <c r="BK656" s="110"/>
      <c r="BL656" s="97"/>
      <c r="BM656" s="97"/>
      <c r="BN656" s="97"/>
      <c r="BO656" s="121"/>
      <c r="BP656" s="121"/>
      <c r="BQ656" s="121"/>
      <c r="BR656" s="121"/>
      <c r="BS656" s="121"/>
      <c r="BT656" s="121"/>
      <c r="BU656" s="121"/>
      <c r="BV656" s="121"/>
      <c r="BW656" s="121"/>
      <c r="BX656" s="121"/>
      <c r="BY656" s="121"/>
      <c r="BZ656" s="121"/>
      <c r="CA656" s="121"/>
      <c r="CB656" s="66"/>
      <c r="CC656" s="66"/>
      <c r="CD656" s="66"/>
      <c r="CE656" s="66"/>
      <c r="CF656" s="66"/>
      <c r="CG656" s="66"/>
      <c r="CH656" s="66"/>
      <c r="CI656" s="66"/>
      <c r="CJ656" s="66"/>
    </row>
    <row r="657" spans="1:88" x14ac:dyDescent="0.3">
      <c r="A657" s="27"/>
      <c r="B657" s="27"/>
      <c r="C657" s="27"/>
      <c r="D657" s="27"/>
      <c r="E657" s="27"/>
      <c r="F657" s="27"/>
      <c r="G657" s="27"/>
      <c r="H657" s="27"/>
      <c r="I657" s="27"/>
      <c r="J657" s="27"/>
      <c r="K657" s="27"/>
      <c r="L657" s="27"/>
      <c r="N657" s="27"/>
      <c r="O657" s="27"/>
      <c r="P657" s="27"/>
      <c r="Q657" s="117" t="s">
        <v>521</v>
      </c>
      <c r="R657" s="27"/>
      <c r="S657" s="27"/>
      <c r="T657" s="27"/>
      <c r="U657" s="27"/>
      <c r="V657" s="27"/>
      <c r="W657" s="27"/>
      <c r="X657" s="27"/>
      <c r="Y657" s="27"/>
      <c r="AE657" s="27"/>
      <c r="BD657" s="97"/>
      <c r="BE657" s="108"/>
      <c r="BF657" s="108"/>
      <c r="BG657" s="97"/>
      <c r="BH657" s="97"/>
      <c r="BI657" s="97"/>
      <c r="BJ657" s="97"/>
      <c r="BK657" s="110"/>
      <c r="BL657" s="97"/>
      <c r="BM657" s="97"/>
      <c r="BN657" s="97"/>
      <c r="BO657" s="121"/>
      <c r="BP657" s="121"/>
      <c r="BQ657" s="121"/>
      <c r="BR657" s="121"/>
      <c r="BS657" s="121"/>
      <c r="BT657" s="121"/>
      <c r="BU657" s="121"/>
      <c r="BV657" s="121"/>
      <c r="BW657" s="121"/>
      <c r="BX657" s="121"/>
      <c r="BY657" s="121"/>
      <c r="BZ657" s="121"/>
      <c r="CA657" s="121"/>
      <c r="CB657" s="66"/>
      <c r="CC657" s="66"/>
      <c r="CD657" s="66"/>
      <c r="CE657" s="66"/>
      <c r="CF657" s="66"/>
      <c r="CG657" s="66"/>
      <c r="CH657" s="66"/>
      <c r="CI657" s="66"/>
      <c r="CJ657" s="66"/>
    </row>
    <row r="658" spans="1:88" x14ac:dyDescent="0.3">
      <c r="A658" s="27"/>
      <c r="B658" s="27"/>
      <c r="C658" s="27"/>
      <c r="D658" s="27"/>
      <c r="E658" s="27"/>
      <c r="F658" s="27"/>
      <c r="G658" s="27"/>
      <c r="H658" s="27"/>
      <c r="I658" s="27"/>
      <c r="J658" s="27"/>
      <c r="K658" s="27"/>
      <c r="L658" s="27"/>
      <c r="N658" s="27"/>
      <c r="O658" s="27"/>
      <c r="P658" s="27"/>
      <c r="Q658" s="117" t="s">
        <v>1226</v>
      </c>
      <c r="R658" s="27"/>
      <c r="S658" s="27"/>
      <c r="T658" s="27"/>
      <c r="U658" s="27"/>
      <c r="V658" s="27"/>
      <c r="W658" s="27"/>
      <c r="X658" s="27"/>
      <c r="Y658" s="27"/>
      <c r="AE658" s="27"/>
      <c r="BD658" s="97"/>
      <c r="BE658" s="108"/>
      <c r="BF658" s="108"/>
      <c r="BG658" s="97"/>
      <c r="BH658" s="97"/>
      <c r="BI658" s="97"/>
      <c r="BJ658" s="97"/>
      <c r="BK658" s="110"/>
      <c r="BL658" s="97"/>
      <c r="BM658" s="97"/>
      <c r="BN658" s="97"/>
      <c r="BO658" s="121"/>
      <c r="BP658" s="121"/>
      <c r="BQ658" s="121"/>
      <c r="BR658" s="121"/>
      <c r="BS658" s="121"/>
      <c r="BT658" s="121"/>
      <c r="BU658" s="121"/>
      <c r="BV658" s="121"/>
      <c r="BW658" s="121"/>
      <c r="BX658" s="121"/>
      <c r="BY658" s="121"/>
      <c r="BZ658" s="121"/>
      <c r="CA658" s="121"/>
      <c r="CB658" s="66"/>
      <c r="CC658" s="66"/>
      <c r="CD658" s="66"/>
      <c r="CE658" s="66"/>
      <c r="CF658" s="66"/>
      <c r="CG658" s="66"/>
      <c r="CH658" s="66"/>
      <c r="CI658" s="66"/>
      <c r="CJ658" s="66"/>
    </row>
    <row r="659" spans="1:88" x14ac:dyDescent="0.3">
      <c r="A659" s="27"/>
      <c r="B659" s="27"/>
      <c r="C659" s="27"/>
      <c r="D659" s="27"/>
      <c r="E659" s="27"/>
      <c r="F659" s="27"/>
      <c r="G659" s="27"/>
      <c r="H659" s="27"/>
      <c r="I659" s="27"/>
      <c r="J659" s="27"/>
      <c r="K659" s="27"/>
      <c r="L659" s="27"/>
      <c r="N659" s="27"/>
      <c r="O659" s="27"/>
      <c r="P659" s="27"/>
      <c r="Q659" s="117" t="s">
        <v>524</v>
      </c>
      <c r="R659" s="27"/>
      <c r="S659" s="27"/>
      <c r="T659" s="27"/>
      <c r="U659" s="27"/>
      <c r="V659" s="27"/>
      <c r="W659" s="27"/>
      <c r="X659" s="27"/>
      <c r="Y659" s="27"/>
      <c r="AE659" s="27"/>
      <c r="BD659" s="97"/>
      <c r="BE659" s="108"/>
      <c r="BF659" s="108"/>
      <c r="BG659" s="97"/>
      <c r="BH659" s="97"/>
      <c r="BI659" s="97"/>
      <c r="BJ659" s="97"/>
      <c r="BK659" s="110"/>
      <c r="BL659" s="97"/>
      <c r="BM659" s="97"/>
      <c r="BN659" s="97"/>
      <c r="BO659" s="121"/>
      <c r="BP659" s="121"/>
      <c r="BQ659" s="121"/>
      <c r="BR659" s="121"/>
      <c r="BS659" s="121"/>
      <c r="BT659" s="121"/>
      <c r="BU659" s="121"/>
      <c r="BV659" s="121"/>
      <c r="BW659" s="121"/>
      <c r="BX659" s="121"/>
      <c r="BY659" s="121"/>
      <c r="BZ659" s="121"/>
      <c r="CA659" s="121"/>
      <c r="CB659" s="66"/>
      <c r="CC659" s="66"/>
      <c r="CD659" s="66"/>
      <c r="CE659" s="66"/>
      <c r="CF659" s="66"/>
      <c r="CG659" s="66"/>
      <c r="CH659" s="66"/>
      <c r="CI659" s="66"/>
      <c r="CJ659" s="66"/>
    </row>
    <row r="660" spans="1:88" x14ac:dyDescent="0.3">
      <c r="A660" s="27"/>
      <c r="B660" s="27"/>
      <c r="C660" s="27"/>
      <c r="D660" s="27"/>
      <c r="E660" s="27"/>
      <c r="F660" s="27"/>
      <c r="G660" s="27"/>
      <c r="H660" s="27"/>
      <c r="I660" s="27"/>
      <c r="J660" s="27"/>
      <c r="K660" s="27"/>
      <c r="L660" s="27"/>
      <c r="N660" s="27"/>
      <c r="O660" s="27"/>
      <c r="P660" s="27"/>
      <c r="Q660" s="117" t="s">
        <v>1227</v>
      </c>
      <c r="R660" s="27"/>
      <c r="S660" s="27"/>
      <c r="T660" s="27"/>
      <c r="U660" s="27"/>
      <c r="V660" s="27"/>
      <c r="W660" s="27"/>
      <c r="X660" s="27"/>
      <c r="Y660" s="27"/>
      <c r="AE660" s="27"/>
      <c r="BD660" s="97"/>
      <c r="BE660" s="108"/>
      <c r="BF660" s="108"/>
      <c r="BG660" s="97"/>
      <c r="BH660" s="97"/>
      <c r="BI660" s="97"/>
      <c r="BJ660" s="97"/>
      <c r="BK660" s="110"/>
      <c r="BL660" s="97"/>
      <c r="BM660" s="97"/>
      <c r="BN660" s="97"/>
      <c r="BO660" s="121"/>
      <c r="BP660" s="121"/>
      <c r="BQ660" s="121"/>
      <c r="BR660" s="121"/>
      <c r="BS660" s="121"/>
      <c r="BT660" s="121"/>
      <c r="BU660" s="121"/>
      <c r="BV660" s="121"/>
      <c r="BW660" s="121"/>
      <c r="BX660" s="121"/>
      <c r="BY660" s="121"/>
      <c r="BZ660" s="121"/>
      <c r="CA660" s="121"/>
      <c r="CB660" s="66"/>
      <c r="CC660" s="66"/>
      <c r="CD660" s="66"/>
      <c r="CE660" s="66"/>
      <c r="CF660" s="66"/>
      <c r="CG660" s="66"/>
      <c r="CH660" s="66"/>
      <c r="CI660" s="66"/>
      <c r="CJ660" s="66"/>
    </row>
    <row r="661" spans="1:88" x14ac:dyDescent="0.3">
      <c r="A661" s="27"/>
      <c r="B661" s="27"/>
      <c r="C661" s="27"/>
      <c r="D661" s="27"/>
      <c r="E661" s="27"/>
      <c r="F661" s="27"/>
      <c r="G661" s="27"/>
      <c r="H661" s="27"/>
      <c r="I661" s="27"/>
      <c r="J661" s="27"/>
      <c r="K661" s="27"/>
      <c r="L661" s="27"/>
      <c r="N661" s="27"/>
      <c r="O661" s="27"/>
      <c r="P661" s="27"/>
      <c r="Q661" s="117" t="s">
        <v>1228</v>
      </c>
      <c r="R661" s="27"/>
      <c r="S661" s="27"/>
      <c r="T661" s="27"/>
      <c r="U661" s="27"/>
      <c r="V661" s="27"/>
      <c r="W661" s="27"/>
      <c r="X661" s="27"/>
      <c r="Y661" s="27"/>
      <c r="AE661" s="27"/>
      <c r="BD661" s="97"/>
      <c r="BE661" s="108"/>
      <c r="BF661" s="108"/>
      <c r="BG661" s="97"/>
      <c r="BH661" s="97"/>
      <c r="BI661" s="97"/>
      <c r="BJ661" s="97"/>
      <c r="BK661" s="110"/>
      <c r="BL661" s="97"/>
      <c r="BM661" s="97"/>
      <c r="BN661" s="97"/>
      <c r="BO661" s="121"/>
      <c r="BP661" s="121"/>
      <c r="BQ661" s="121"/>
      <c r="BR661" s="121"/>
      <c r="BS661" s="121"/>
      <c r="BT661" s="121"/>
      <c r="BU661" s="121"/>
      <c r="BV661" s="121"/>
      <c r="BW661" s="121"/>
      <c r="BX661" s="121"/>
      <c r="BY661" s="121"/>
      <c r="BZ661" s="121"/>
      <c r="CA661" s="121"/>
      <c r="CB661" s="66"/>
      <c r="CC661" s="66"/>
      <c r="CD661" s="66"/>
      <c r="CE661" s="66"/>
      <c r="CF661" s="66"/>
      <c r="CG661" s="66"/>
      <c r="CH661" s="66"/>
      <c r="CI661" s="66"/>
      <c r="CJ661" s="66"/>
    </row>
    <row r="662" spans="1:88" x14ac:dyDescent="0.3">
      <c r="A662" s="27"/>
      <c r="B662" s="27"/>
      <c r="C662" s="27"/>
      <c r="D662" s="27"/>
      <c r="E662" s="27"/>
      <c r="F662" s="27"/>
      <c r="G662" s="27"/>
      <c r="H662" s="27"/>
      <c r="I662" s="27"/>
      <c r="J662" s="27"/>
      <c r="K662" s="27"/>
      <c r="L662" s="27"/>
      <c r="N662" s="27"/>
      <c r="O662" s="27"/>
      <c r="P662" s="27"/>
      <c r="Q662" s="117" t="s">
        <v>1229</v>
      </c>
      <c r="R662" s="27"/>
      <c r="S662" s="27"/>
      <c r="T662" s="27"/>
      <c r="U662" s="27"/>
      <c r="V662" s="27"/>
      <c r="W662" s="27"/>
      <c r="X662" s="27"/>
      <c r="Y662" s="27"/>
      <c r="AE662" s="27"/>
      <c r="BD662" s="97"/>
      <c r="BE662" s="108"/>
      <c r="BF662" s="108"/>
      <c r="BG662" s="97"/>
      <c r="BH662" s="97"/>
      <c r="BI662" s="97"/>
      <c r="BJ662" s="97"/>
      <c r="BK662" s="110"/>
      <c r="BL662" s="97"/>
      <c r="BM662" s="97"/>
      <c r="BN662" s="97"/>
      <c r="BO662" s="121"/>
      <c r="BP662" s="121"/>
      <c r="BQ662" s="121"/>
      <c r="BR662" s="121"/>
      <c r="BS662" s="121"/>
      <c r="BT662" s="121"/>
      <c r="BU662" s="121"/>
      <c r="BV662" s="121"/>
      <c r="BW662" s="121"/>
      <c r="BX662" s="121"/>
      <c r="BY662" s="121"/>
      <c r="BZ662" s="121"/>
      <c r="CA662" s="121"/>
      <c r="CB662" s="66"/>
      <c r="CC662" s="66"/>
      <c r="CD662" s="66"/>
      <c r="CE662" s="66"/>
      <c r="CF662" s="66"/>
      <c r="CG662" s="66"/>
      <c r="CH662" s="66"/>
      <c r="CI662" s="66"/>
      <c r="CJ662" s="66"/>
    </row>
    <row r="663" spans="1:88" x14ac:dyDescent="0.3">
      <c r="A663" s="27"/>
      <c r="B663" s="27"/>
      <c r="C663" s="27"/>
      <c r="D663" s="27"/>
      <c r="E663" s="27"/>
      <c r="F663" s="27"/>
      <c r="G663" s="27"/>
      <c r="H663" s="27"/>
      <c r="I663" s="27"/>
      <c r="J663" s="27"/>
      <c r="K663" s="27"/>
      <c r="L663" s="27"/>
      <c r="N663" s="27"/>
      <c r="O663" s="27"/>
      <c r="P663" s="27"/>
      <c r="Q663" s="117" t="s">
        <v>1230</v>
      </c>
      <c r="R663" s="27"/>
      <c r="S663" s="27"/>
      <c r="T663" s="27"/>
      <c r="U663" s="27"/>
      <c r="V663" s="27"/>
      <c r="W663" s="27"/>
      <c r="X663" s="27"/>
      <c r="Y663" s="27"/>
      <c r="AE663" s="27"/>
      <c r="BD663" s="97"/>
      <c r="BE663" s="108"/>
      <c r="BF663" s="108"/>
      <c r="BG663" s="97"/>
      <c r="BH663" s="97"/>
      <c r="BI663" s="97"/>
      <c r="BJ663" s="97"/>
      <c r="BK663" s="110"/>
      <c r="BL663" s="97"/>
      <c r="BM663" s="97"/>
      <c r="BN663" s="97"/>
      <c r="BO663" s="121"/>
      <c r="BP663" s="121"/>
      <c r="BQ663" s="121"/>
      <c r="BR663" s="121"/>
      <c r="BS663" s="121"/>
      <c r="BT663" s="121"/>
      <c r="BU663" s="121"/>
      <c r="BV663" s="121"/>
      <c r="BW663" s="121"/>
      <c r="BX663" s="121"/>
      <c r="BY663" s="121"/>
      <c r="BZ663" s="121"/>
      <c r="CA663" s="121"/>
      <c r="CB663" s="66"/>
      <c r="CC663" s="66"/>
      <c r="CD663" s="66"/>
      <c r="CE663" s="66"/>
      <c r="CF663" s="66"/>
      <c r="CG663" s="66"/>
      <c r="CH663" s="66"/>
      <c r="CI663" s="66"/>
      <c r="CJ663" s="66"/>
    </row>
    <row r="664" spans="1:88" x14ac:dyDescent="0.3">
      <c r="A664" s="27"/>
      <c r="B664" s="27"/>
      <c r="C664" s="27"/>
      <c r="D664" s="27"/>
      <c r="E664" s="27"/>
      <c r="F664" s="27"/>
      <c r="G664" s="27"/>
      <c r="H664" s="27"/>
      <c r="I664" s="27"/>
      <c r="J664" s="27"/>
      <c r="K664" s="27"/>
      <c r="L664" s="27"/>
      <c r="N664" s="27"/>
      <c r="O664" s="27"/>
      <c r="P664" s="27"/>
      <c r="Q664" s="117" t="s">
        <v>1231</v>
      </c>
      <c r="R664" s="27"/>
      <c r="S664" s="27"/>
      <c r="T664" s="27"/>
      <c r="U664" s="27"/>
      <c r="V664" s="27"/>
      <c r="W664" s="27"/>
      <c r="X664" s="27"/>
      <c r="Y664" s="27"/>
      <c r="AE664" s="27"/>
      <c r="BD664" s="97"/>
      <c r="BE664" s="108"/>
      <c r="BF664" s="108"/>
      <c r="BG664" s="97"/>
      <c r="BH664" s="97"/>
      <c r="BI664" s="97"/>
      <c r="BJ664" s="97"/>
      <c r="BK664" s="110"/>
      <c r="BL664" s="97"/>
      <c r="BM664" s="97"/>
      <c r="BN664" s="97"/>
      <c r="BO664" s="121"/>
      <c r="BP664" s="121"/>
      <c r="BQ664" s="121"/>
      <c r="BR664" s="121"/>
      <c r="BS664" s="121"/>
      <c r="BT664" s="121"/>
      <c r="BU664" s="121"/>
      <c r="BV664" s="121"/>
      <c r="BW664" s="121"/>
      <c r="BX664" s="121"/>
      <c r="BY664" s="121"/>
      <c r="BZ664" s="121"/>
      <c r="CA664" s="121"/>
      <c r="CB664" s="66"/>
      <c r="CC664" s="66"/>
      <c r="CD664" s="66"/>
      <c r="CE664" s="66"/>
      <c r="CF664" s="66"/>
      <c r="CG664" s="66"/>
      <c r="CH664" s="66"/>
      <c r="CI664" s="66"/>
      <c r="CJ664" s="66"/>
    </row>
    <row r="665" spans="1:88" x14ac:dyDescent="0.3">
      <c r="A665" s="27"/>
      <c r="B665" s="27"/>
      <c r="C665" s="27"/>
      <c r="D665" s="27"/>
      <c r="E665" s="27"/>
      <c r="F665" s="27"/>
      <c r="G665" s="27"/>
      <c r="H665" s="27"/>
      <c r="I665" s="27"/>
      <c r="J665" s="27"/>
      <c r="K665" s="27"/>
      <c r="L665" s="27"/>
      <c r="N665" s="27"/>
      <c r="O665" s="27"/>
      <c r="P665" s="27"/>
      <c r="Q665" s="117" t="s">
        <v>1232</v>
      </c>
      <c r="R665" s="27"/>
      <c r="S665" s="27"/>
      <c r="T665" s="27"/>
      <c r="U665" s="27"/>
      <c r="V665" s="27"/>
      <c r="W665" s="27"/>
      <c r="X665" s="27"/>
      <c r="Y665" s="27"/>
      <c r="AE665" s="27"/>
      <c r="BD665" s="97"/>
      <c r="BE665" s="108"/>
      <c r="BF665" s="108"/>
      <c r="BG665" s="97"/>
      <c r="BH665" s="97"/>
      <c r="BI665" s="97"/>
      <c r="BJ665" s="97"/>
      <c r="BK665" s="110"/>
      <c r="BL665" s="97"/>
      <c r="BM665" s="97"/>
      <c r="BN665" s="97"/>
      <c r="BO665" s="121"/>
      <c r="BP665" s="121"/>
      <c r="BQ665" s="121"/>
      <c r="BR665" s="121"/>
      <c r="BS665" s="121"/>
      <c r="BT665" s="121"/>
      <c r="BU665" s="121"/>
      <c r="BV665" s="121"/>
      <c r="BW665" s="121"/>
      <c r="BX665" s="121"/>
      <c r="BY665" s="121"/>
      <c r="BZ665" s="121"/>
      <c r="CA665" s="121"/>
      <c r="CB665" s="66"/>
      <c r="CC665" s="66"/>
      <c r="CD665" s="66"/>
      <c r="CE665" s="66"/>
      <c r="CF665" s="66"/>
      <c r="CG665" s="66"/>
      <c r="CH665" s="66"/>
      <c r="CI665" s="66"/>
      <c r="CJ665" s="66"/>
    </row>
    <row r="666" spans="1:88" x14ac:dyDescent="0.3">
      <c r="A666" s="27"/>
      <c r="B666" s="27"/>
      <c r="C666" s="27"/>
      <c r="D666" s="27"/>
      <c r="E666" s="27"/>
      <c r="F666" s="27"/>
      <c r="G666" s="27"/>
      <c r="H666" s="27"/>
      <c r="I666" s="27"/>
      <c r="J666" s="27"/>
      <c r="K666" s="27"/>
      <c r="L666" s="27"/>
      <c r="N666" s="27"/>
      <c r="O666" s="27"/>
      <c r="P666" s="27"/>
      <c r="Q666" s="117" t="s">
        <v>1233</v>
      </c>
      <c r="R666" s="27"/>
      <c r="S666" s="27"/>
      <c r="T666" s="27"/>
      <c r="U666" s="27"/>
      <c r="V666" s="27"/>
      <c r="W666" s="27"/>
      <c r="X666" s="27"/>
      <c r="Y666" s="27"/>
      <c r="AE666" s="27"/>
      <c r="BD666" s="97"/>
      <c r="BE666" s="108"/>
      <c r="BF666" s="108"/>
      <c r="BG666" s="97"/>
      <c r="BH666" s="97"/>
      <c r="BI666" s="97"/>
      <c r="BJ666" s="97"/>
      <c r="BK666" s="110"/>
      <c r="BL666" s="97"/>
      <c r="BM666" s="97"/>
      <c r="BN666" s="97"/>
      <c r="BO666" s="121"/>
      <c r="BP666" s="121"/>
      <c r="BQ666" s="121"/>
      <c r="BR666" s="121"/>
      <c r="BS666" s="121"/>
      <c r="BT666" s="121"/>
      <c r="BU666" s="121"/>
      <c r="BV666" s="121"/>
      <c r="BW666" s="121"/>
      <c r="BX666" s="121"/>
      <c r="BY666" s="121"/>
      <c r="BZ666" s="121"/>
      <c r="CA666" s="121"/>
      <c r="CB666" s="66"/>
      <c r="CC666" s="66"/>
      <c r="CD666" s="66"/>
      <c r="CE666" s="66"/>
      <c r="CF666" s="66"/>
      <c r="CG666" s="66"/>
      <c r="CH666" s="66"/>
      <c r="CI666" s="66"/>
      <c r="CJ666" s="66"/>
    </row>
    <row r="667" spans="1:88" x14ac:dyDescent="0.3">
      <c r="A667" s="27"/>
      <c r="B667" s="27"/>
      <c r="C667" s="27"/>
      <c r="D667" s="27"/>
      <c r="E667" s="27"/>
      <c r="F667" s="27"/>
      <c r="G667" s="27"/>
      <c r="H667" s="27"/>
      <c r="I667" s="27"/>
      <c r="J667" s="27"/>
      <c r="K667" s="27"/>
      <c r="L667" s="27"/>
      <c r="N667" s="27"/>
      <c r="O667" s="27"/>
      <c r="P667" s="27"/>
      <c r="Q667" s="117" t="s">
        <v>1234</v>
      </c>
      <c r="R667" s="27"/>
      <c r="S667" s="27"/>
      <c r="T667" s="27"/>
      <c r="U667" s="27"/>
      <c r="V667" s="27"/>
      <c r="W667" s="27"/>
      <c r="X667" s="27"/>
      <c r="Y667" s="27"/>
      <c r="AE667" s="27"/>
      <c r="BD667" s="97"/>
      <c r="BE667" s="108"/>
      <c r="BF667" s="108"/>
      <c r="BG667" s="97"/>
      <c r="BH667" s="97"/>
      <c r="BI667" s="97"/>
      <c r="BJ667" s="97"/>
      <c r="BK667" s="110"/>
      <c r="BL667" s="97"/>
      <c r="BM667" s="97"/>
      <c r="BN667" s="97"/>
      <c r="BO667" s="121"/>
      <c r="BP667" s="121"/>
      <c r="BQ667" s="121"/>
      <c r="BR667" s="121"/>
      <c r="BS667" s="121"/>
      <c r="BT667" s="121"/>
      <c r="BU667" s="121"/>
      <c r="BV667" s="121"/>
      <c r="BW667" s="121"/>
      <c r="BX667" s="121"/>
      <c r="BY667" s="121"/>
      <c r="BZ667" s="121"/>
      <c r="CA667" s="121"/>
      <c r="CB667" s="66"/>
      <c r="CC667" s="66"/>
      <c r="CD667" s="66"/>
      <c r="CE667" s="66"/>
      <c r="CF667" s="66"/>
      <c r="CG667" s="66"/>
      <c r="CH667" s="66"/>
      <c r="CI667" s="66"/>
      <c r="CJ667" s="66"/>
    </row>
    <row r="668" spans="1:88" x14ac:dyDescent="0.3">
      <c r="A668" s="27"/>
      <c r="B668" s="27"/>
      <c r="C668" s="27"/>
      <c r="D668" s="27"/>
      <c r="E668" s="27"/>
      <c r="F668" s="27"/>
      <c r="G668" s="27"/>
      <c r="H668" s="27"/>
      <c r="I668" s="27"/>
      <c r="J668" s="27"/>
      <c r="K668" s="27"/>
      <c r="L668" s="27"/>
      <c r="N668" s="27"/>
      <c r="O668" s="27"/>
      <c r="P668" s="27"/>
      <c r="Q668" s="117" t="s">
        <v>1235</v>
      </c>
      <c r="R668" s="27"/>
      <c r="S668" s="27"/>
      <c r="T668" s="27"/>
      <c r="U668" s="27"/>
      <c r="V668" s="27"/>
      <c r="W668" s="27"/>
      <c r="X668" s="27"/>
      <c r="Y668" s="27"/>
      <c r="AE668" s="27"/>
      <c r="BD668" s="97"/>
      <c r="BE668" s="108"/>
      <c r="BF668" s="108"/>
      <c r="BG668" s="97"/>
      <c r="BH668" s="97"/>
      <c r="BI668" s="97"/>
      <c r="BJ668" s="97"/>
      <c r="BK668" s="110"/>
      <c r="BL668" s="97"/>
      <c r="BM668" s="97"/>
      <c r="BN668" s="97"/>
      <c r="BO668" s="121"/>
      <c r="BP668" s="121"/>
      <c r="BQ668" s="121"/>
      <c r="BR668" s="121"/>
      <c r="BS668" s="121"/>
      <c r="BT668" s="121"/>
      <c r="BU668" s="121"/>
      <c r="BV668" s="121"/>
      <c r="BW668" s="121"/>
      <c r="BX668" s="121"/>
      <c r="BY668" s="121"/>
      <c r="BZ668" s="121"/>
      <c r="CA668" s="121"/>
      <c r="CB668" s="66"/>
      <c r="CC668" s="66"/>
      <c r="CD668" s="66"/>
      <c r="CE668" s="66"/>
      <c r="CF668" s="66"/>
      <c r="CG668" s="66"/>
      <c r="CH668" s="66"/>
      <c r="CI668" s="66"/>
      <c r="CJ668" s="66"/>
    </row>
    <row r="669" spans="1:88" x14ac:dyDescent="0.3">
      <c r="A669" s="27"/>
      <c r="B669" s="27"/>
      <c r="C669" s="27"/>
      <c r="D669" s="27"/>
      <c r="E669" s="27"/>
      <c r="F669" s="27"/>
      <c r="G669" s="27"/>
      <c r="H669" s="27"/>
      <c r="I669" s="27"/>
      <c r="J669" s="27"/>
      <c r="K669" s="27"/>
      <c r="L669" s="27"/>
      <c r="N669" s="27"/>
      <c r="O669" s="27"/>
      <c r="P669" s="27"/>
      <c r="Q669" s="117" t="s">
        <v>1236</v>
      </c>
      <c r="R669" s="27"/>
      <c r="S669" s="27"/>
      <c r="T669" s="27"/>
      <c r="U669" s="27"/>
      <c r="V669" s="27"/>
      <c r="W669" s="27"/>
      <c r="X669" s="27"/>
      <c r="Y669" s="27"/>
      <c r="AE669" s="27"/>
      <c r="BD669" s="97"/>
      <c r="BE669" s="108"/>
      <c r="BF669" s="108"/>
      <c r="BG669" s="97"/>
      <c r="BH669" s="97"/>
      <c r="BI669" s="97"/>
      <c r="BJ669" s="97"/>
      <c r="BK669" s="110"/>
      <c r="BL669" s="97"/>
      <c r="BM669" s="97"/>
      <c r="BN669" s="97"/>
      <c r="BO669" s="121"/>
      <c r="BP669" s="121"/>
      <c r="BQ669" s="121"/>
      <c r="BR669" s="121"/>
      <c r="BS669" s="121"/>
      <c r="BT669" s="121"/>
      <c r="BU669" s="121"/>
      <c r="BV669" s="121"/>
      <c r="BW669" s="121"/>
      <c r="BX669" s="121"/>
      <c r="BY669" s="121"/>
      <c r="BZ669" s="121"/>
      <c r="CA669" s="121"/>
      <c r="CB669" s="66"/>
      <c r="CC669" s="66"/>
      <c r="CD669" s="66"/>
      <c r="CE669" s="66"/>
      <c r="CF669" s="66"/>
      <c r="CG669" s="66"/>
      <c r="CH669" s="66"/>
      <c r="CI669" s="66"/>
      <c r="CJ669" s="66"/>
    </row>
    <row r="670" spans="1:88" x14ac:dyDescent="0.3">
      <c r="A670" s="27"/>
      <c r="B670" s="27"/>
      <c r="C670" s="27"/>
      <c r="D670" s="27"/>
      <c r="E670" s="27"/>
      <c r="F670" s="27"/>
      <c r="G670" s="27"/>
      <c r="H670" s="27"/>
      <c r="I670" s="27"/>
      <c r="J670" s="27"/>
      <c r="K670" s="27"/>
      <c r="L670" s="27"/>
      <c r="N670" s="27"/>
      <c r="O670" s="27"/>
      <c r="P670" s="27"/>
      <c r="Q670" s="117" t="s">
        <v>1237</v>
      </c>
      <c r="R670" s="27"/>
      <c r="S670" s="27"/>
      <c r="T670" s="27"/>
      <c r="U670" s="27"/>
      <c r="V670" s="27"/>
      <c r="W670" s="27"/>
      <c r="X670" s="27"/>
      <c r="Y670" s="27"/>
      <c r="AE670" s="27"/>
      <c r="BD670" s="97"/>
      <c r="BE670" s="108"/>
      <c r="BF670" s="108"/>
      <c r="BG670" s="97"/>
      <c r="BH670" s="97"/>
      <c r="BI670" s="97"/>
      <c r="BJ670" s="97"/>
      <c r="BK670" s="110"/>
      <c r="BL670" s="97"/>
      <c r="BM670" s="97"/>
      <c r="BN670" s="97"/>
      <c r="BO670" s="121"/>
      <c r="BP670" s="121"/>
      <c r="BQ670" s="121"/>
      <c r="BR670" s="121"/>
      <c r="BS670" s="121"/>
      <c r="BT670" s="121"/>
      <c r="BU670" s="121"/>
      <c r="BV670" s="121"/>
      <c r="BW670" s="121"/>
      <c r="BX670" s="121"/>
      <c r="BY670" s="121"/>
      <c r="BZ670" s="121"/>
      <c r="CA670" s="121"/>
      <c r="CB670" s="66"/>
      <c r="CC670" s="66"/>
      <c r="CD670" s="66"/>
      <c r="CE670" s="66"/>
      <c r="CF670" s="66"/>
      <c r="CG670" s="66"/>
      <c r="CH670" s="66"/>
      <c r="CI670" s="66"/>
      <c r="CJ670" s="66"/>
    </row>
    <row r="671" spans="1:88" x14ac:dyDescent="0.3">
      <c r="A671" s="27"/>
      <c r="B671" s="27"/>
      <c r="C671" s="27"/>
      <c r="D671" s="27"/>
      <c r="E671" s="27"/>
      <c r="F671" s="27"/>
      <c r="G671" s="27"/>
      <c r="H671" s="27"/>
      <c r="I671" s="27"/>
      <c r="J671" s="27"/>
      <c r="K671" s="27"/>
      <c r="L671" s="27"/>
      <c r="N671" s="27"/>
      <c r="O671" s="27"/>
      <c r="P671" s="27"/>
      <c r="Q671" s="117" t="s">
        <v>1238</v>
      </c>
      <c r="R671" s="27"/>
      <c r="S671" s="27"/>
      <c r="T671" s="27"/>
      <c r="U671" s="27"/>
      <c r="V671" s="27"/>
      <c r="W671" s="27"/>
      <c r="X671" s="27"/>
      <c r="Y671" s="27"/>
      <c r="AE671" s="27"/>
      <c r="BD671" s="97"/>
      <c r="BE671" s="108"/>
      <c r="BF671" s="108"/>
      <c r="BG671" s="97"/>
      <c r="BH671" s="97"/>
      <c r="BI671" s="97"/>
      <c r="BJ671" s="97"/>
      <c r="BK671" s="110"/>
      <c r="BL671" s="97"/>
      <c r="BM671" s="97"/>
      <c r="BN671" s="97"/>
      <c r="BO671" s="121"/>
      <c r="BP671" s="121"/>
      <c r="BQ671" s="121"/>
      <c r="BR671" s="121"/>
      <c r="BS671" s="121"/>
      <c r="BT671" s="121"/>
      <c r="BU671" s="121"/>
      <c r="BV671" s="121"/>
      <c r="BW671" s="121"/>
      <c r="BX671" s="121"/>
      <c r="BY671" s="121"/>
      <c r="BZ671" s="121"/>
      <c r="CA671" s="121"/>
      <c r="CB671" s="66"/>
      <c r="CC671" s="66"/>
      <c r="CD671" s="66"/>
      <c r="CE671" s="66"/>
      <c r="CF671" s="66"/>
      <c r="CG671" s="66"/>
      <c r="CH671" s="66"/>
      <c r="CI671" s="66"/>
      <c r="CJ671" s="66"/>
    </row>
    <row r="672" spans="1:88" x14ac:dyDescent="0.3">
      <c r="A672" s="27"/>
      <c r="B672" s="27"/>
      <c r="C672" s="27"/>
      <c r="D672" s="27"/>
      <c r="E672" s="27"/>
      <c r="F672" s="27"/>
      <c r="G672" s="27"/>
      <c r="H672" s="27"/>
      <c r="I672" s="27"/>
      <c r="J672" s="27"/>
      <c r="K672" s="27"/>
      <c r="L672" s="27"/>
      <c r="N672" s="27"/>
      <c r="O672" s="27"/>
      <c r="P672" s="27"/>
      <c r="Q672" s="117" t="s">
        <v>1239</v>
      </c>
      <c r="R672" s="27"/>
      <c r="S672" s="27"/>
      <c r="T672" s="27"/>
      <c r="U672" s="27"/>
      <c r="V672" s="27"/>
      <c r="W672" s="27"/>
      <c r="X672" s="27"/>
      <c r="Y672" s="27"/>
      <c r="AE672" s="27"/>
      <c r="BD672" s="97"/>
      <c r="BE672" s="108"/>
      <c r="BF672" s="108"/>
      <c r="BG672" s="97"/>
      <c r="BH672" s="97"/>
      <c r="BI672" s="97"/>
      <c r="BJ672" s="97"/>
      <c r="BK672" s="110"/>
      <c r="BL672" s="97"/>
      <c r="BM672" s="97"/>
      <c r="BN672" s="97"/>
      <c r="BO672" s="121"/>
      <c r="BP672" s="121"/>
      <c r="BQ672" s="121"/>
      <c r="BR672" s="121"/>
      <c r="BS672" s="121"/>
      <c r="BT672" s="121"/>
      <c r="BU672" s="121"/>
      <c r="BV672" s="121"/>
      <c r="BW672" s="121"/>
      <c r="BX672" s="121"/>
      <c r="BY672" s="121"/>
      <c r="BZ672" s="121"/>
      <c r="CA672" s="121"/>
      <c r="CB672" s="66"/>
      <c r="CC672" s="66"/>
      <c r="CD672" s="66"/>
      <c r="CE672" s="66"/>
      <c r="CF672" s="66"/>
      <c r="CG672" s="66"/>
      <c r="CH672" s="66"/>
      <c r="CI672" s="66"/>
      <c r="CJ672" s="66"/>
    </row>
    <row r="673" spans="1:88" x14ac:dyDescent="0.3">
      <c r="A673" s="27"/>
      <c r="B673" s="27"/>
      <c r="C673" s="27"/>
      <c r="D673" s="27"/>
      <c r="E673" s="27"/>
      <c r="F673" s="27"/>
      <c r="G673" s="27"/>
      <c r="H673" s="27"/>
      <c r="I673" s="27"/>
      <c r="J673" s="27"/>
      <c r="K673" s="27"/>
      <c r="L673" s="27"/>
      <c r="N673" s="27"/>
      <c r="O673" s="27"/>
      <c r="P673" s="27"/>
      <c r="Q673" s="117" t="s">
        <v>1240</v>
      </c>
      <c r="R673" s="27"/>
      <c r="S673" s="27"/>
      <c r="T673" s="27"/>
      <c r="U673" s="27"/>
      <c r="V673" s="27"/>
      <c r="W673" s="27"/>
      <c r="X673" s="27"/>
      <c r="Y673" s="27"/>
      <c r="AE673" s="27"/>
      <c r="BD673" s="97"/>
      <c r="BE673" s="108"/>
      <c r="BF673" s="108"/>
      <c r="BG673" s="97"/>
      <c r="BH673" s="97"/>
      <c r="BI673" s="97"/>
      <c r="BJ673" s="97"/>
      <c r="BK673" s="110"/>
      <c r="BL673" s="97"/>
      <c r="BM673" s="97"/>
      <c r="BN673" s="97"/>
      <c r="BO673" s="121"/>
      <c r="BP673" s="121"/>
      <c r="BQ673" s="121"/>
      <c r="BR673" s="121"/>
      <c r="BS673" s="121"/>
      <c r="BT673" s="121"/>
      <c r="BU673" s="121"/>
      <c r="BV673" s="121"/>
      <c r="BW673" s="121"/>
      <c r="BX673" s="121"/>
      <c r="BY673" s="121"/>
      <c r="BZ673" s="121"/>
      <c r="CA673" s="121"/>
      <c r="CB673" s="66"/>
      <c r="CC673" s="66"/>
      <c r="CD673" s="66"/>
      <c r="CE673" s="66"/>
      <c r="CF673" s="66"/>
      <c r="CG673" s="66"/>
      <c r="CH673" s="66"/>
      <c r="CI673" s="66"/>
      <c r="CJ673" s="66"/>
    </row>
    <row r="674" spans="1:88" x14ac:dyDescent="0.3">
      <c r="A674" s="27"/>
      <c r="B674" s="27"/>
      <c r="C674" s="27"/>
      <c r="D674" s="27"/>
      <c r="E674" s="27"/>
      <c r="F674" s="27"/>
      <c r="G674" s="27"/>
      <c r="H674" s="27"/>
      <c r="I674" s="27"/>
      <c r="J674" s="27"/>
      <c r="K674" s="27"/>
      <c r="L674" s="27"/>
      <c r="N674" s="27"/>
      <c r="O674" s="27"/>
      <c r="P674" s="27"/>
      <c r="Q674" s="117" t="s">
        <v>1241</v>
      </c>
      <c r="R674" s="27"/>
      <c r="S674" s="27"/>
      <c r="T674" s="27"/>
      <c r="U674" s="27"/>
      <c r="V674" s="27"/>
      <c r="W674" s="27"/>
      <c r="X674" s="27"/>
      <c r="Y674" s="27"/>
      <c r="AE674" s="27"/>
      <c r="BD674" s="97"/>
      <c r="BE674" s="108"/>
      <c r="BF674" s="108"/>
      <c r="BG674" s="97"/>
      <c r="BH674" s="97"/>
      <c r="BI674" s="97"/>
      <c r="BJ674" s="97"/>
      <c r="BK674" s="110"/>
      <c r="BL674" s="97"/>
      <c r="BM674" s="97"/>
      <c r="BN674" s="97"/>
      <c r="BO674" s="121"/>
      <c r="BP674" s="121"/>
      <c r="BQ674" s="121"/>
      <c r="BR674" s="121"/>
      <c r="BS674" s="121"/>
      <c r="BT674" s="121"/>
      <c r="BU674" s="121"/>
      <c r="BV674" s="121"/>
      <c r="BW674" s="121"/>
      <c r="BX674" s="121"/>
      <c r="BY674" s="121"/>
      <c r="BZ674" s="121"/>
      <c r="CA674" s="121"/>
      <c r="CB674" s="66"/>
      <c r="CC674" s="66"/>
      <c r="CD674" s="66"/>
      <c r="CE674" s="66"/>
      <c r="CF674" s="66"/>
      <c r="CG674" s="66"/>
      <c r="CH674" s="66"/>
      <c r="CI674" s="66"/>
      <c r="CJ674" s="66"/>
    </row>
    <row r="675" spans="1:88" x14ac:dyDescent="0.3">
      <c r="A675" s="27"/>
      <c r="B675" s="27"/>
      <c r="C675" s="27"/>
      <c r="D675" s="27"/>
      <c r="E675" s="27"/>
      <c r="F675" s="27"/>
      <c r="G675" s="27"/>
      <c r="H675" s="27"/>
      <c r="I675" s="27"/>
      <c r="J675" s="27"/>
      <c r="K675" s="27"/>
      <c r="L675" s="27"/>
      <c r="N675" s="27"/>
      <c r="O675" s="27"/>
      <c r="P675" s="27"/>
      <c r="Q675" s="117" t="s">
        <v>530</v>
      </c>
      <c r="R675" s="27"/>
      <c r="S675" s="27"/>
      <c r="T675" s="27"/>
      <c r="U675" s="27"/>
      <c r="V675" s="27"/>
      <c r="W675" s="27"/>
      <c r="X675" s="27"/>
      <c r="Y675" s="27"/>
      <c r="AE675" s="27"/>
      <c r="BD675" s="97"/>
      <c r="BE675" s="108"/>
      <c r="BF675" s="108"/>
      <c r="BG675" s="97"/>
      <c r="BH675" s="97"/>
      <c r="BI675" s="97"/>
      <c r="BJ675" s="97"/>
      <c r="BK675" s="110"/>
      <c r="BL675" s="97"/>
      <c r="BM675" s="97"/>
      <c r="BN675" s="97"/>
      <c r="BO675" s="121"/>
      <c r="BP675" s="121"/>
      <c r="BQ675" s="121"/>
      <c r="BR675" s="121"/>
      <c r="BS675" s="121"/>
      <c r="BT675" s="121"/>
      <c r="BU675" s="121"/>
      <c r="BV675" s="121"/>
      <c r="BW675" s="121"/>
      <c r="BX675" s="121"/>
      <c r="BY675" s="121"/>
      <c r="BZ675" s="121"/>
      <c r="CA675" s="121"/>
      <c r="CB675" s="66"/>
      <c r="CC675" s="66"/>
      <c r="CD675" s="66"/>
      <c r="CE675" s="66"/>
      <c r="CF675" s="66"/>
      <c r="CG675" s="66"/>
      <c r="CH675" s="66"/>
      <c r="CI675" s="66"/>
      <c r="CJ675" s="66"/>
    </row>
    <row r="676" spans="1:88" x14ac:dyDescent="0.3">
      <c r="A676" s="27"/>
      <c r="B676" s="27"/>
      <c r="C676" s="27"/>
      <c r="D676" s="27"/>
      <c r="E676" s="27"/>
      <c r="F676" s="27"/>
      <c r="G676" s="27"/>
      <c r="H676" s="27"/>
      <c r="I676" s="27"/>
      <c r="J676" s="27"/>
      <c r="K676" s="27"/>
      <c r="L676" s="27"/>
      <c r="N676" s="27"/>
      <c r="O676" s="27"/>
      <c r="P676" s="27"/>
      <c r="Q676" s="117" t="s">
        <v>1242</v>
      </c>
      <c r="R676" s="27"/>
      <c r="S676" s="27"/>
      <c r="T676" s="27"/>
      <c r="U676" s="27"/>
      <c r="V676" s="27"/>
      <c r="W676" s="27"/>
      <c r="X676" s="27"/>
      <c r="Y676" s="27"/>
      <c r="AE676" s="27"/>
      <c r="BD676" s="97"/>
      <c r="BE676" s="108"/>
      <c r="BF676" s="108"/>
      <c r="BG676" s="97"/>
      <c r="BH676" s="97"/>
      <c r="BI676" s="97"/>
      <c r="BJ676" s="97"/>
      <c r="BK676" s="110"/>
      <c r="BL676" s="97"/>
      <c r="BM676" s="97"/>
      <c r="BN676" s="97"/>
      <c r="BO676" s="121"/>
      <c r="BP676" s="121"/>
      <c r="BQ676" s="121"/>
      <c r="BR676" s="121"/>
      <c r="BS676" s="121"/>
      <c r="BT676" s="121"/>
      <c r="BU676" s="121"/>
      <c r="BV676" s="121"/>
      <c r="BW676" s="121"/>
      <c r="BX676" s="121"/>
      <c r="BY676" s="121"/>
      <c r="BZ676" s="121"/>
      <c r="CA676" s="121"/>
      <c r="CB676" s="66"/>
      <c r="CC676" s="66"/>
      <c r="CD676" s="66"/>
      <c r="CE676" s="66"/>
      <c r="CF676" s="66"/>
      <c r="CG676" s="66"/>
      <c r="CH676" s="66"/>
      <c r="CI676" s="66"/>
      <c r="CJ676" s="66"/>
    </row>
    <row r="677" spans="1:88" x14ac:dyDescent="0.3">
      <c r="A677" s="27"/>
      <c r="B677" s="27"/>
      <c r="C677" s="27"/>
      <c r="D677" s="27"/>
      <c r="E677" s="27"/>
      <c r="F677" s="27"/>
      <c r="G677" s="27"/>
      <c r="H677" s="27"/>
      <c r="I677" s="27"/>
      <c r="J677" s="27"/>
      <c r="K677" s="27"/>
      <c r="L677" s="27"/>
      <c r="N677" s="27"/>
      <c r="O677" s="27"/>
      <c r="P677" s="27"/>
      <c r="Q677" s="117" t="s">
        <v>1243</v>
      </c>
      <c r="R677" s="27"/>
      <c r="S677" s="27"/>
      <c r="T677" s="27"/>
      <c r="U677" s="27"/>
      <c r="V677" s="27"/>
      <c r="W677" s="27"/>
      <c r="X677" s="27"/>
      <c r="Y677" s="27"/>
      <c r="AE677" s="27"/>
      <c r="BD677" s="97"/>
      <c r="BE677" s="108"/>
      <c r="BF677" s="108"/>
      <c r="BG677" s="97"/>
      <c r="BH677" s="97"/>
      <c r="BI677" s="97"/>
      <c r="BJ677" s="97"/>
      <c r="BK677" s="110"/>
      <c r="BL677" s="97"/>
      <c r="BM677" s="97"/>
      <c r="BN677" s="97"/>
      <c r="BO677" s="121"/>
      <c r="BP677" s="121"/>
      <c r="BQ677" s="121"/>
      <c r="BR677" s="121"/>
      <c r="BS677" s="121"/>
      <c r="BT677" s="121"/>
      <c r="BU677" s="121"/>
      <c r="BV677" s="121"/>
      <c r="BW677" s="121"/>
      <c r="BX677" s="121"/>
      <c r="BY677" s="121"/>
      <c r="BZ677" s="121"/>
      <c r="CA677" s="121"/>
      <c r="CB677" s="66"/>
      <c r="CC677" s="66"/>
      <c r="CD677" s="66"/>
      <c r="CE677" s="66"/>
      <c r="CF677" s="66"/>
      <c r="CG677" s="66"/>
      <c r="CH677" s="66"/>
      <c r="CI677" s="66"/>
      <c r="CJ677" s="66"/>
    </row>
    <row r="678" spans="1:88" x14ac:dyDescent="0.3">
      <c r="A678" s="27"/>
      <c r="B678" s="27"/>
      <c r="C678" s="27"/>
      <c r="D678" s="27"/>
      <c r="E678" s="27"/>
      <c r="F678" s="27"/>
      <c r="G678" s="27"/>
      <c r="H678" s="27"/>
      <c r="I678" s="27"/>
      <c r="J678" s="27"/>
      <c r="K678" s="27"/>
      <c r="L678" s="27"/>
      <c r="N678" s="27"/>
      <c r="O678" s="27"/>
      <c r="P678" s="27"/>
      <c r="Q678" s="117" t="s">
        <v>1244</v>
      </c>
      <c r="R678" s="27"/>
      <c r="S678" s="27"/>
      <c r="T678" s="27"/>
      <c r="U678" s="27"/>
      <c r="V678" s="27"/>
      <c r="W678" s="27"/>
      <c r="X678" s="27"/>
      <c r="Y678" s="27"/>
      <c r="AE678" s="27"/>
      <c r="BD678" s="97"/>
      <c r="BE678" s="108"/>
      <c r="BF678" s="108"/>
      <c r="BG678" s="97"/>
      <c r="BH678" s="97"/>
      <c r="BI678" s="97"/>
      <c r="BJ678" s="97"/>
      <c r="BK678" s="110"/>
      <c r="BL678" s="97"/>
      <c r="BM678" s="97"/>
      <c r="BN678" s="97"/>
      <c r="BO678" s="121"/>
      <c r="BP678" s="121"/>
      <c r="BQ678" s="121"/>
      <c r="BR678" s="121"/>
      <c r="BS678" s="121"/>
      <c r="BT678" s="121"/>
      <c r="BU678" s="121"/>
      <c r="BV678" s="121"/>
      <c r="BW678" s="121"/>
      <c r="BX678" s="121"/>
      <c r="BY678" s="121"/>
      <c r="BZ678" s="121"/>
      <c r="CA678" s="121"/>
      <c r="CB678" s="66"/>
      <c r="CC678" s="66"/>
      <c r="CD678" s="66"/>
      <c r="CE678" s="66"/>
      <c r="CF678" s="66"/>
      <c r="CG678" s="66"/>
      <c r="CH678" s="66"/>
      <c r="CI678" s="66"/>
      <c r="CJ678" s="66"/>
    </row>
    <row r="679" spans="1:88" x14ac:dyDescent="0.3">
      <c r="A679" s="27"/>
      <c r="B679" s="27"/>
      <c r="C679" s="27"/>
      <c r="D679" s="27"/>
      <c r="E679" s="27"/>
      <c r="F679" s="27"/>
      <c r="G679" s="27"/>
      <c r="H679" s="27"/>
      <c r="I679" s="27"/>
      <c r="J679" s="27"/>
      <c r="K679" s="27"/>
      <c r="L679" s="27"/>
      <c r="N679" s="27"/>
      <c r="O679" s="27"/>
      <c r="P679" s="27"/>
      <c r="Q679" s="117" t="s">
        <v>1245</v>
      </c>
      <c r="R679" s="27"/>
      <c r="S679" s="27"/>
      <c r="T679" s="27"/>
      <c r="U679" s="27"/>
      <c r="V679" s="27"/>
      <c r="W679" s="27"/>
      <c r="X679" s="27"/>
      <c r="Y679" s="27"/>
      <c r="AE679" s="27"/>
      <c r="BD679" s="97"/>
      <c r="BE679" s="108"/>
      <c r="BF679" s="108"/>
      <c r="BG679" s="97"/>
      <c r="BH679" s="97"/>
      <c r="BI679" s="97"/>
      <c r="BJ679" s="97"/>
      <c r="BK679" s="110"/>
      <c r="BL679" s="97"/>
      <c r="BM679" s="97"/>
      <c r="BN679" s="97"/>
      <c r="BO679" s="121"/>
      <c r="BP679" s="121"/>
      <c r="BQ679" s="121"/>
      <c r="BR679" s="121"/>
      <c r="BS679" s="121"/>
      <c r="BT679" s="121"/>
      <c r="BU679" s="121"/>
      <c r="BV679" s="121"/>
      <c r="BW679" s="121"/>
      <c r="BX679" s="121"/>
      <c r="BY679" s="121"/>
      <c r="BZ679" s="121"/>
      <c r="CA679" s="121"/>
      <c r="CB679" s="66"/>
      <c r="CC679" s="66"/>
      <c r="CD679" s="66"/>
      <c r="CE679" s="66"/>
      <c r="CF679" s="66"/>
      <c r="CG679" s="66"/>
      <c r="CH679" s="66"/>
      <c r="CI679" s="66"/>
      <c r="CJ679" s="66"/>
    </row>
    <row r="680" spans="1:88" x14ac:dyDescent="0.3">
      <c r="A680" s="27"/>
      <c r="B680" s="27"/>
      <c r="C680" s="27"/>
      <c r="D680" s="27"/>
      <c r="E680" s="27"/>
      <c r="F680" s="27"/>
      <c r="G680" s="27"/>
      <c r="H680" s="27"/>
      <c r="I680" s="27"/>
      <c r="J680" s="27"/>
      <c r="K680" s="27"/>
      <c r="L680" s="27"/>
      <c r="N680" s="27"/>
      <c r="O680" s="27"/>
      <c r="P680" s="27"/>
      <c r="Q680" s="117" t="s">
        <v>1246</v>
      </c>
      <c r="R680" s="27"/>
      <c r="S680" s="27"/>
      <c r="T680" s="27"/>
      <c r="U680" s="27"/>
      <c r="V680" s="27"/>
      <c r="W680" s="27"/>
      <c r="X680" s="27"/>
      <c r="Y680" s="27"/>
      <c r="AE680" s="27"/>
      <c r="BD680" s="97"/>
      <c r="BE680" s="108"/>
      <c r="BF680" s="108"/>
      <c r="BG680" s="97"/>
      <c r="BH680" s="97"/>
      <c r="BI680" s="97"/>
      <c r="BJ680" s="97"/>
      <c r="BK680" s="110"/>
      <c r="BL680" s="97"/>
      <c r="BM680" s="97"/>
      <c r="BN680" s="97"/>
      <c r="BO680" s="121"/>
      <c r="BP680" s="121"/>
      <c r="BQ680" s="121"/>
      <c r="BR680" s="121"/>
      <c r="BS680" s="121"/>
      <c r="BT680" s="121"/>
      <c r="BU680" s="121"/>
      <c r="BV680" s="121"/>
      <c r="BW680" s="121"/>
      <c r="BX680" s="121"/>
      <c r="BY680" s="121"/>
      <c r="BZ680" s="121"/>
      <c r="CA680" s="121"/>
      <c r="CB680" s="66"/>
      <c r="CC680" s="66"/>
      <c r="CD680" s="66"/>
      <c r="CE680" s="66"/>
      <c r="CF680" s="66"/>
      <c r="CG680" s="66"/>
      <c r="CH680" s="66"/>
      <c r="CI680" s="66"/>
      <c r="CJ680" s="66"/>
    </row>
    <row r="681" spans="1:88" x14ac:dyDescent="0.3">
      <c r="A681" s="27"/>
      <c r="B681" s="27"/>
      <c r="C681" s="27"/>
      <c r="D681" s="27"/>
      <c r="E681" s="27"/>
      <c r="F681" s="27"/>
      <c r="G681" s="27"/>
      <c r="H681" s="27"/>
      <c r="I681" s="27"/>
      <c r="J681" s="27"/>
      <c r="K681" s="27"/>
      <c r="L681" s="27"/>
      <c r="N681" s="27"/>
      <c r="O681" s="27"/>
      <c r="P681" s="27"/>
      <c r="Q681" s="117" t="s">
        <v>1247</v>
      </c>
      <c r="R681" s="27"/>
      <c r="S681" s="27"/>
      <c r="T681" s="27"/>
      <c r="U681" s="27"/>
      <c r="V681" s="27"/>
      <c r="W681" s="27"/>
      <c r="X681" s="27"/>
      <c r="Y681" s="27"/>
      <c r="AE681" s="27"/>
      <c r="BD681" s="97"/>
      <c r="BE681" s="108"/>
      <c r="BF681" s="108"/>
      <c r="BG681" s="97"/>
      <c r="BH681" s="97"/>
      <c r="BI681" s="97"/>
      <c r="BJ681" s="97"/>
      <c r="BK681" s="110"/>
      <c r="BL681" s="97"/>
      <c r="BM681" s="97"/>
      <c r="BN681" s="97"/>
      <c r="BO681" s="121"/>
      <c r="BP681" s="121"/>
      <c r="BQ681" s="121"/>
      <c r="BR681" s="121"/>
      <c r="BS681" s="121"/>
      <c r="BT681" s="121"/>
      <c r="BU681" s="121"/>
      <c r="BV681" s="121"/>
      <c r="BW681" s="121"/>
      <c r="BX681" s="121"/>
      <c r="BY681" s="121"/>
      <c r="BZ681" s="121"/>
      <c r="CA681" s="121"/>
      <c r="CB681" s="66"/>
      <c r="CC681" s="66"/>
      <c r="CD681" s="66"/>
      <c r="CE681" s="66"/>
      <c r="CF681" s="66"/>
      <c r="CG681" s="66"/>
      <c r="CH681" s="66"/>
      <c r="CI681" s="66"/>
      <c r="CJ681" s="66"/>
    </row>
    <row r="682" spans="1:88" x14ac:dyDescent="0.3">
      <c r="A682" s="27"/>
      <c r="B682" s="27"/>
      <c r="C682" s="27"/>
      <c r="D682" s="27"/>
      <c r="E682" s="27"/>
      <c r="F682" s="27"/>
      <c r="G682" s="27"/>
      <c r="H682" s="27"/>
      <c r="I682" s="27"/>
      <c r="J682" s="27"/>
      <c r="K682" s="27"/>
      <c r="L682" s="27"/>
      <c r="N682" s="27"/>
      <c r="O682" s="27"/>
      <c r="P682" s="27"/>
      <c r="Q682" s="117" t="s">
        <v>1248</v>
      </c>
      <c r="R682" s="27"/>
      <c r="S682" s="27"/>
      <c r="T682" s="27"/>
      <c r="U682" s="27"/>
      <c r="V682" s="27"/>
      <c r="W682" s="27"/>
      <c r="X682" s="27"/>
      <c r="Y682" s="27"/>
      <c r="AE682" s="27"/>
      <c r="BD682" s="97"/>
      <c r="BE682" s="108"/>
      <c r="BF682" s="108"/>
      <c r="BG682" s="97"/>
      <c r="BH682" s="97"/>
      <c r="BI682" s="97"/>
      <c r="BJ682" s="97"/>
      <c r="BK682" s="110"/>
      <c r="BL682" s="97"/>
      <c r="BM682" s="97"/>
      <c r="BN682" s="97"/>
      <c r="BO682" s="121"/>
      <c r="BP682" s="121"/>
      <c r="BQ682" s="121"/>
      <c r="BR682" s="121"/>
      <c r="BS682" s="121"/>
      <c r="BT682" s="121"/>
      <c r="BU682" s="121"/>
      <c r="BV682" s="121"/>
      <c r="BW682" s="121"/>
      <c r="BX682" s="121"/>
      <c r="BY682" s="121"/>
      <c r="BZ682" s="121"/>
      <c r="CA682" s="121"/>
      <c r="CB682" s="66"/>
      <c r="CC682" s="66"/>
      <c r="CD682" s="66"/>
      <c r="CE682" s="66"/>
      <c r="CF682" s="66"/>
      <c r="CG682" s="66"/>
      <c r="CH682" s="66"/>
      <c r="CI682" s="66"/>
      <c r="CJ682" s="66"/>
    </row>
    <row r="683" spans="1:88" ht="27.6" x14ac:dyDescent="0.3">
      <c r="A683" s="27"/>
      <c r="B683" s="27"/>
      <c r="C683" s="27"/>
      <c r="D683" s="27"/>
      <c r="E683" s="27"/>
      <c r="F683" s="27"/>
      <c r="G683" s="27"/>
      <c r="H683" s="27"/>
      <c r="I683" s="27"/>
      <c r="J683" s="27"/>
      <c r="K683" s="27"/>
      <c r="L683" s="27"/>
      <c r="N683" s="27"/>
      <c r="O683" s="27"/>
      <c r="P683" s="27"/>
      <c r="Q683" s="117" t="s">
        <v>1249</v>
      </c>
      <c r="R683" s="27"/>
      <c r="S683" s="27"/>
      <c r="T683" s="27"/>
      <c r="U683" s="27"/>
      <c r="V683" s="27"/>
      <c r="W683" s="27"/>
      <c r="X683" s="27"/>
      <c r="Y683" s="27"/>
      <c r="AE683" s="27"/>
      <c r="BD683" s="97"/>
      <c r="BE683" s="108"/>
      <c r="BF683" s="108"/>
      <c r="BG683" s="97"/>
      <c r="BH683" s="97"/>
      <c r="BI683" s="97"/>
      <c r="BJ683" s="97"/>
      <c r="BK683" s="110"/>
      <c r="BL683" s="97"/>
      <c r="BM683" s="97"/>
      <c r="BN683" s="97"/>
      <c r="BO683" s="121"/>
      <c r="BP683" s="121"/>
      <c r="BQ683" s="121"/>
      <c r="BR683" s="121"/>
      <c r="BS683" s="121"/>
      <c r="BT683" s="121"/>
      <c r="BU683" s="121"/>
      <c r="BV683" s="121"/>
      <c r="BW683" s="121"/>
      <c r="BX683" s="121"/>
      <c r="BY683" s="121"/>
      <c r="BZ683" s="121"/>
      <c r="CA683" s="121"/>
      <c r="CB683" s="66"/>
      <c r="CC683" s="66"/>
      <c r="CD683" s="66"/>
      <c r="CE683" s="66"/>
      <c r="CF683" s="66"/>
      <c r="CG683" s="66"/>
      <c r="CH683" s="66"/>
      <c r="CI683" s="66"/>
      <c r="CJ683" s="66"/>
    </row>
    <row r="684" spans="1:88" x14ac:dyDescent="0.3">
      <c r="A684" s="27"/>
      <c r="B684" s="27"/>
      <c r="C684" s="27"/>
      <c r="D684" s="27"/>
      <c r="E684" s="27"/>
      <c r="F684" s="27"/>
      <c r="G684" s="27"/>
      <c r="H684" s="27"/>
      <c r="I684" s="27"/>
      <c r="J684" s="27"/>
      <c r="K684" s="27"/>
      <c r="L684" s="27"/>
      <c r="N684" s="27"/>
      <c r="O684" s="27"/>
      <c r="P684" s="27"/>
      <c r="Q684" s="117" t="s">
        <v>1250</v>
      </c>
      <c r="R684" s="27"/>
      <c r="S684" s="27"/>
      <c r="T684" s="27"/>
      <c r="U684" s="27"/>
      <c r="V684" s="27"/>
      <c r="W684" s="27"/>
      <c r="X684" s="27"/>
      <c r="Y684" s="27"/>
      <c r="AE684" s="27"/>
      <c r="BD684" s="97"/>
      <c r="BE684" s="108"/>
      <c r="BF684" s="108"/>
      <c r="BG684" s="97"/>
      <c r="BH684" s="97"/>
      <c r="BI684" s="97"/>
      <c r="BJ684" s="97"/>
      <c r="BK684" s="110"/>
      <c r="BL684" s="97"/>
      <c r="BM684" s="97"/>
      <c r="BN684" s="97"/>
      <c r="BO684" s="121"/>
      <c r="BP684" s="121"/>
      <c r="BQ684" s="121"/>
      <c r="BR684" s="121"/>
      <c r="BS684" s="121"/>
      <c r="BT684" s="121"/>
      <c r="BU684" s="121"/>
      <c r="BV684" s="121"/>
      <c r="BW684" s="121"/>
      <c r="BX684" s="121"/>
      <c r="BY684" s="121"/>
      <c r="BZ684" s="121"/>
      <c r="CA684" s="121"/>
      <c r="CB684" s="66"/>
      <c r="CC684" s="66"/>
      <c r="CD684" s="66"/>
      <c r="CE684" s="66"/>
      <c r="CF684" s="66"/>
      <c r="CG684" s="66"/>
      <c r="CH684" s="66"/>
      <c r="CI684" s="66"/>
      <c r="CJ684" s="66"/>
    </row>
    <row r="685" spans="1:88" x14ac:dyDescent="0.3">
      <c r="A685" s="27"/>
      <c r="B685" s="27"/>
      <c r="C685" s="27"/>
      <c r="D685" s="27"/>
      <c r="E685" s="27"/>
      <c r="F685" s="27"/>
      <c r="G685" s="27"/>
      <c r="H685" s="27"/>
      <c r="I685" s="27"/>
      <c r="J685" s="27"/>
      <c r="K685" s="27"/>
      <c r="L685" s="27"/>
      <c r="N685" s="27"/>
      <c r="O685" s="27"/>
      <c r="P685" s="27"/>
      <c r="Q685" s="117" t="s">
        <v>1251</v>
      </c>
      <c r="R685" s="27"/>
      <c r="S685" s="27"/>
      <c r="T685" s="27"/>
      <c r="U685" s="27"/>
      <c r="V685" s="27"/>
      <c r="W685" s="27"/>
      <c r="X685" s="27"/>
      <c r="Y685" s="27"/>
      <c r="AE685" s="27"/>
      <c r="BD685" s="97"/>
      <c r="BE685" s="108"/>
      <c r="BF685" s="108"/>
      <c r="BG685" s="97"/>
      <c r="BH685" s="97"/>
      <c r="BI685" s="97"/>
      <c r="BJ685" s="97"/>
      <c r="BK685" s="110"/>
      <c r="BL685" s="97"/>
      <c r="BM685" s="97"/>
      <c r="BN685" s="97"/>
      <c r="BO685" s="121"/>
      <c r="BP685" s="121"/>
      <c r="BQ685" s="121"/>
      <c r="BR685" s="121"/>
      <c r="BS685" s="121"/>
      <c r="BT685" s="121"/>
      <c r="BU685" s="121"/>
      <c r="BV685" s="121"/>
      <c r="BW685" s="121"/>
      <c r="BX685" s="121"/>
      <c r="BY685" s="121"/>
      <c r="BZ685" s="121"/>
      <c r="CA685" s="121"/>
      <c r="CB685" s="66"/>
      <c r="CC685" s="66"/>
      <c r="CD685" s="66"/>
      <c r="CE685" s="66"/>
      <c r="CF685" s="66"/>
      <c r="CG685" s="66"/>
      <c r="CH685" s="66"/>
      <c r="CI685" s="66"/>
      <c r="CJ685" s="66"/>
    </row>
    <row r="686" spans="1:88" x14ac:dyDescent="0.3">
      <c r="A686" s="27"/>
      <c r="B686" s="27"/>
      <c r="C686" s="27"/>
      <c r="D686" s="27"/>
      <c r="E686" s="27"/>
      <c r="F686" s="27"/>
      <c r="G686" s="27"/>
      <c r="H686" s="27"/>
      <c r="I686" s="27"/>
      <c r="J686" s="27"/>
      <c r="K686" s="27"/>
      <c r="L686" s="27"/>
      <c r="N686" s="27"/>
      <c r="O686" s="27"/>
      <c r="P686" s="27"/>
      <c r="Q686" s="117" t="s">
        <v>1252</v>
      </c>
      <c r="R686" s="27"/>
      <c r="S686" s="27"/>
      <c r="T686" s="27"/>
      <c r="U686" s="27"/>
      <c r="V686" s="27"/>
      <c r="W686" s="27"/>
      <c r="X686" s="27"/>
      <c r="Y686" s="27"/>
      <c r="AE686" s="27"/>
      <c r="BD686" s="97"/>
      <c r="BE686" s="108"/>
      <c r="BF686" s="108"/>
      <c r="BG686" s="97"/>
      <c r="BH686" s="97"/>
      <c r="BI686" s="97"/>
      <c r="BJ686" s="97"/>
      <c r="BK686" s="110"/>
      <c r="BL686" s="97"/>
      <c r="BM686" s="97"/>
      <c r="BN686" s="97"/>
      <c r="BO686" s="121"/>
      <c r="BP686" s="121"/>
      <c r="BQ686" s="121"/>
      <c r="BR686" s="121"/>
      <c r="BS686" s="121"/>
      <c r="BT686" s="121"/>
      <c r="BU686" s="121"/>
      <c r="BV686" s="121"/>
      <c r="BW686" s="121"/>
      <c r="BX686" s="121"/>
      <c r="BY686" s="121"/>
      <c r="BZ686" s="121"/>
      <c r="CA686" s="121"/>
      <c r="CB686" s="66"/>
      <c r="CC686" s="66"/>
      <c r="CD686" s="66"/>
      <c r="CE686" s="66"/>
      <c r="CF686" s="66"/>
      <c r="CG686" s="66"/>
      <c r="CH686" s="66"/>
      <c r="CI686" s="66"/>
      <c r="CJ686" s="66"/>
    </row>
    <row r="687" spans="1:88" x14ac:dyDescent="0.3">
      <c r="A687" s="27"/>
      <c r="B687" s="27"/>
      <c r="C687" s="27"/>
      <c r="D687" s="27"/>
      <c r="E687" s="27"/>
      <c r="F687" s="27"/>
      <c r="G687" s="27"/>
      <c r="H687" s="27"/>
      <c r="I687" s="27"/>
      <c r="J687" s="27"/>
      <c r="K687" s="27"/>
      <c r="L687" s="27"/>
      <c r="N687" s="27"/>
      <c r="O687" s="27"/>
      <c r="P687" s="27"/>
      <c r="Q687" s="117" t="s">
        <v>1253</v>
      </c>
      <c r="R687" s="27"/>
      <c r="S687" s="27"/>
      <c r="T687" s="27"/>
      <c r="U687" s="27"/>
      <c r="V687" s="27"/>
      <c r="W687" s="27"/>
      <c r="X687" s="27"/>
      <c r="Y687" s="27"/>
      <c r="AE687" s="27"/>
      <c r="BD687" s="97"/>
      <c r="BE687" s="108"/>
      <c r="BF687" s="108"/>
      <c r="BG687" s="97"/>
      <c r="BH687" s="97"/>
      <c r="BI687" s="97"/>
      <c r="BJ687" s="97"/>
      <c r="BK687" s="110"/>
      <c r="BL687" s="97"/>
      <c r="BM687" s="97"/>
      <c r="BN687" s="97"/>
      <c r="BO687" s="121"/>
      <c r="BP687" s="121"/>
      <c r="BQ687" s="121"/>
      <c r="BR687" s="121"/>
      <c r="BS687" s="121"/>
      <c r="BT687" s="121"/>
      <c r="BU687" s="121"/>
      <c r="BV687" s="121"/>
      <c r="BW687" s="121"/>
      <c r="BX687" s="121"/>
      <c r="BY687" s="121"/>
      <c r="BZ687" s="121"/>
      <c r="CA687" s="121"/>
      <c r="CB687" s="66"/>
      <c r="CC687" s="66"/>
      <c r="CD687" s="66"/>
      <c r="CE687" s="66"/>
      <c r="CF687" s="66"/>
      <c r="CG687" s="66"/>
      <c r="CH687" s="66"/>
      <c r="CI687" s="66"/>
      <c r="CJ687" s="66"/>
    </row>
    <row r="688" spans="1:88" x14ac:dyDescent="0.3">
      <c r="A688" s="27"/>
      <c r="B688" s="27"/>
      <c r="C688" s="27"/>
      <c r="D688" s="27"/>
      <c r="E688" s="27"/>
      <c r="F688" s="27"/>
      <c r="G688" s="27"/>
      <c r="H688" s="27"/>
      <c r="I688" s="27"/>
      <c r="J688" s="27"/>
      <c r="K688" s="27"/>
      <c r="L688" s="27"/>
      <c r="N688" s="27"/>
      <c r="O688" s="27"/>
      <c r="P688" s="27"/>
      <c r="Q688" s="117" t="s">
        <v>1254</v>
      </c>
      <c r="R688" s="27"/>
      <c r="S688" s="27"/>
      <c r="T688" s="27"/>
      <c r="U688" s="27"/>
      <c r="V688" s="27"/>
      <c r="W688" s="27"/>
      <c r="X688" s="27"/>
      <c r="Y688" s="27"/>
      <c r="AE688" s="27"/>
      <c r="BD688" s="97"/>
      <c r="BE688" s="108"/>
      <c r="BF688" s="108"/>
      <c r="BG688" s="97"/>
      <c r="BH688" s="97"/>
      <c r="BI688" s="97"/>
      <c r="BJ688" s="97"/>
      <c r="BK688" s="110"/>
      <c r="BL688" s="97"/>
      <c r="BM688" s="97"/>
      <c r="BN688" s="97"/>
      <c r="BO688" s="121"/>
      <c r="BP688" s="121"/>
      <c r="BQ688" s="121"/>
      <c r="BR688" s="121"/>
      <c r="BS688" s="121"/>
      <c r="BT688" s="121"/>
      <c r="BU688" s="121"/>
      <c r="BV688" s="121"/>
      <c r="BW688" s="121"/>
      <c r="BX688" s="121"/>
      <c r="BY688" s="121"/>
      <c r="BZ688" s="121"/>
      <c r="CA688" s="121"/>
      <c r="CB688" s="66"/>
      <c r="CC688" s="66"/>
      <c r="CD688" s="66"/>
      <c r="CE688" s="66"/>
      <c r="CF688" s="66"/>
      <c r="CG688" s="66"/>
      <c r="CH688" s="66"/>
      <c r="CI688" s="66"/>
      <c r="CJ688" s="66"/>
    </row>
    <row r="689" spans="1:88" x14ac:dyDescent="0.3">
      <c r="A689" s="27"/>
      <c r="B689" s="27"/>
      <c r="C689" s="27"/>
      <c r="D689" s="27"/>
      <c r="E689" s="27"/>
      <c r="F689" s="27"/>
      <c r="G689" s="27"/>
      <c r="H689" s="27"/>
      <c r="I689" s="27"/>
      <c r="J689" s="27"/>
      <c r="K689" s="27"/>
      <c r="L689" s="27"/>
      <c r="N689" s="27"/>
      <c r="O689" s="27"/>
      <c r="P689" s="27"/>
      <c r="Q689" s="117" t="s">
        <v>1255</v>
      </c>
      <c r="R689" s="27"/>
      <c r="S689" s="27"/>
      <c r="T689" s="27"/>
      <c r="U689" s="27"/>
      <c r="V689" s="27"/>
      <c r="W689" s="27"/>
      <c r="X689" s="27"/>
      <c r="Y689" s="27"/>
      <c r="AE689" s="27"/>
      <c r="BD689" s="97"/>
      <c r="BE689" s="108"/>
      <c r="BF689" s="108"/>
      <c r="BG689" s="97"/>
      <c r="BH689" s="97"/>
      <c r="BI689" s="97"/>
      <c r="BJ689" s="97"/>
      <c r="BK689" s="110"/>
      <c r="BL689" s="97"/>
      <c r="BM689" s="97"/>
      <c r="BN689" s="97"/>
      <c r="BO689" s="121"/>
      <c r="BP689" s="121"/>
      <c r="BQ689" s="121"/>
      <c r="BR689" s="121"/>
      <c r="BS689" s="121"/>
      <c r="BT689" s="121"/>
      <c r="BU689" s="121"/>
      <c r="BV689" s="121"/>
      <c r="BW689" s="121"/>
      <c r="BX689" s="121"/>
      <c r="BY689" s="121"/>
      <c r="BZ689" s="121"/>
      <c r="CA689" s="121"/>
      <c r="CB689" s="66"/>
      <c r="CC689" s="66"/>
      <c r="CD689" s="66"/>
      <c r="CE689" s="66"/>
      <c r="CF689" s="66"/>
      <c r="CG689" s="66"/>
      <c r="CH689" s="66"/>
      <c r="CI689" s="66"/>
      <c r="CJ689" s="66"/>
    </row>
    <row r="690" spans="1:88" x14ac:dyDescent="0.3">
      <c r="A690" s="27"/>
      <c r="B690" s="27"/>
      <c r="C690" s="27"/>
      <c r="D690" s="27"/>
      <c r="E690" s="27"/>
      <c r="F690" s="27"/>
      <c r="G690" s="27"/>
      <c r="H690" s="27"/>
      <c r="I690" s="27"/>
      <c r="J690" s="27"/>
      <c r="K690" s="27"/>
      <c r="L690" s="27"/>
      <c r="N690" s="27"/>
      <c r="O690" s="27"/>
      <c r="P690" s="27"/>
      <c r="Q690" s="117" t="s">
        <v>1256</v>
      </c>
      <c r="R690" s="27"/>
      <c r="S690" s="27"/>
      <c r="T690" s="27"/>
      <c r="U690" s="27"/>
      <c r="V690" s="27"/>
      <c r="W690" s="27"/>
      <c r="X690" s="27"/>
      <c r="Y690" s="27"/>
      <c r="AE690" s="27"/>
      <c r="BD690" s="97"/>
      <c r="BE690" s="108"/>
      <c r="BF690" s="108"/>
      <c r="BG690" s="97"/>
      <c r="BH690" s="97"/>
      <c r="BI690" s="97"/>
      <c r="BJ690" s="97"/>
      <c r="BK690" s="110"/>
      <c r="BL690" s="97"/>
      <c r="BM690" s="97"/>
      <c r="BN690" s="97"/>
      <c r="BO690" s="121"/>
      <c r="BP690" s="121"/>
      <c r="BQ690" s="121"/>
      <c r="BR690" s="121"/>
      <c r="BS690" s="121"/>
      <c r="BT690" s="121"/>
      <c r="BU690" s="121"/>
      <c r="BV690" s="121"/>
      <c r="BW690" s="121"/>
      <c r="BX690" s="121"/>
      <c r="BY690" s="121"/>
      <c r="BZ690" s="121"/>
      <c r="CA690" s="121"/>
      <c r="CB690" s="66"/>
      <c r="CC690" s="66"/>
      <c r="CD690" s="66"/>
      <c r="CE690" s="66"/>
      <c r="CF690" s="66"/>
      <c r="CG690" s="66"/>
      <c r="CH690" s="66"/>
      <c r="CI690" s="66"/>
      <c r="CJ690" s="66"/>
    </row>
    <row r="691" spans="1:88" x14ac:dyDescent="0.3">
      <c r="A691" s="27"/>
      <c r="B691" s="27"/>
      <c r="C691" s="27"/>
      <c r="D691" s="27"/>
      <c r="E691" s="27"/>
      <c r="F691" s="27"/>
      <c r="G691" s="27"/>
      <c r="H691" s="27"/>
      <c r="I691" s="27"/>
      <c r="J691" s="27"/>
      <c r="K691" s="27"/>
      <c r="L691" s="27"/>
      <c r="N691" s="27"/>
      <c r="O691" s="27"/>
      <c r="P691" s="27"/>
      <c r="Q691" s="117" t="s">
        <v>1256</v>
      </c>
      <c r="R691" s="27"/>
      <c r="S691" s="27"/>
      <c r="T691" s="27"/>
      <c r="U691" s="27"/>
      <c r="V691" s="27"/>
      <c r="W691" s="27"/>
      <c r="X691" s="27"/>
      <c r="Y691" s="27"/>
      <c r="AE691" s="27"/>
      <c r="BD691" s="97"/>
      <c r="BE691" s="108"/>
      <c r="BF691" s="108"/>
      <c r="BG691" s="97"/>
      <c r="BH691" s="97"/>
      <c r="BI691" s="97"/>
      <c r="BJ691" s="97"/>
      <c r="BK691" s="110"/>
      <c r="BL691" s="97"/>
      <c r="BM691" s="97"/>
      <c r="BN691" s="97"/>
      <c r="BO691" s="121"/>
      <c r="BP691" s="121"/>
      <c r="BQ691" s="121"/>
      <c r="BR691" s="121"/>
      <c r="BS691" s="121"/>
      <c r="BT691" s="121"/>
      <c r="BU691" s="121"/>
      <c r="BV691" s="121"/>
      <c r="BW691" s="121"/>
      <c r="BX691" s="121"/>
      <c r="BY691" s="121"/>
      <c r="BZ691" s="121"/>
      <c r="CA691" s="121"/>
      <c r="CB691" s="66"/>
      <c r="CC691" s="66"/>
      <c r="CD691" s="66"/>
      <c r="CE691" s="66"/>
      <c r="CF691" s="66"/>
      <c r="CG691" s="66"/>
      <c r="CH691" s="66"/>
      <c r="CI691" s="66"/>
      <c r="CJ691" s="66"/>
    </row>
    <row r="692" spans="1:88" ht="27.6" x14ac:dyDescent="0.3">
      <c r="A692" s="27"/>
      <c r="B692" s="27"/>
      <c r="C692" s="27"/>
      <c r="D692" s="27"/>
      <c r="E692" s="27"/>
      <c r="F692" s="27"/>
      <c r="G692" s="27"/>
      <c r="H692" s="27"/>
      <c r="I692" s="27"/>
      <c r="J692" s="27"/>
      <c r="K692" s="27"/>
      <c r="L692" s="27"/>
      <c r="N692" s="27"/>
      <c r="O692" s="27"/>
      <c r="P692" s="27"/>
      <c r="Q692" s="117" t="s">
        <v>1257</v>
      </c>
      <c r="R692" s="27"/>
      <c r="S692" s="27"/>
      <c r="T692" s="27"/>
      <c r="U692" s="27"/>
      <c r="V692" s="27"/>
      <c r="W692" s="27"/>
      <c r="X692" s="27"/>
      <c r="Y692" s="27"/>
      <c r="AE692" s="27"/>
      <c r="BD692" s="97"/>
      <c r="BE692" s="108"/>
      <c r="BF692" s="108"/>
      <c r="BG692" s="97"/>
      <c r="BH692" s="97"/>
      <c r="BI692" s="97"/>
      <c r="BJ692" s="97"/>
      <c r="BK692" s="110"/>
      <c r="BL692" s="97"/>
      <c r="BM692" s="97"/>
      <c r="BN692" s="97"/>
      <c r="BO692" s="121"/>
      <c r="BP692" s="121"/>
      <c r="BQ692" s="121"/>
      <c r="BR692" s="121"/>
      <c r="BS692" s="121"/>
      <c r="BT692" s="121"/>
      <c r="BU692" s="121"/>
      <c r="BV692" s="121"/>
      <c r="BW692" s="121"/>
      <c r="BX692" s="121"/>
      <c r="BY692" s="121"/>
      <c r="BZ692" s="121"/>
      <c r="CA692" s="121"/>
      <c r="CB692" s="66"/>
      <c r="CC692" s="66"/>
      <c r="CD692" s="66"/>
      <c r="CE692" s="66"/>
      <c r="CF692" s="66"/>
      <c r="CG692" s="66"/>
      <c r="CH692" s="66"/>
      <c r="CI692" s="66"/>
      <c r="CJ692" s="66"/>
    </row>
    <row r="693" spans="1:88" x14ac:dyDescent="0.3">
      <c r="A693" s="27"/>
      <c r="B693" s="27"/>
      <c r="C693" s="27"/>
      <c r="D693" s="27"/>
      <c r="E693" s="27"/>
      <c r="F693" s="27"/>
      <c r="G693" s="27"/>
      <c r="H693" s="27"/>
      <c r="I693" s="27"/>
      <c r="J693" s="27"/>
      <c r="K693" s="27"/>
      <c r="L693" s="27"/>
      <c r="N693" s="27"/>
      <c r="O693" s="27"/>
      <c r="P693" s="27"/>
      <c r="Q693" s="117" t="s">
        <v>1258</v>
      </c>
      <c r="R693" s="27"/>
      <c r="S693" s="27"/>
      <c r="T693" s="27"/>
      <c r="U693" s="27"/>
      <c r="V693" s="27"/>
      <c r="W693" s="27"/>
      <c r="X693" s="27"/>
      <c r="Y693" s="27"/>
      <c r="AE693" s="27"/>
      <c r="BD693" s="97"/>
      <c r="BE693" s="108"/>
      <c r="BF693" s="108"/>
      <c r="BG693" s="97"/>
      <c r="BH693" s="97"/>
      <c r="BI693" s="97"/>
      <c r="BJ693" s="97"/>
      <c r="BK693" s="110"/>
      <c r="BL693" s="97"/>
      <c r="BM693" s="97"/>
      <c r="BN693" s="97"/>
      <c r="BO693" s="121"/>
      <c r="BP693" s="121"/>
      <c r="BQ693" s="121"/>
      <c r="BR693" s="121"/>
      <c r="BS693" s="121"/>
      <c r="BT693" s="121"/>
      <c r="BU693" s="121"/>
      <c r="BV693" s="121"/>
      <c r="BW693" s="121"/>
      <c r="BX693" s="121"/>
      <c r="BY693" s="121"/>
      <c r="BZ693" s="121"/>
      <c r="CA693" s="121"/>
      <c r="CB693" s="66"/>
      <c r="CC693" s="66"/>
      <c r="CD693" s="66"/>
      <c r="CE693" s="66"/>
      <c r="CF693" s="66"/>
      <c r="CG693" s="66"/>
      <c r="CH693" s="66"/>
      <c r="CI693" s="66"/>
      <c r="CJ693" s="66"/>
    </row>
    <row r="694" spans="1:88" x14ac:dyDescent="0.3">
      <c r="A694" s="27"/>
      <c r="B694" s="27"/>
      <c r="C694" s="27"/>
      <c r="D694" s="27"/>
      <c r="E694" s="27"/>
      <c r="F694" s="27"/>
      <c r="G694" s="27"/>
      <c r="H694" s="27"/>
      <c r="I694" s="27"/>
      <c r="J694" s="27"/>
      <c r="K694" s="27"/>
      <c r="L694" s="27"/>
      <c r="N694" s="27"/>
      <c r="O694" s="27"/>
      <c r="P694" s="27"/>
      <c r="Q694" s="117" t="s">
        <v>1259</v>
      </c>
      <c r="R694" s="27"/>
      <c r="S694" s="27"/>
      <c r="T694" s="27"/>
      <c r="U694" s="27"/>
      <c r="V694" s="27"/>
      <c r="W694" s="27"/>
      <c r="X694" s="27"/>
      <c r="Y694" s="27"/>
      <c r="AE694" s="27"/>
      <c r="BD694" s="97"/>
      <c r="BE694" s="108"/>
      <c r="BF694" s="108"/>
      <c r="BG694" s="97"/>
      <c r="BH694" s="97"/>
      <c r="BI694" s="97"/>
      <c r="BJ694" s="97"/>
      <c r="BK694" s="110"/>
      <c r="BL694" s="97"/>
      <c r="BM694" s="97"/>
      <c r="BN694" s="97"/>
      <c r="BO694" s="121"/>
      <c r="BP694" s="121"/>
      <c r="BQ694" s="121"/>
      <c r="BR694" s="121"/>
      <c r="BS694" s="121"/>
      <c r="BT694" s="121"/>
      <c r="BU694" s="121"/>
      <c r="BV694" s="121"/>
      <c r="BW694" s="121"/>
      <c r="BX694" s="121"/>
      <c r="BY694" s="121"/>
      <c r="BZ694" s="121"/>
      <c r="CA694" s="121"/>
      <c r="CB694" s="66"/>
      <c r="CC694" s="66"/>
      <c r="CD694" s="66"/>
      <c r="CE694" s="66"/>
      <c r="CF694" s="66"/>
      <c r="CG694" s="66"/>
      <c r="CH694" s="66"/>
      <c r="CI694" s="66"/>
      <c r="CJ694" s="66"/>
    </row>
    <row r="695" spans="1:88" x14ac:dyDescent="0.3">
      <c r="A695" s="27"/>
      <c r="B695" s="27"/>
      <c r="C695" s="27"/>
      <c r="D695" s="27"/>
      <c r="E695" s="27"/>
      <c r="F695" s="27"/>
      <c r="G695" s="27"/>
      <c r="H695" s="27"/>
      <c r="I695" s="27"/>
      <c r="J695" s="27"/>
      <c r="K695" s="27"/>
      <c r="L695" s="27"/>
      <c r="N695" s="27"/>
      <c r="O695" s="27"/>
      <c r="P695" s="27"/>
      <c r="Q695" s="117" t="s">
        <v>1260</v>
      </c>
      <c r="R695" s="27"/>
      <c r="S695" s="27"/>
      <c r="T695" s="27"/>
      <c r="U695" s="27"/>
      <c r="V695" s="27"/>
      <c r="W695" s="27"/>
      <c r="X695" s="27"/>
      <c r="Y695" s="27"/>
      <c r="AE695" s="27"/>
      <c r="BD695" s="97"/>
      <c r="BE695" s="108"/>
      <c r="BF695" s="108"/>
      <c r="BG695" s="97"/>
      <c r="BH695" s="97"/>
      <c r="BI695" s="97"/>
      <c r="BJ695" s="97"/>
      <c r="BK695" s="110"/>
      <c r="BL695" s="97"/>
      <c r="BM695" s="97"/>
      <c r="BN695" s="97"/>
      <c r="BO695" s="121"/>
      <c r="BP695" s="121"/>
      <c r="BQ695" s="121"/>
      <c r="BR695" s="121"/>
      <c r="BS695" s="121"/>
      <c r="BT695" s="121"/>
      <c r="BU695" s="121"/>
      <c r="BV695" s="121"/>
      <c r="BW695" s="121"/>
      <c r="BX695" s="121"/>
      <c r="BY695" s="121"/>
      <c r="BZ695" s="121"/>
      <c r="CA695" s="121"/>
      <c r="CB695" s="66"/>
      <c r="CC695" s="66"/>
      <c r="CD695" s="66"/>
      <c r="CE695" s="66"/>
      <c r="CF695" s="66"/>
      <c r="CG695" s="66"/>
      <c r="CH695" s="66"/>
      <c r="CI695" s="66"/>
      <c r="CJ695" s="66"/>
    </row>
    <row r="696" spans="1:88" x14ac:dyDescent="0.3">
      <c r="A696" s="27"/>
      <c r="B696" s="27"/>
      <c r="C696" s="27"/>
      <c r="D696" s="27"/>
      <c r="E696" s="27"/>
      <c r="F696" s="27"/>
      <c r="G696" s="27"/>
      <c r="H696" s="27"/>
      <c r="I696" s="27"/>
      <c r="J696" s="27"/>
      <c r="K696" s="27"/>
      <c r="L696" s="27"/>
      <c r="N696" s="27"/>
      <c r="O696" s="27"/>
      <c r="P696" s="27"/>
      <c r="Q696" s="117" t="s">
        <v>1261</v>
      </c>
      <c r="R696" s="27"/>
      <c r="S696" s="27"/>
      <c r="T696" s="27"/>
      <c r="U696" s="27"/>
      <c r="V696" s="27"/>
      <c r="W696" s="27"/>
      <c r="X696" s="27"/>
      <c r="Y696" s="27"/>
      <c r="AE696" s="27"/>
      <c r="BD696" s="97"/>
      <c r="BE696" s="108"/>
      <c r="BF696" s="108"/>
      <c r="BG696" s="97"/>
      <c r="BH696" s="97"/>
      <c r="BI696" s="97"/>
      <c r="BJ696" s="97"/>
      <c r="BK696" s="110"/>
      <c r="BL696" s="97"/>
      <c r="BM696" s="97"/>
      <c r="BN696" s="97"/>
      <c r="BO696" s="121"/>
      <c r="BP696" s="121"/>
      <c r="BQ696" s="121"/>
      <c r="BR696" s="121"/>
      <c r="BS696" s="121"/>
      <c r="BT696" s="121"/>
      <c r="BU696" s="121"/>
      <c r="BV696" s="121"/>
      <c r="BW696" s="121"/>
      <c r="BX696" s="121"/>
      <c r="BY696" s="121"/>
      <c r="BZ696" s="121"/>
      <c r="CA696" s="121"/>
      <c r="CB696" s="66"/>
      <c r="CC696" s="66"/>
      <c r="CD696" s="66"/>
      <c r="CE696" s="66"/>
      <c r="CF696" s="66"/>
      <c r="CG696" s="66"/>
      <c r="CH696" s="66"/>
      <c r="CI696" s="66"/>
      <c r="CJ696" s="66"/>
    </row>
    <row r="697" spans="1:88" x14ac:dyDescent="0.3">
      <c r="A697" s="27"/>
      <c r="B697" s="27"/>
      <c r="C697" s="27"/>
      <c r="D697" s="27"/>
      <c r="E697" s="27"/>
      <c r="F697" s="27"/>
      <c r="G697" s="27"/>
      <c r="H697" s="27"/>
      <c r="I697" s="27"/>
      <c r="J697" s="27"/>
      <c r="K697" s="27"/>
      <c r="L697" s="27"/>
      <c r="N697" s="27"/>
      <c r="O697" s="27"/>
      <c r="P697" s="27"/>
      <c r="Q697" s="117" t="s">
        <v>1262</v>
      </c>
      <c r="R697" s="27"/>
      <c r="S697" s="27"/>
      <c r="T697" s="27"/>
      <c r="U697" s="27"/>
      <c r="V697" s="27"/>
      <c r="W697" s="27"/>
      <c r="X697" s="27"/>
      <c r="Y697" s="27"/>
      <c r="AE697" s="27"/>
      <c r="BD697" s="97"/>
      <c r="BE697" s="108"/>
      <c r="BF697" s="108"/>
      <c r="BG697" s="97"/>
      <c r="BH697" s="97"/>
      <c r="BI697" s="97"/>
      <c r="BJ697" s="97"/>
      <c r="BK697" s="110"/>
      <c r="BL697" s="97"/>
      <c r="BM697" s="97"/>
      <c r="BN697" s="97"/>
      <c r="BO697" s="121"/>
      <c r="BP697" s="121"/>
      <c r="BQ697" s="121"/>
      <c r="BR697" s="121"/>
      <c r="BS697" s="121"/>
      <c r="BT697" s="121"/>
      <c r="BU697" s="121"/>
      <c r="BV697" s="121"/>
      <c r="BW697" s="121"/>
      <c r="BX697" s="121"/>
      <c r="BY697" s="121"/>
      <c r="BZ697" s="121"/>
      <c r="CA697" s="121"/>
      <c r="CB697" s="66"/>
      <c r="CC697" s="66"/>
      <c r="CD697" s="66"/>
      <c r="CE697" s="66"/>
      <c r="CF697" s="66"/>
      <c r="CG697" s="66"/>
      <c r="CH697" s="66"/>
      <c r="CI697" s="66"/>
      <c r="CJ697" s="66"/>
    </row>
    <row r="698" spans="1:88" x14ac:dyDescent="0.3">
      <c r="A698" s="27"/>
      <c r="B698" s="27"/>
      <c r="C698" s="27"/>
      <c r="D698" s="27"/>
      <c r="E698" s="27"/>
      <c r="F698" s="27"/>
      <c r="G698" s="27"/>
      <c r="H698" s="27"/>
      <c r="I698" s="27"/>
      <c r="J698" s="27"/>
      <c r="K698" s="27"/>
      <c r="L698" s="27"/>
      <c r="N698" s="27"/>
      <c r="O698" s="27"/>
      <c r="P698" s="27"/>
      <c r="Q698" s="117" t="s">
        <v>1263</v>
      </c>
      <c r="R698" s="27"/>
      <c r="S698" s="27"/>
      <c r="T698" s="27"/>
      <c r="U698" s="27"/>
      <c r="V698" s="27"/>
      <c r="W698" s="27"/>
      <c r="X698" s="27"/>
      <c r="Y698" s="27"/>
      <c r="AE698" s="27"/>
      <c r="BD698" s="97"/>
      <c r="BE698" s="108"/>
      <c r="BF698" s="108"/>
      <c r="BG698" s="97"/>
      <c r="BH698" s="97"/>
      <c r="BI698" s="97"/>
      <c r="BJ698" s="97"/>
      <c r="BK698" s="110"/>
      <c r="BL698" s="97"/>
      <c r="BM698" s="97"/>
      <c r="BN698" s="97"/>
      <c r="BO698" s="121"/>
      <c r="BP698" s="121"/>
      <c r="BQ698" s="121"/>
      <c r="BR698" s="121"/>
      <c r="BS698" s="121"/>
      <c r="BT698" s="121"/>
      <c r="BU698" s="121"/>
      <c r="BV698" s="121"/>
      <c r="BW698" s="121"/>
      <c r="BX698" s="121"/>
      <c r="BY698" s="121"/>
      <c r="BZ698" s="121"/>
      <c r="CA698" s="121"/>
      <c r="CB698" s="66"/>
      <c r="CC698" s="66"/>
      <c r="CD698" s="66"/>
      <c r="CE698" s="66"/>
      <c r="CF698" s="66"/>
      <c r="CG698" s="66"/>
      <c r="CH698" s="66"/>
      <c r="CI698" s="66"/>
      <c r="CJ698" s="66"/>
    </row>
    <row r="699" spans="1:88" x14ac:dyDescent="0.3">
      <c r="A699" s="27"/>
      <c r="B699" s="27"/>
      <c r="C699" s="27"/>
      <c r="D699" s="27"/>
      <c r="E699" s="27"/>
      <c r="F699" s="27"/>
      <c r="G699" s="27"/>
      <c r="H699" s="27"/>
      <c r="I699" s="27"/>
      <c r="J699" s="27"/>
      <c r="K699" s="27"/>
      <c r="L699" s="27"/>
      <c r="N699" s="27"/>
      <c r="O699" s="27"/>
      <c r="P699" s="27"/>
      <c r="Q699" s="117" t="s">
        <v>1264</v>
      </c>
      <c r="R699" s="27"/>
      <c r="S699" s="27"/>
      <c r="T699" s="27"/>
      <c r="U699" s="27"/>
      <c r="V699" s="27"/>
      <c r="W699" s="27"/>
      <c r="X699" s="27"/>
      <c r="Y699" s="27"/>
      <c r="AE699" s="27"/>
      <c r="BD699" s="97"/>
      <c r="BE699" s="108"/>
      <c r="BF699" s="108"/>
      <c r="BG699" s="97"/>
      <c r="BH699" s="97"/>
      <c r="BI699" s="97"/>
      <c r="BJ699" s="97"/>
      <c r="BK699" s="110"/>
      <c r="BL699" s="97"/>
      <c r="BM699" s="97"/>
      <c r="BN699" s="97"/>
      <c r="BO699" s="121"/>
      <c r="BP699" s="121"/>
      <c r="BQ699" s="121"/>
      <c r="BR699" s="121"/>
      <c r="BS699" s="121"/>
      <c r="BT699" s="121"/>
      <c r="BU699" s="121"/>
      <c r="BV699" s="121"/>
      <c r="BW699" s="121"/>
      <c r="BX699" s="121"/>
      <c r="BY699" s="121"/>
      <c r="BZ699" s="121"/>
      <c r="CA699" s="121"/>
      <c r="CB699" s="66"/>
      <c r="CC699" s="66"/>
      <c r="CD699" s="66"/>
      <c r="CE699" s="66"/>
      <c r="CF699" s="66"/>
      <c r="CG699" s="66"/>
      <c r="CH699" s="66"/>
      <c r="CI699" s="66"/>
      <c r="CJ699" s="66"/>
    </row>
    <row r="700" spans="1:88" x14ac:dyDescent="0.3">
      <c r="A700" s="27"/>
      <c r="B700" s="27"/>
      <c r="C700" s="27"/>
      <c r="D700" s="27"/>
      <c r="E700" s="27"/>
      <c r="F700" s="27"/>
      <c r="G700" s="27"/>
      <c r="H700" s="27"/>
      <c r="I700" s="27"/>
      <c r="J700" s="27"/>
      <c r="K700" s="27"/>
      <c r="L700" s="27"/>
      <c r="N700" s="27"/>
      <c r="O700" s="27"/>
      <c r="P700" s="27"/>
      <c r="Q700" s="117" t="s">
        <v>1265</v>
      </c>
      <c r="R700" s="27"/>
      <c r="S700" s="27"/>
      <c r="T700" s="27"/>
      <c r="U700" s="27"/>
      <c r="V700" s="27"/>
      <c r="W700" s="27"/>
      <c r="X700" s="27"/>
      <c r="Y700" s="27"/>
      <c r="AE700" s="27"/>
      <c r="BD700" s="97"/>
      <c r="BE700" s="108"/>
      <c r="BF700" s="108"/>
      <c r="BG700" s="97"/>
      <c r="BH700" s="97"/>
      <c r="BI700" s="97"/>
      <c r="BJ700" s="97"/>
      <c r="BK700" s="110"/>
      <c r="BL700" s="97"/>
      <c r="BM700" s="97"/>
      <c r="BN700" s="97"/>
      <c r="BO700" s="121"/>
      <c r="BP700" s="121"/>
      <c r="BQ700" s="121"/>
      <c r="BR700" s="121"/>
      <c r="BS700" s="121"/>
      <c r="BT700" s="121"/>
      <c r="BU700" s="121"/>
      <c r="BV700" s="121"/>
      <c r="BW700" s="121"/>
      <c r="BX700" s="121"/>
      <c r="BY700" s="121"/>
      <c r="BZ700" s="121"/>
      <c r="CA700" s="121"/>
      <c r="CB700" s="66"/>
      <c r="CC700" s="66"/>
      <c r="CD700" s="66"/>
      <c r="CE700" s="66"/>
      <c r="CF700" s="66"/>
      <c r="CG700" s="66"/>
      <c r="CH700" s="66"/>
      <c r="CI700" s="66"/>
      <c r="CJ700" s="66"/>
    </row>
    <row r="701" spans="1:88" x14ac:dyDescent="0.3">
      <c r="A701" s="27"/>
      <c r="B701" s="27"/>
      <c r="C701" s="27"/>
      <c r="D701" s="27"/>
      <c r="E701" s="27"/>
      <c r="F701" s="27"/>
      <c r="G701" s="27"/>
      <c r="H701" s="27"/>
      <c r="I701" s="27"/>
      <c r="J701" s="27"/>
      <c r="K701" s="27"/>
      <c r="L701" s="27"/>
      <c r="N701" s="27"/>
      <c r="O701" s="27"/>
      <c r="P701" s="27"/>
      <c r="Q701" s="117" t="s">
        <v>1266</v>
      </c>
      <c r="R701" s="27"/>
      <c r="S701" s="27"/>
      <c r="T701" s="27"/>
      <c r="U701" s="27"/>
      <c r="V701" s="27"/>
      <c r="W701" s="27"/>
      <c r="X701" s="27"/>
      <c r="Y701" s="27"/>
      <c r="AE701" s="27"/>
      <c r="BD701" s="97"/>
      <c r="BE701" s="108"/>
      <c r="BF701" s="108"/>
      <c r="BG701" s="97"/>
      <c r="BH701" s="97"/>
      <c r="BI701" s="97"/>
      <c r="BJ701" s="97"/>
      <c r="BK701" s="110"/>
      <c r="BL701" s="97"/>
      <c r="BM701" s="97"/>
      <c r="BN701" s="97"/>
      <c r="BO701" s="121"/>
      <c r="BP701" s="121"/>
      <c r="BQ701" s="121"/>
      <c r="BR701" s="121"/>
      <c r="BS701" s="121"/>
      <c r="BT701" s="121"/>
      <c r="BU701" s="121"/>
      <c r="BV701" s="121"/>
      <c r="BW701" s="121"/>
      <c r="BX701" s="121"/>
      <c r="BY701" s="121"/>
      <c r="BZ701" s="121"/>
      <c r="CA701" s="121"/>
      <c r="CB701" s="66"/>
      <c r="CC701" s="66"/>
      <c r="CD701" s="66"/>
      <c r="CE701" s="66"/>
      <c r="CF701" s="66"/>
      <c r="CG701" s="66"/>
      <c r="CH701" s="66"/>
      <c r="CI701" s="66"/>
      <c r="CJ701" s="66"/>
    </row>
    <row r="702" spans="1:88" x14ac:dyDescent="0.3">
      <c r="A702" s="27"/>
      <c r="B702" s="27"/>
      <c r="C702" s="27"/>
      <c r="D702" s="27"/>
      <c r="E702" s="27"/>
      <c r="F702" s="27"/>
      <c r="G702" s="27"/>
      <c r="H702" s="27"/>
      <c r="I702" s="27"/>
      <c r="J702" s="27"/>
      <c r="K702" s="27"/>
      <c r="L702" s="27"/>
      <c r="N702" s="27"/>
      <c r="O702" s="27"/>
      <c r="P702" s="27"/>
      <c r="Q702" s="117" t="s">
        <v>1267</v>
      </c>
      <c r="R702" s="27"/>
      <c r="S702" s="27"/>
      <c r="T702" s="27"/>
      <c r="U702" s="27"/>
      <c r="V702" s="27"/>
      <c r="W702" s="27"/>
      <c r="X702" s="27"/>
      <c r="Y702" s="27"/>
      <c r="AE702" s="27"/>
      <c r="BD702" s="97"/>
      <c r="BE702" s="108"/>
      <c r="BF702" s="108"/>
      <c r="BG702" s="97"/>
      <c r="BH702" s="97"/>
      <c r="BI702" s="97"/>
      <c r="BJ702" s="97"/>
      <c r="BK702" s="110"/>
      <c r="BL702" s="97"/>
      <c r="BM702" s="97"/>
      <c r="BN702" s="97"/>
      <c r="BO702" s="121"/>
      <c r="BP702" s="121"/>
      <c r="BQ702" s="121"/>
      <c r="BR702" s="121"/>
      <c r="BS702" s="121"/>
      <c r="BT702" s="121"/>
      <c r="BU702" s="121"/>
      <c r="BV702" s="121"/>
      <c r="BW702" s="121"/>
      <c r="BX702" s="121"/>
      <c r="BY702" s="121"/>
      <c r="BZ702" s="121"/>
      <c r="CA702" s="121"/>
      <c r="CB702" s="66"/>
      <c r="CC702" s="66"/>
      <c r="CD702" s="66"/>
      <c r="CE702" s="66"/>
      <c r="CF702" s="66"/>
      <c r="CG702" s="66"/>
      <c r="CH702" s="66"/>
      <c r="CI702" s="66"/>
      <c r="CJ702" s="66"/>
    </row>
    <row r="703" spans="1:88" ht="27.6" x14ac:dyDescent="0.3">
      <c r="A703" s="27"/>
      <c r="B703" s="27"/>
      <c r="C703" s="27"/>
      <c r="D703" s="27"/>
      <c r="E703" s="27"/>
      <c r="F703" s="27"/>
      <c r="G703" s="27"/>
      <c r="H703" s="27"/>
      <c r="I703" s="27"/>
      <c r="J703" s="27"/>
      <c r="K703" s="27"/>
      <c r="L703" s="27"/>
      <c r="N703" s="27"/>
      <c r="O703" s="27"/>
      <c r="P703" s="27"/>
      <c r="Q703" s="117" t="s">
        <v>1268</v>
      </c>
      <c r="R703" s="27"/>
      <c r="S703" s="27"/>
      <c r="T703" s="27"/>
      <c r="U703" s="27"/>
      <c r="V703" s="27"/>
      <c r="W703" s="27"/>
      <c r="X703" s="27"/>
      <c r="Y703" s="27"/>
      <c r="AE703" s="27"/>
      <c r="BD703" s="97"/>
      <c r="BE703" s="108"/>
      <c r="BF703" s="108"/>
      <c r="BG703" s="97"/>
      <c r="BH703" s="97"/>
      <c r="BI703" s="97"/>
      <c r="BJ703" s="97"/>
      <c r="BK703" s="110"/>
      <c r="BL703" s="97"/>
      <c r="BM703" s="97"/>
      <c r="BN703" s="97"/>
      <c r="BO703" s="121"/>
      <c r="BP703" s="121"/>
      <c r="BQ703" s="121"/>
      <c r="BR703" s="121"/>
      <c r="BS703" s="121"/>
      <c r="BT703" s="121"/>
      <c r="BU703" s="121"/>
      <c r="BV703" s="121"/>
      <c r="BW703" s="121"/>
      <c r="BX703" s="121"/>
      <c r="BY703" s="121"/>
      <c r="BZ703" s="121"/>
      <c r="CA703" s="121"/>
      <c r="CB703" s="66"/>
      <c r="CC703" s="66"/>
      <c r="CD703" s="66"/>
      <c r="CE703" s="66"/>
      <c r="CF703" s="66"/>
      <c r="CG703" s="66"/>
      <c r="CH703" s="66"/>
      <c r="CI703" s="66"/>
      <c r="CJ703" s="66"/>
    </row>
    <row r="704" spans="1:88" x14ac:dyDescent="0.3">
      <c r="A704" s="27"/>
      <c r="B704" s="27"/>
      <c r="C704" s="27"/>
      <c r="D704" s="27"/>
      <c r="E704" s="27"/>
      <c r="F704" s="27"/>
      <c r="G704" s="27"/>
      <c r="H704" s="27"/>
      <c r="I704" s="27"/>
      <c r="J704" s="27"/>
      <c r="K704" s="27"/>
      <c r="L704" s="27"/>
      <c r="N704" s="27"/>
      <c r="O704" s="27"/>
      <c r="P704" s="27"/>
      <c r="Q704" s="117" t="s">
        <v>1269</v>
      </c>
      <c r="R704" s="27"/>
      <c r="S704" s="27"/>
      <c r="T704" s="27"/>
      <c r="U704" s="27"/>
      <c r="V704" s="27"/>
      <c r="W704" s="27"/>
      <c r="X704" s="27"/>
      <c r="Y704" s="27"/>
      <c r="AE704" s="27"/>
      <c r="BD704" s="97"/>
      <c r="BE704" s="108"/>
      <c r="BF704" s="108"/>
      <c r="BG704" s="97"/>
      <c r="BH704" s="97"/>
      <c r="BI704" s="97"/>
      <c r="BJ704" s="97"/>
      <c r="BK704" s="110"/>
      <c r="BL704" s="97"/>
      <c r="BM704" s="97"/>
      <c r="BN704" s="97"/>
      <c r="BO704" s="121"/>
      <c r="BP704" s="121"/>
      <c r="BQ704" s="121"/>
      <c r="BR704" s="121"/>
      <c r="BS704" s="121"/>
      <c r="BT704" s="121"/>
      <c r="BU704" s="121"/>
      <c r="BV704" s="121"/>
      <c r="BW704" s="121"/>
      <c r="BX704" s="121"/>
      <c r="BY704" s="121"/>
      <c r="BZ704" s="121"/>
      <c r="CA704" s="121"/>
      <c r="CB704" s="66"/>
      <c r="CC704" s="66"/>
      <c r="CD704" s="66"/>
      <c r="CE704" s="66"/>
      <c r="CF704" s="66"/>
      <c r="CG704" s="66"/>
      <c r="CH704" s="66"/>
      <c r="CI704" s="66"/>
      <c r="CJ704" s="66"/>
    </row>
    <row r="705" spans="1:88" x14ac:dyDescent="0.3">
      <c r="A705" s="27"/>
      <c r="B705" s="27"/>
      <c r="C705" s="27"/>
      <c r="D705" s="27"/>
      <c r="E705" s="27"/>
      <c r="F705" s="27"/>
      <c r="G705" s="27"/>
      <c r="H705" s="27"/>
      <c r="I705" s="27"/>
      <c r="J705" s="27"/>
      <c r="K705" s="27"/>
      <c r="L705" s="27"/>
      <c r="N705" s="27"/>
      <c r="O705" s="27"/>
      <c r="P705" s="27"/>
      <c r="Q705" s="117" t="s">
        <v>1270</v>
      </c>
      <c r="R705" s="27"/>
      <c r="S705" s="27"/>
      <c r="T705" s="27"/>
      <c r="U705" s="27"/>
      <c r="V705" s="27"/>
      <c r="W705" s="27"/>
      <c r="X705" s="27"/>
      <c r="Y705" s="27"/>
      <c r="AE705" s="27"/>
      <c r="BD705" s="97"/>
      <c r="BE705" s="108"/>
      <c r="BF705" s="108"/>
      <c r="BG705" s="97"/>
      <c r="BH705" s="97"/>
      <c r="BI705" s="97"/>
      <c r="BJ705" s="97"/>
      <c r="BK705" s="110"/>
      <c r="BL705" s="97"/>
      <c r="BM705" s="97"/>
      <c r="BN705" s="97"/>
      <c r="BO705" s="121"/>
      <c r="BP705" s="121"/>
      <c r="BQ705" s="121"/>
      <c r="BR705" s="121"/>
      <c r="BS705" s="121"/>
      <c r="BT705" s="121"/>
      <c r="BU705" s="121"/>
      <c r="BV705" s="121"/>
      <c r="BW705" s="121"/>
      <c r="BX705" s="121"/>
      <c r="BY705" s="121"/>
      <c r="BZ705" s="121"/>
      <c r="CA705" s="121"/>
      <c r="CB705" s="66"/>
      <c r="CC705" s="66"/>
      <c r="CD705" s="66"/>
      <c r="CE705" s="66"/>
      <c r="CF705" s="66"/>
      <c r="CG705" s="66"/>
      <c r="CH705" s="66"/>
      <c r="CI705" s="66"/>
      <c r="CJ705" s="66"/>
    </row>
    <row r="706" spans="1:88" x14ac:dyDescent="0.3">
      <c r="A706" s="27"/>
      <c r="B706" s="27"/>
      <c r="C706" s="27"/>
      <c r="D706" s="27"/>
      <c r="E706" s="27"/>
      <c r="F706" s="27"/>
      <c r="G706" s="27"/>
      <c r="H706" s="27"/>
      <c r="I706" s="27"/>
      <c r="J706" s="27"/>
      <c r="K706" s="27"/>
      <c r="L706" s="27"/>
      <c r="N706" s="27"/>
      <c r="O706" s="27"/>
      <c r="P706" s="27"/>
      <c r="Q706" s="117" t="s">
        <v>1271</v>
      </c>
      <c r="R706" s="27"/>
      <c r="S706" s="27"/>
      <c r="T706" s="27"/>
      <c r="U706" s="27"/>
      <c r="V706" s="27"/>
      <c r="W706" s="27"/>
      <c r="X706" s="27"/>
      <c r="Y706" s="27"/>
      <c r="AE706" s="27"/>
      <c r="BD706" s="97"/>
      <c r="BE706" s="108"/>
      <c r="BF706" s="108"/>
      <c r="BG706" s="97"/>
      <c r="BH706" s="97"/>
      <c r="BI706" s="97"/>
      <c r="BJ706" s="97"/>
      <c r="BK706" s="110"/>
      <c r="BL706" s="97"/>
      <c r="BM706" s="97"/>
      <c r="BN706" s="97"/>
      <c r="BO706" s="121"/>
      <c r="BP706" s="121"/>
      <c r="BQ706" s="121"/>
      <c r="BR706" s="121"/>
      <c r="BS706" s="121"/>
      <c r="BT706" s="121"/>
      <c r="BU706" s="121"/>
      <c r="BV706" s="121"/>
      <c r="BW706" s="121"/>
      <c r="BX706" s="121"/>
      <c r="BY706" s="121"/>
      <c r="BZ706" s="121"/>
      <c r="CA706" s="121"/>
      <c r="CB706" s="66"/>
      <c r="CC706" s="66"/>
      <c r="CD706" s="66"/>
      <c r="CE706" s="66"/>
      <c r="CF706" s="66"/>
      <c r="CG706" s="66"/>
      <c r="CH706" s="66"/>
      <c r="CI706" s="66"/>
      <c r="CJ706" s="66"/>
    </row>
    <row r="707" spans="1:88" x14ac:dyDescent="0.3">
      <c r="A707" s="27"/>
      <c r="B707" s="27"/>
      <c r="C707" s="27"/>
      <c r="D707" s="27"/>
      <c r="E707" s="27"/>
      <c r="F707" s="27"/>
      <c r="G707" s="27"/>
      <c r="H707" s="27"/>
      <c r="I707" s="27"/>
      <c r="J707" s="27"/>
      <c r="K707" s="27"/>
      <c r="L707" s="27"/>
      <c r="N707" s="27"/>
      <c r="O707" s="27"/>
      <c r="P707" s="27"/>
      <c r="Q707" s="117" t="s">
        <v>1272</v>
      </c>
      <c r="R707" s="27"/>
      <c r="S707" s="27"/>
      <c r="T707" s="27"/>
      <c r="U707" s="27"/>
      <c r="V707" s="27"/>
      <c r="W707" s="27"/>
      <c r="X707" s="27"/>
      <c r="Y707" s="27"/>
      <c r="AE707" s="27"/>
      <c r="BD707" s="97"/>
      <c r="BE707" s="108"/>
      <c r="BF707" s="108"/>
      <c r="BG707" s="97"/>
      <c r="BH707" s="97"/>
      <c r="BI707" s="97"/>
      <c r="BJ707" s="97"/>
      <c r="BK707" s="110"/>
      <c r="BL707" s="97"/>
      <c r="BM707" s="97"/>
      <c r="BN707" s="97"/>
      <c r="BO707" s="121"/>
      <c r="BP707" s="121"/>
      <c r="BQ707" s="121"/>
      <c r="BR707" s="121"/>
      <c r="BS707" s="121"/>
      <c r="BT707" s="121"/>
      <c r="BU707" s="121"/>
      <c r="BV707" s="121"/>
      <c r="BW707" s="121"/>
      <c r="BX707" s="121"/>
      <c r="BY707" s="121"/>
      <c r="BZ707" s="121"/>
      <c r="CA707" s="121"/>
      <c r="CB707" s="66"/>
      <c r="CC707" s="66"/>
      <c r="CD707" s="66"/>
      <c r="CE707" s="66"/>
      <c r="CF707" s="66"/>
      <c r="CG707" s="66"/>
      <c r="CH707" s="66"/>
      <c r="CI707" s="66"/>
      <c r="CJ707" s="66"/>
    </row>
    <row r="708" spans="1:88" x14ac:dyDescent="0.3">
      <c r="A708" s="27"/>
      <c r="B708" s="27"/>
      <c r="C708" s="27"/>
      <c r="D708" s="27"/>
      <c r="E708" s="27"/>
      <c r="F708" s="27"/>
      <c r="G708" s="27"/>
      <c r="H708" s="27"/>
      <c r="I708" s="27"/>
      <c r="J708" s="27"/>
      <c r="K708" s="27"/>
      <c r="L708" s="27"/>
      <c r="N708" s="27"/>
      <c r="O708" s="27"/>
      <c r="P708" s="27"/>
      <c r="Q708" s="117" t="s">
        <v>1273</v>
      </c>
      <c r="R708" s="27"/>
      <c r="S708" s="27"/>
      <c r="T708" s="27"/>
      <c r="U708" s="27"/>
      <c r="V708" s="27"/>
      <c r="W708" s="27"/>
      <c r="X708" s="27"/>
      <c r="Y708" s="27"/>
      <c r="AE708" s="27"/>
      <c r="BD708" s="97"/>
      <c r="BE708" s="108"/>
      <c r="BF708" s="108"/>
      <c r="BG708" s="97"/>
      <c r="BH708" s="97"/>
      <c r="BI708" s="97"/>
      <c r="BJ708" s="97"/>
      <c r="BK708" s="110"/>
      <c r="BL708" s="97"/>
      <c r="BM708" s="97"/>
      <c r="BN708" s="97"/>
      <c r="BO708" s="121"/>
      <c r="BP708" s="121"/>
      <c r="BQ708" s="121"/>
      <c r="BR708" s="121"/>
      <c r="BS708" s="121"/>
      <c r="BT708" s="121"/>
      <c r="BU708" s="121"/>
      <c r="BV708" s="121"/>
      <c r="BW708" s="121"/>
      <c r="BX708" s="121"/>
      <c r="BY708" s="121"/>
      <c r="BZ708" s="121"/>
      <c r="CA708" s="121"/>
      <c r="CB708" s="66"/>
      <c r="CC708" s="66"/>
      <c r="CD708" s="66"/>
      <c r="CE708" s="66"/>
      <c r="CF708" s="66"/>
      <c r="CG708" s="66"/>
      <c r="CH708" s="66"/>
      <c r="CI708" s="66"/>
      <c r="CJ708" s="66"/>
    </row>
    <row r="709" spans="1:88" x14ac:dyDescent="0.3">
      <c r="A709" s="27"/>
      <c r="B709" s="27"/>
      <c r="C709" s="27"/>
      <c r="D709" s="27"/>
      <c r="E709" s="27"/>
      <c r="F709" s="27"/>
      <c r="G709" s="27"/>
      <c r="H709" s="27"/>
      <c r="I709" s="27"/>
      <c r="J709" s="27"/>
      <c r="K709" s="27"/>
      <c r="L709" s="27"/>
      <c r="N709" s="27"/>
      <c r="O709" s="27"/>
      <c r="P709" s="27"/>
      <c r="Q709" s="117" t="s">
        <v>1274</v>
      </c>
      <c r="R709" s="27"/>
      <c r="S709" s="27"/>
      <c r="T709" s="27"/>
      <c r="U709" s="27"/>
      <c r="V709" s="27"/>
      <c r="W709" s="27"/>
      <c r="X709" s="27"/>
      <c r="Y709" s="27"/>
      <c r="AE709" s="27"/>
      <c r="BD709" s="97"/>
      <c r="BE709" s="108"/>
      <c r="BF709" s="108"/>
      <c r="BG709" s="97"/>
      <c r="BH709" s="97"/>
      <c r="BI709" s="97"/>
      <c r="BJ709" s="97"/>
      <c r="BK709" s="110"/>
      <c r="BL709" s="97"/>
      <c r="BM709" s="97"/>
      <c r="BN709" s="97"/>
      <c r="BO709" s="121"/>
      <c r="BP709" s="121"/>
      <c r="BQ709" s="121"/>
      <c r="BR709" s="121"/>
      <c r="BS709" s="121"/>
      <c r="BT709" s="121"/>
      <c r="BU709" s="121"/>
      <c r="BV709" s="121"/>
      <c r="BW709" s="121"/>
      <c r="BX709" s="121"/>
      <c r="BY709" s="121"/>
      <c r="BZ709" s="121"/>
      <c r="CA709" s="121"/>
      <c r="CB709" s="66"/>
      <c r="CC709" s="66"/>
      <c r="CD709" s="66"/>
      <c r="CE709" s="66"/>
      <c r="CF709" s="66"/>
      <c r="CG709" s="66"/>
      <c r="CH709" s="66"/>
      <c r="CI709" s="66"/>
      <c r="CJ709" s="66"/>
    </row>
    <row r="710" spans="1:88" x14ac:dyDescent="0.3">
      <c r="A710" s="27"/>
      <c r="B710" s="27"/>
      <c r="C710" s="27"/>
      <c r="D710" s="27"/>
      <c r="E710" s="27"/>
      <c r="F710" s="27"/>
      <c r="G710" s="27"/>
      <c r="H710" s="27"/>
      <c r="I710" s="27"/>
      <c r="J710" s="27"/>
      <c r="K710" s="27"/>
      <c r="L710" s="27"/>
      <c r="N710" s="27"/>
      <c r="O710" s="27"/>
      <c r="P710" s="27"/>
      <c r="Q710" s="117" t="s">
        <v>1275</v>
      </c>
      <c r="R710" s="27"/>
      <c r="S710" s="27"/>
      <c r="T710" s="27"/>
      <c r="U710" s="27"/>
      <c r="V710" s="27"/>
      <c r="W710" s="27"/>
      <c r="X710" s="27"/>
      <c r="Y710" s="27"/>
      <c r="AE710" s="27"/>
      <c r="BD710" s="97"/>
      <c r="BE710" s="108"/>
      <c r="BF710" s="108"/>
      <c r="BG710" s="97"/>
      <c r="BH710" s="97"/>
      <c r="BI710" s="97"/>
      <c r="BJ710" s="97"/>
      <c r="BK710" s="110"/>
      <c r="BL710" s="97"/>
      <c r="BM710" s="97"/>
      <c r="BN710" s="97"/>
      <c r="BO710" s="121"/>
      <c r="BP710" s="121"/>
      <c r="BQ710" s="121"/>
      <c r="BR710" s="121"/>
      <c r="BS710" s="121"/>
      <c r="BT710" s="121"/>
      <c r="BU710" s="121"/>
      <c r="BV710" s="121"/>
      <c r="BW710" s="121"/>
      <c r="BX710" s="121"/>
      <c r="BY710" s="121"/>
      <c r="BZ710" s="121"/>
      <c r="CA710" s="121"/>
      <c r="CB710" s="66"/>
      <c r="CC710" s="66"/>
      <c r="CD710" s="66"/>
      <c r="CE710" s="66"/>
      <c r="CF710" s="66"/>
      <c r="CG710" s="66"/>
      <c r="CH710" s="66"/>
      <c r="CI710" s="66"/>
      <c r="CJ710" s="66"/>
    </row>
    <row r="711" spans="1:88" x14ac:dyDescent="0.3">
      <c r="A711" s="27"/>
      <c r="B711" s="27"/>
      <c r="C711" s="27"/>
      <c r="D711" s="27"/>
      <c r="E711" s="27"/>
      <c r="F711" s="27"/>
      <c r="G711" s="27"/>
      <c r="H711" s="27"/>
      <c r="I711" s="27"/>
      <c r="J711" s="27"/>
      <c r="K711" s="27"/>
      <c r="L711" s="27"/>
      <c r="N711" s="27"/>
      <c r="O711" s="27"/>
      <c r="P711" s="27"/>
      <c r="Q711" s="117" t="s">
        <v>1276</v>
      </c>
      <c r="R711" s="27"/>
      <c r="S711" s="27"/>
      <c r="T711" s="27"/>
      <c r="U711" s="27"/>
      <c r="V711" s="27"/>
      <c r="W711" s="27"/>
      <c r="X711" s="27"/>
      <c r="Y711" s="27"/>
      <c r="AE711" s="27"/>
      <c r="BD711" s="97"/>
      <c r="BE711" s="108"/>
      <c r="BF711" s="108"/>
      <c r="BG711" s="97"/>
      <c r="BH711" s="97"/>
      <c r="BI711" s="97"/>
      <c r="BJ711" s="97"/>
      <c r="BK711" s="110"/>
      <c r="BL711" s="97"/>
      <c r="BM711" s="97"/>
      <c r="BN711" s="97"/>
      <c r="BO711" s="121"/>
      <c r="BP711" s="121"/>
      <c r="BQ711" s="121"/>
      <c r="BR711" s="121"/>
      <c r="BS711" s="121"/>
      <c r="BT711" s="121"/>
      <c r="BU711" s="121"/>
      <c r="BV711" s="121"/>
      <c r="BW711" s="121"/>
      <c r="BX711" s="121"/>
      <c r="BY711" s="121"/>
      <c r="BZ711" s="121"/>
      <c r="CA711" s="121"/>
      <c r="CB711" s="66"/>
      <c r="CC711" s="66"/>
      <c r="CD711" s="66"/>
      <c r="CE711" s="66"/>
      <c r="CF711" s="66"/>
      <c r="CG711" s="66"/>
      <c r="CH711" s="66"/>
      <c r="CI711" s="66"/>
      <c r="CJ711" s="66"/>
    </row>
    <row r="712" spans="1:88" x14ac:dyDescent="0.3">
      <c r="A712" s="27"/>
      <c r="B712" s="27"/>
      <c r="C712" s="27"/>
      <c r="D712" s="27"/>
      <c r="E712" s="27"/>
      <c r="F712" s="27"/>
      <c r="G712" s="27"/>
      <c r="H712" s="27"/>
      <c r="I712" s="27"/>
      <c r="J712" s="27"/>
      <c r="K712" s="27"/>
      <c r="L712" s="27"/>
      <c r="N712" s="27"/>
      <c r="O712" s="27"/>
      <c r="P712" s="27"/>
      <c r="Q712" s="117" t="s">
        <v>1277</v>
      </c>
      <c r="R712" s="27"/>
      <c r="S712" s="27"/>
      <c r="T712" s="27"/>
      <c r="U712" s="27"/>
      <c r="V712" s="27"/>
      <c r="W712" s="27"/>
      <c r="X712" s="27"/>
      <c r="Y712" s="27"/>
      <c r="AE712" s="27"/>
      <c r="BD712" s="97"/>
      <c r="BE712" s="108"/>
      <c r="BF712" s="108"/>
      <c r="BG712" s="97"/>
      <c r="BH712" s="97"/>
      <c r="BI712" s="97"/>
      <c r="BJ712" s="97"/>
      <c r="BK712" s="110"/>
      <c r="BL712" s="97"/>
      <c r="BM712" s="97"/>
      <c r="BN712" s="97"/>
      <c r="BO712" s="121"/>
      <c r="BP712" s="121"/>
      <c r="BQ712" s="121"/>
      <c r="BR712" s="121"/>
      <c r="BS712" s="121"/>
      <c r="BT712" s="121"/>
      <c r="BU712" s="121"/>
      <c r="BV712" s="121"/>
      <c r="BW712" s="121"/>
      <c r="BX712" s="121"/>
      <c r="BY712" s="121"/>
      <c r="BZ712" s="121"/>
      <c r="CA712" s="121"/>
      <c r="CB712" s="66"/>
      <c r="CC712" s="66"/>
      <c r="CD712" s="66"/>
      <c r="CE712" s="66"/>
      <c r="CF712" s="66"/>
      <c r="CG712" s="66"/>
      <c r="CH712" s="66"/>
      <c r="CI712" s="66"/>
      <c r="CJ712" s="66"/>
    </row>
    <row r="713" spans="1:88" x14ac:dyDescent="0.3">
      <c r="A713" s="27"/>
      <c r="B713" s="27"/>
      <c r="C713" s="27"/>
      <c r="D713" s="27"/>
      <c r="E713" s="27"/>
      <c r="F713" s="27"/>
      <c r="G713" s="27"/>
      <c r="H713" s="27"/>
      <c r="I713" s="27"/>
      <c r="J713" s="27"/>
      <c r="K713" s="27"/>
      <c r="L713" s="27"/>
      <c r="N713" s="27"/>
      <c r="O713" s="27"/>
      <c r="P713" s="27"/>
      <c r="Q713" s="117" t="s">
        <v>1278</v>
      </c>
      <c r="R713" s="27"/>
      <c r="S713" s="27"/>
      <c r="T713" s="27"/>
      <c r="U713" s="27"/>
      <c r="V713" s="27"/>
      <c r="W713" s="27"/>
      <c r="X713" s="27"/>
      <c r="Y713" s="27"/>
      <c r="AE713" s="27"/>
      <c r="BD713" s="97"/>
      <c r="BE713" s="108"/>
      <c r="BF713" s="108"/>
      <c r="BG713" s="97"/>
      <c r="BH713" s="97"/>
      <c r="BI713" s="97"/>
      <c r="BJ713" s="97"/>
      <c r="BK713" s="110"/>
      <c r="BL713" s="97"/>
      <c r="BM713" s="97"/>
      <c r="BN713" s="97"/>
      <c r="BO713" s="121"/>
      <c r="BP713" s="121"/>
      <c r="BQ713" s="121"/>
      <c r="BR713" s="121"/>
      <c r="BS713" s="121"/>
      <c r="BT713" s="121"/>
      <c r="BU713" s="121"/>
      <c r="BV713" s="121"/>
      <c r="BW713" s="121"/>
      <c r="BX713" s="121"/>
      <c r="BY713" s="121"/>
      <c r="BZ713" s="121"/>
      <c r="CA713" s="121"/>
      <c r="CB713" s="66"/>
      <c r="CC713" s="66"/>
      <c r="CD713" s="66"/>
      <c r="CE713" s="66"/>
      <c r="CF713" s="66"/>
      <c r="CG713" s="66"/>
      <c r="CH713" s="66"/>
      <c r="CI713" s="66"/>
      <c r="CJ713" s="66"/>
    </row>
    <row r="714" spans="1:88" x14ac:dyDescent="0.3">
      <c r="A714" s="27"/>
      <c r="B714" s="27"/>
      <c r="C714" s="27"/>
      <c r="D714" s="27"/>
      <c r="E714" s="27"/>
      <c r="F714" s="27"/>
      <c r="G714" s="27"/>
      <c r="H714" s="27"/>
      <c r="I714" s="27"/>
      <c r="J714" s="27"/>
      <c r="K714" s="27"/>
      <c r="L714" s="27"/>
      <c r="N714" s="27"/>
      <c r="O714" s="27"/>
      <c r="P714" s="27"/>
      <c r="Q714" s="117" t="s">
        <v>1279</v>
      </c>
      <c r="R714" s="27"/>
      <c r="S714" s="27"/>
      <c r="T714" s="27"/>
      <c r="U714" s="27"/>
      <c r="V714" s="27"/>
      <c r="W714" s="27"/>
      <c r="X714" s="27"/>
      <c r="Y714" s="27"/>
      <c r="AE714" s="27"/>
      <c r="BD714" s="97"/>
      <c r="BE714" s="108"/>
      <c r="BF714" s="108"/>
      <c r="BG714" s="97"/>
      <c r="BH714" s="97"/>
      <c r="BI714" s="97"/>
      <c r="BJ714" s="97"/>
      <c r="BK714" s="110"/>
      <c r="BL714" s="97"/>
      <c r="BM714" s="97"/>
      <c r="BN714" s="97"/>
      <c r="BO714" s="121"/>
      <c r="BP714" s="121"/>
      <c r="BQ714" s="121"/>
      <c r="BR714" s="121"/>
      <c r="BS714" s="121"/>
      <c r="BT714" s="121"/>
      <c r="BU714" s="121"/>
      <c r="BV714" s="121"/>
      <c r="BW714" s="121"/>
      <c r="BX714" s="121"/>
      <c r="BY714" s="121"/>
      <c r="BZ714" s="121"/>
      <c r="CA714" s="121"/>
      <c r="CB714" s="66"/>
      <c r="CC714" s="66"/>
      <c r="CD714" s="66"/>
      <c r="CE714" s="66"/>
      <c r="CF714" s="66"/>
      <c r="CG714" s="66"/>
      <c r="CH714" s="66"/>
      <c r="CI714" s="66"/>
      <c r="CJ714" s="66"/>
    </row>
    <row r="715" spans="1:88" x14ac:dyDescent="0.3">
      <c r="A715" s="27"/>
      <c r="B715" s="27"/>
      <c r="C715" s="27"/>
      <c r="D715" s="27"/>
      <c r="E715" s="27"/>
      <c r="F715" s="27"/>
      <c r="G715" s="27"/>
      <c r="H715" s="27"/>
      <c r="I715" s="27"/>
      <c r="J715" s="27"/>
      <c r="K715" s="27"/>
      <c r="L715" s="27"/>
      <c r="N715" s="27"/>
      <c r="O715" s="27"/>
      <c r="P715" s="27"/>
      <c r="Q715" s="117" t="s">
        <v>1280</v>
      </c>
      <c r="R715" s="27"/>
      <c r="S715" s="27"/>
      <c r="T715" s="27"/>
      <c r="U715" s="27"/>
      <c r="V715" s="27"/>
      <c r="W715" s="27"/>
      <c r="X715" s="27"/>
      <c r="Y715" s="27"/>
      <c r="AE715" s="27"/>
      <c r="BD715" s="97"/>
      <c r="BE715" s="108"/>
      <c r="BF715" s="108"/>
      <c r="BG715" s="97"/>
      <c r="BH715" s="97"/>
      <c r="BI715" s="97"/>
      <c r="BJ715" s="97"/>
      <c r="BK715" s="110"/>
      <c r="BL715" s="97"/>
      <c r="BM715" s="97"/>
      <c r="BN715" s="97"/>
      <c r="BO715" s="121"/>
      <c r="BP715" s="121"/>
      <c r="BQ715" s="121"/>
      <c r="BR715" s="121"/>
      <c r="BS715" s="121"/>
      <c r="BT715" s="121"/>
      <c r="BU715" s="121"/>
      <c r="BV715" s="121"/>
      <c r="BW715" s="121"/>
      <c r="BX715" s="121"/>
      <c r="BY715" s="121"/>
      <c r="BZ715" s="121"/>
      <c r="CA715" s="121"/>
      <c r="CB715" s="66"/>
      <c r="CC715" s="66"/>
      <c r="CD715" s="66"/>
      <c r="CE715" s="66"/>
      <c r="CF715" s="66"/>
      <c r="CG715" s="66"/>
      <c r="CH715" s="66"/>
      <c r="CI715" s="66"/>
      <c r="CJ715" s="66"/>
    </row>
    <row r="716" spans="1:88" x14ac:dyDescent="0.3">
      <c r="A716" s="27"/>
      <c r="B716" s="27"/>
      <c r="C716" s="27"/>
      <c r="D716" s="27"/>
      <c r="E716" s="27"/>
      <c r="F716" s="27"/>
      <c r="G716" s="27"/>
      <c r="H716" s="27"/>
      <c r="I716" s="27"/>
      <c r="J716" s="27"/>
      <c r="K716" s="27"/>
      <c r="L716" s="27"/>
      <c r="N716" s="27"/>
      <c r="O716" s="27"/>
      <c r="P716" s="27"/>
      <c r="Q716" s="117" t="s">
        <v>1281</v>
      </c>
      <c r="R716" s="27"/>
      <c r="S716" s="27"/>
      <c r="T716" s="27"/>
      <c r="U716" s="27"/>
      <c r="V716" s="27"/>
      <c r="W716" s="27"/>
      <c r="X716" s="27"/>
      <c r="Y716" s="27"/>
      <c r="AE716" s="27"/>
      <c r="BD716" s="97"/>
      <c r="BE716" s="108"/>
      <c r="BF716" s="108"/>
      <c r="BG716" s="97"/>
      <c r="BH716" s="97"/>
      <c r="BI716" s="97"/>
      <c r="BJ716" s="97"/>
      <c r="BK716" s="110"/>
      <c r="BL716" s="97"/>
      <c r="BM716" s="97"/>
      <c r="BN716" s="97"/>
      <c r="BO716" s="121"/>
      <c r="BP716" s="121"/>
      <c r="BQ716" s="121"/>
      <c r="BR716" s="121"/>
      <c r="BS716" s="121"/>
      <c r="BT716" s="121"/>
      <c r="BU716" s="121"/>
      <c r="BV716" s="121"/>
      <c r="BW716" s="121"/>
      <c r="BX716" s="121"/>
      <c r="BY716" s="121"/>
      <c r="BZ716" s="121"/>
      <c r="CA716" s="121"/>
      <c r="CB716" s="66"/>
      <c r="CC716" s="66"/>
      <c r="CD716" s="66"/>
      <c r="CE716" s="66"/>
      <c r="CF716" s="66"/>
      <c r="CG716" s="66"/>
      <c r="CH716" s="66"/>
      <c r="CI716" s="66"/>
      <c r="CJ716" s="66"/>
    </row>
    <row r="717" spans="1:88" x14ac:dyDescent="0.3">
      <c r="A717" s="27"/>
      <c r="B717" s="27"/>
      <c r="C717" s="27"/>
      <c r="D717" s="27"/>
      <c r="E717" s="27"/>
      <c r="F717" s="27"/>
      <c r="G717" s="27"/>
      <c r="H717" s="27"/>
      <c r="I717" s="27"/>
      <c r="J717" s="27"/>
      <c r="K717" s="27"/>
      <c r="L717" s="27"/>
      <c r="N717" s="27"/>
      <c r="O717" s="27"/>
      <c r="P717" s="27"/>
      <c r="Q717" s="117" t="s">
        <v>1282</v>
      </c>
      <c r="R717" s="27"/>
      <c r="S717" s="27"/>
      <c r="T717" s="27"/>
      <c r="U717" s="27"/>
      <c r="V717" s="27"/>
      <c r="W717" s="27"/>
      <c r="X717" s="27"/>
      <c r="Y717" s="27"/>
      <c r="AE717" s="27"/>
      <c r="BD717" s="97"/>
      <c r="BE717" s="108"/>
      <c r="BF717" s="108"/>
      <c r="BG717" s="97"/>
      <c r="BH717" s="97"/>
      <c r="BI717" s="97"/>
      <c r="BJ717" s="97"/>
      <c r="BK717" s="110"/>
      <c r="BL717" s="97"/>
      <c r="BM717" s="97"/>
      <c r="BN717" s="97"/>
      <c r="BO717" s="121"/>
      <c r="BP717" s="121"/>
      <c r="BQ717" s="121"/>
      <c r="BR717" s="121"/>
      <c r="BS717" s="121"/>
      <c r="BT717" s="121"/>
      <c r="BU717" s="121"/>
      <c r="BV717" s="121"/>
      <c r="BW717" s="121"/>
      <c r="BX717" s="121"/>
      <c r="BY717" s="121"/>
      <c r="BZ717" s="121"/>
      <c r="CA717" s="121"/>
      <c r="CB717" s="66"/>
      <c r="CC717" s="66"/>
      <c r="CD717" s="66"/>
      <c r="CE717" s="66"/>
      <c r="CF717" s="66"/>
      <c r="CG717" s="66"/>
      <c r="CH717" s="66"/>
      <c r="CI717" s="66"/>
      <c r="CJ717" s="66"/>
    </row>
    <row r="718" spans="1:88" x14ac:dyDescent="0.3">
      <c r="A718" s="27"/>
      <c r="B718" s="27"/>
      <c r="C718" s="27"/>
      <c r="D718" s="27"/>
      <c r="E718" s="27"/>
      <c r="F718" s="27"/>
      <c r="G718" s="27"/>
      <c r="H718" s="27"/>
      <c r="I718" s="27"/>
      <c r="J718" s="27"/>
      <c r="K718" s="27"/>
      <c r="L718" s="27"/>
      <c r="N718" s="27"/>
      <c r="O718" s="27"/>
      <c r="P718" s="27"/>
      <c r="Q718" s="117" t="s">
        <v>1283</v>
      </c>
      <c r="R718" s="27"/>
      <c r="S718" s="27"/>
      <c r="T718" s="27"/>
      <c r="U718" s="27"/>
      <c r="V718" s="27"/>
      <c r="W718" s="27"/>
      <c r="X718" s="27"/>
      <c r="Y718" s="27"/>
      <c r="AE718" s="27"/>
      <c r="BD718" s="97"/>
      <c r="BE718" s="108"/>
      <c r="BF718" s="108"/>
      <c r="BG718" s="97"/>
      <c r="BH718" s="97"/>
      <c r="BI718" s="97"/>
      <c r="BJ718" s="97"/>
      <c r="BK718" s="110"/>
      <c r="BL718" s="97"/>
      <c r="BM718" s="97"/>
      <c r="BN718" s="97"/>
      <c r="BO718" s="121"/>
      <c r="BP718" s="121"/>
      <c r="BQ718" s="121"/>
      <c r="BR718" s="121"/>
      <c r="BS718" s="121"/>
      <c r="BT718" s="121"/>
      <c r="BU718" s="121"/>
      <c r="BV718" s="121"/>
      <c r="BW718" s="121"/>
      <c r="BX718" s="121"/>
      <c r="BY718" s="121"/>
      <c r="BZ718" s="121"/>
      <c r="CA718" s="121"/>
      <c r="CB718" s="66"/>
      <c r="CC718" s="66"/>
      <c r="CD718" s="66"/>
      <c r="CE718" s="66"/>
      <c r="CF718" s="66"/>
      <c r="CG718" s="66"/>
      <c r="CH718" s="66"/>
      <c r="CI718" s="66"/>
      <c r="CJ718" s="66"/>
    </row>
    <row r="719" spans="1:88" x14ac:dyDescent="0.3">
      <c r="A719" s="27"/>
      <c r="B719" s="27"/>
      <c r="C719" s="27"/>
      <c r="D719" s="27"/>
      <c r="E719" s="27"/>
      <c r="F719" s="27"/>
      <c r="G719" s="27"/>
      <c r="H719" s="27"/>
      <c r="I719" s="27"/>
      <c r="J719" s="27"/>
      <c r="K719" s="27"/>
      <c r="L719" s="27"/>
      <c r="N719" s="27"/>
      <c r="O719" s="27"/>
      <c r="P719" s="27"/>
      <c r="Q719" s="117" t="s">
        <v>1284</v>
      </c>
      <c r="R719" s="27"/>
      <c r="S719" s="27"/>
      <c r="T719" s="27"/>
      <c r="U719" s="27"/>
      <c r="V719" s="27"/>
      <c r="W719" s="27"/>
      <c r="X719" s="27"/>
      <c r="Y719" s="27"/>
      <c r="AE719" s="27"/>
      <c r="BD719" s="97"/>
      <c r="BE719" s="108"/>
      <c r="BF719" s="108"/>
      <c r="BG719" s="97"/>
      <c r="BH719" s="97"/>
      <c r="BI719" s="97"/>
      <c r="BJ719" s="97"/>
      <c r="BK719" s="110"/>
      <c r="BL719" s="97"/>
      <c r="BM719" s="97"/>
      <c r="BN719" s="97"/>
      <c r="BO719" s="121"/>
      <c r="BP719" s="121"/>
      <c r="BQ719" s="121"/>
      <c r="BR719" s="121"/>
      <c r="BS719" s="121"/>
      <c r="BT719" s="121"/>
      <c r="BU719" s="121"/>
      <c r="BV719" s="121"/>
      <c r="BW719" s="121"/>
      <c r="BX719" s="121"/>
      <c r="BY719" s="121"/>
      <c r="BZ719" s="121"/>
      <c r="CA719" s="121"/>
      <c r="CB719" s="66"/>
      <c r="CC719" s="66"/>
      <c r="CD719" s="66"/>
      <c r="CE719" s="66"/>
      <c r="CF719" s="66"/>
      <c r="CG719" s="66"/>
      <c r="CH719" s="66"/>
      <c r="CI719" s="66"/>
      <c r="CJ719" s="66"/>
    </row>
    <row r="720" spans="1:88" x14ac:dyDescent="0.3">
      <c r="A720" s="27"/>
      <c r="B720" s="27"/>
      <c r="C720" s="27"/>
      <c r="D720" s="27"/>
      <c r="E720" s="27"/>
      <c r="F720" s="27"/>
      <c r="G720" s="27"/>
      <c r="H720" s="27"/>
      <c r="I720" s="27"/>
      <c r="J720" s="27"/>
      <c r="K720" s="27"/>
      <c r="L720" s="27"/>
      <c r="N720" s="27"/>
      <c r="O720" s="27"/>
      <c r="P720" s="27"/>
      <c r="Q720" s="117" t="s">
        <v>1285</v>
      </c>
      <c r="R720" s="27"/>
      <c r="S720" s="27"/>
      <c r="T720" s="27"/>
      <c r="U720" s="27"/>
      <c r="V720" s="27"/>
      <c r="W720" s="27"/>
      <c r="X720" s="27"/>
      <c r="Y720" s="27"/>
      <c r="AE720" s="27"/>
      <c r="BD720" s="97"/>
      <c r="BE720" s="108"/>
      <c r="BF720" s="108"/>
      <c r="BG720" s="97"/>
      <c r="BH720" s="97"/>
      <c r="BI720" s="97"/>
      <c r="BJ720" s="97"/>
      <c r="BK720" s="110"/>
      <c r="BL720" s="97"/>
      <c r="BM720" s="97"/>
      <c r="BN720" s="97"/>
      <c r="BO720" s="121"/>
      <c r="BP720" s="121"/>
      <c r="BQ720" s="121"/>
      <c r="BR720" s="121"/>
      <c r="BS720" s="121"/>
      <c r="BT720" s="121"/>
      <c r="BU720" s="121"/>
      <c r="BV720" s="121"/>
      <c r="BW720" s="121"/>
      <c r="BX720" s="121"/>
      <c r="BY720" s="121"/>
      <c r="BZ720" s="121"/>
      <c r="CA720" s="121"/>
      <c r="CB720" s="66"/>
      <c r="CC720" s="66"/>
      <c r="CD720" s="66"/>
      <c r="CE720" s="66"/>
      <c r="CF720" s="66"/>
      <c r="CG720" s="66"/>
      <c r="CH720" s="66"/>
      <c r="CI720" s="66"/>
      <c r="CJ720" s="66"/>
    </row>
    <row r="721" spans="1:88" x14ac:dyDescent="0.3">
      <c r="A721" s="27"/>
      <c r="B721" s="27"/>
      <c r="C721" s="27"/>
      <c r="D721" s="27"/>
      <c r="E721" s="27"/>
      <c r="F721" s="27"/>
      <c r="G721" s="27"/>
      <c r="H721" s="27"/>
      <c r="I721" s="27"/>
      <c r="J721" s="27"/>
      <c r="K721" s="27"/>
      <c r="L721" s="27"/>
      <c r="N721" s="27"/>
      <c r="O721" s="27"/>
      <c r="P721" s="27"/>
      <c r="Q721" s="117" t="s">
        <v>1286</v>
      </c>
      <c r="R721" s="27"/>
      <c r="S721" s="27"/>
      <c r="T721" s="27"/>
      <c r="U721" s="27"/>
      <c r="V721" s="27"/>
      <c r="W721" s="27"/>
      <c r="X721" s="27"/>
      <c r="Y721" s="27"/>
      <c r="AE721" s="27"/>
      <c r="BD721" s="97"/>
      <c r="BE721" s="108"/>
      <c r="BF721" s="108"/>
      <c r="BG721" s="97"/>
      <c r="BH721" s="97"/>
      <c r="BI721" s="97"/>
      <c r="BJ721" s="97"/>
      <c r="BK721" s="110"/>
      <c r="BL721" s="97"/>
      <c r="BM721" s="97"/>
      <c r="BN721" s="97"/>
      <c r="BO721" s="121"/>
      <c r="BP721" s="121"/>
      <c r="BQ721" s="121"/>
      <c r="BR721" s="121"/>
      <c r="BS721" s="121"/>
      <c r="BT721" s="121"/>
      <c r="BU721" s="121"/>
      <c r="BV721" s="121"/>
      <c r="BW721" s="121"/>
      <c r="BX721" s="121"/>
      <c r="BY721" s="121"/>
      <c r="BZ721" s="121"/>
      <c r="CA721" s="121"/>
      <c r="CB721" s="66"/>
      <c r="CC721" s="66"/>
      <c r="CD721" s="66"/>
      <c r="CE721" s="66"/>
      <c r="CF721" s="66"/>
      <c r="CG721" s="66"/>
      <c r="CH721" s="66"/>
      <c r="CI721" s="66"/>
      <c r="CJ721" s="66"/>
    </row>
    <row r="722" spans="1:88" x14ac:dyDescent="0.3">
      <c r="A722" s="27"/>
      <c r="B722" s="27"/>
      <c r="C722" s="27"/>
      <c r="D722" s="27"/>
      <c r="E722" s="27"/>
      <c r="F722" s="27"/>
      <c r="G722" s="27"/>
      <c r="H722" s="27"/>
      <c r="I722" s="27"/>
      <c r="J722" s="27"/>
      <c r="K722" s="27"/>
      <c r="L722" s="27"/>
      <c r="N722" s="27"/>
      <c r="O722" s="27"/>
      <c r="P722" s="27"/>
      <c r="Q722" s="117" t="s">
        <v>1287</v>
      </c>
      <c r="R722" s="27"/>
      <c r="S722" s="27"/>
      <c r="T722" s="27"/>
      <c r="U722" s="27"/>
      <c r="V722" s="27"/>
      <c r="W722" s="27"/>
      <c r="X722" s="27"/>
      <c r="Y722" s="27"/>
      <c r="AE722" s="27"/>
      <c r="BD722" s="97"/>
      <c r="BE722" s="108"/>
      <c r="BF722" s="108"/>
      <c r="BG722" s="97"/>
      <c r="BH722" s="97"/>
      <c r="BI722" s="97"/>
      <c r="BJ722" s="97"/>
      <c r="BK722" s="110"/>
      <c r="BL722" s="97"/>
      <c r="BM722" s="97"/>
      <c r="BN722" s="97"/>
      <c r="BO722" s="121"/>
      <c r="BP722" s="121"/>
      <c r="BQ722" s="121"/>
      <c r="BR722" s="121"/>
      <c r="BS722" s="121"/>
      <c r="BT722" s="121"/>
      <c r="BU722" s="121"/>
      <c r="BV722" s="121"/>
      <c r="BW722" s="121"/>
      <c r="BX722" s="121"/>
      <c r="BY722" s="121"/>
      <c r="BZ722" s="121"/>
      <c r="CA722" s="121"/>
      <c r="CB722" s="66"/>
      <c r="CC722" s="66"/>
      <c r="CD722" s="66"/>
      <c r="CE722" s="66"/>
      <c r="CF722" s="66"/>
      <c r="CG722" s="66"/>
      <c r="CH722" s="66"/>
      <c r="CI722" s="66"/>
      <c r="CJ722" s="66"/>
    </row>
    <row r="723" spans="1:88" x14ac:dyDescent="0.3">
      <c r="A723" s="27"/>
      <c r="B723" s="27"/>
      <c r="C723" s="27"/>
      <c r="D723" s="27"/>
      <c r="E723" s="27"/>
      <c r="F723" s="27"/>
      <c r="G723" s="27"/>
      <c r="H723" s="27"/>
      <c r="I723" s="27"/>
      <c r="J723" s="27"/>
      <c r="K723" s="27"/>
      <c r="L723" s="27"/>
      <c r="N723" s="27"/>
      <c r="O723" s="27"/>
      <c r="P723" s="27"/>
      <c r="Q723" s="117" t="s">
        <v>1288</v>
      </c>
      <c r="R723" s="27"/>
      <c r="S723" s="27"/>
      <c r="T723" s="27"/>
      <c r="U723" s="27"/>
      <c r="V723" s="27"/>
      <c r="W723" s="27"/>
      <c r="X723" s="27"/>
      <c r="Y723" s="27"/>
      <c r="AE723" s="27"/>
      <c r="BD723" s="97"/>
      <c r="BE723" s="108"/>
      <c r="BF723" s="108"/>
      <c r="BG723" s="97"/>
      <c r="BH723" s="97"/>
      <c r="BI723" s="97"/>
      <c r="BJ723" s="97"/>
      <c r="BK723" s="110"/>
      <c r="BL723" s="97"/>
      <c r="BM723" s="97"/>
      <c r="BN723" s="97"/>
      <c r="BO723" s="121"/>
      <c r="BP723" s="121"/>
      <c r="BQ723" s="121"/>
      <c r="BR723" s="121"/>
      <c r="BS723" s="121"/>
      <c r="BT723" s="121"/>
      <c r="BU723" s="121"/>
      <c r="BV723" s="121"/>
      <c r="BW723" s="121"/>
      <c r="BX723" s="121"/>
      <c r="BY723" s="121"/>
      <c r="BZ723" s="121"/>
      <c r="CA723" s="121"/>
      <c r="CB723" s="66"/>
      <c r="CC723" s="66"/>
      <c r="CD723" s="66"/>
      <c r="CE723" s="66"/>
      <c r="CF723" s="66"/>
      <c r="CG723" s="66"/>
      <c r="CH723" s="66"/>
      <c r="CI723" s="66"/>
      <c r="CJ723" s="66"/>
    </row>
    <row r="724" spans="1:88" x14ac:dyDescent="0.3">
      <c r="A724" s="27"/>
      <c r="B724" s="27"/>
      <c r="C724" s="27"/>
      <c r="D724" s="27"/>
      <c r="E724" s="27"/>
      <c r="F724" s="27"/>
      <c r="G724" s="27"/>
      <c r="H724" s="27"/>
      <c r="I724" s="27"/>
      <c r="J724" s="27"/>
      <c r="K724" s="27"/>
      <c r="L724" s="27"/>
      <c r="N724" s="27"/>
      <c r="O724" s="27"/>
      <c r="P724" s="27"/>
      <c r="Q724" s="117" t="s">
        <v>1289</v>
      </c>
      <c r="R724" s="27"/>
      <c r="S724" s="27"/>
      <c r="T724" s="27"/>
      <c r="U724" s="27"/>
      <c r="V724" s="27"/>
      <c r="W724" s="27"/>
      <c r="X724" s="27"/>
      <c r="Y724" s="27"/>
      <c r="AE724" s="27"/>
      <c r="BD724" s="97"/>
      <c r="BE724" s="108"/>
      <c r="BF724" s="108"/>
      <c r="BG724" s="97"/>
      <c r="BH724" s="97"/>
      <c r="BI724" s="97"/>
      <c r="BJ724" s="97"/>
      <c r="BK724" s="110"/>
      <c r="BL724" s="97"/>
      <c r="BM724" s="97"/>
      <c r="BN724" s="97"/>
      <c r="BO724" s="121"/>
      <c r="BP724" s="121"/>
      <c r="BQ724" s="121"/>
      <c r="BR724" s="121"/>
      <c r="BS724" s="121"/>
      <c r="BT724" s="121"/>
      <c r="BU724" s="121"/>
      <c r="BV724" s="121"/>
      <c r="BW724" s="121"/>
      <c r="BX724" s="121"/>
      <c r="BY724" s="121"/>
      <c r="BZ724" s="121"/>
      <c r="CA724" s="121"/>
      <c r="CB724" s="66"/>
      <c r="CC724" s="66"/>
      <c r="CD724" s="66"/>
      <c r="CE724" s="66"/>
      <c r="CF724" s="66"/>
      <c r="CG724" s="66"/>
      <c r="CH724" s="66"/>
      <c r="CI724" s="66"/>
      <c r="CJ724" s="66"/>
    </row>
    <row r="725" spans="1:88" x14ac:dyDescent="0.3">
      <c r="A725" s="27"/>
      <c r="B725" s="27"/>
      <c r="C725" s="27"/>
      <c r="D725" s="27"/>
      <c r="E725" s="27"/>
      <c r="F725" s="27"/>
      <c r="G725" s="27"/>
      <c r="H725" s="27"/>
      <c r="I725" s="27"/>
      <c r="J725" s="27"/>
      <c r="K725" s="27"/>
      <c r="L725" s="27"/>
      <c r="N725" s="27"/>
      <c r="O725" s="27"/>
      <c r="P725" s="27"/>
      <c r="Q725" s="117" t="s">
        <v>1290</v>
      </c>
      <c r="R725" s="27"/>
      <c r="S725" s="27"/>
      <c r="T725" s="27"/>
      <c r="U725" s="27"/>
      <c r="V725" s="27"/>
      <c r="W725" s="27"/>
      <c r="X725" s="27"/>
      <c r="Y725" s="27"/>
      <c r="AE725" s="27"/>
      <c r="BD725" s="97"/>
      <c r="BE725" s="108"/>
      <c r="BF725" s="108"/>
      <c r="BG725" s="97"/>
      <c r="BH725" s="97"/>
      <c r="BI725" s="97"/>
      <c r="BJ725" s="97"/>
      <c r="BK725" s="110"/>
      <c r="BL725" s="97"/>
      <c r="BM725" s="97"/>
      <c r="BN725" s="97"/>
      <c r="BO725" s="121"/>
      <c r="BP725" s="121"/>
      <c r="BQ725" s="121"/>
      <c r="BR725" s="121"/>
      <c r="BS725" s="121"/>
      <c r="BT725" s="121"/>
      <c r="BU725" s="121"/>
      <c r="BV725" s="121"/>
      <c r="BW725" s="121"/>
      <c r="BX725" s="121"/>
      <c r="BY725" s="121"/>
      <c r="BZ725" s="121"/>
      <c r="CA725" s="121"/>
      <c r="CB725" s="66"/>
      <c r="CC725" s="66"/>
      <c r="CD725" s="66"/>
      <c r="CE725" s="66"/>
      <c r="CF725" s="66"/>
      <c r="CG725" s="66"/>
      <c r="CH725" s="66"/>
      <c r="CI725" s="66"/>
      <c r="CJ725" s="66"/>
    </row>
    <row r="726" spans="1:88" x14ac:dyDescent="0.3">
      <c r="A726" s="27"/>
      <c r="B726" s="27"/>
      <c r="C726" s="27"/>
      <c r="D726" s="27"/>
      <c r="E726" s="27"/>
      <c r="F726" s="27"/>
      <c r="G726" s="27"/>
      <c r="H726" s="27"/>
      <c r="I726" s="27"/>
      <c r="J726" s="27"/>
      <c r="K726" s="27"/>
      <c r="L726" s="27"/>
      <c r="N726" s="27"/>
      <c r="O726" s="27"/>
      <c r="P726" s="27"/>
      <c r="Q726" s="117" t="s">
        <v>1291</v>
      </c>
      <c r="R726" s="27"/>
      <c r="S726" s="27"/>
      <c r="T726" s="27"/>
      <c r="U726" s="27"/>
      <c r="V726" s="27"/>
      <c r="W726" s="27"/>
      <c r="X726" s="27"/>
      <c r="Y726" s="27"/>
      <c r="AE726" s="27"/>
      <c r="BD726" s="97"/>
      <c r="BE726" s="108"/>
      <c r="BF726" s="108"/>
      <c r="BG726" s="97"/>
      <c r="BH726" s="97"/>
      <c r="BI726" s="97"/>
      <c r="BJ726" s="97"/>
      <c r="BK726" s="110"/>
      <c r="BL726" s="97"/>
      <c r="BM726" s="97"/>
      <c r="BN726" s="97"/>
      <c r="BO726" s="121"/>
      <c r="BP726" s="121"/>
      <c r="BQ726" s="121"/>
      <c r="BR726" s="121"/>
      <c r="BS726" s="121"/>
      <c r="BT726" s="121"/>
      <c r="BU726" s="121"/>
      <c r="BV726" s="121"/>
      <c r="BW726" s="121"/>
      <c r="BX726" s="121"/>
      <c r="BY726" s="121"/>
      <c r="BZ726" s="121"/>
      <c r="CA726" s="121"/>
      <c r="CB726" s="66"/>
      <c r="CC726" s="66"/>
      <c r="CD726" s="66"/>
      <c r="CE726" s="66"/>
      <c r="CF726" s="66"/>
      <c r="CG726" s="66"/>
      <c r="CH726" s="66"/>
      <c r="CI726" s="66"/>
      <c r="CJ726" s="66"/>
    </row>
    <row r="727" spans="1:88" x14ac:dyDescent="0.3">
      <c r="A727" s="27"/>
      <c r="B727" s="27"/>
      <c r="C727" s="27"/>
      <c r="D727" s="27"/>
      <c r="E727" s="27"/>
      <c r="F727" s="27"/>
      <c r="G727" s="27"/>
      <c r="H727" s="27"/>
      <c r="I727" s="27"/>
      <c r="J727" s="27"/>
      <c r="K727" s="27"/>
      <c r="L727" s="27"/>
      <c r="N727" s="27"/>
      <c r="O727" s="27"/>
      <c r="P727" s="27"/>
      <c r="Q727" s="117" t="s">
        <v>1292</v>
      </c>
      <c r="R727" s="27"/>
      <c r="S727" s="27"/>
      <c r="T727" s="27"/>
      <c r="U727" s="27"/>
      <c r="V727" s="27"/>
      <c r="W727" s="27"/>
      <c r="X727" s="27"/>
      <c r="Y727" s="27"/>
      <c r="AE727" s="27"/>
      <c r="BD727" s="97"/>
      <c r="BE727" s="108"/>
      <c r="BF727" s="108"/>
      <c r="BG727" s="97"/>
      <c r="BH727" s="97"/>
      <c r="BI727" s="97"/>
      <c r="BJ727" s="97"/>
      <c r="BK727" s="110"/>
      <c r="BL727" s="97"/>
      <c r="BM727" s="97"/>
      <c r="BN727" s="97"/>
      <c r="BO727" s="121"/>
      <c r="BP727" s="121"/>
      <c r="BQ727" s="121"/>
      <c r="BR727" s="121"/>
      <c r="BS727" s="121"/>
      <c r="BT727" s="121"/>
      <c r="BU727" s="121"/>
      <c r="BV727" s="121"/>
      <c r="BW727" s="121"/>
      <c r="BX727" s="121"/>
      <c r="BY727" s="121"/>
      <c r="BZ727" s="121"/>
      <c r="CA727" s="121"/>
      <c r="CB727" s="66"/>
      <c r="CC727" s="66"/>
      <c r="CD727" s="66"/>
      <c r="CE727" s="66"/>
      <c r="CF727" s="66"/>
      <c r="CG727" s="66"/>
      <c r="CH727" s="66"/>
      <c r="CI727" s="66"/>
      <c r="CJ727" s="66"/>
    </row>
    <row r="728" spans="1:88" x14ac:dyDescent="0.3">
      <c r="A728" s="27"/>
      <c r="B728" s="27"/>
      <c r="C728" s="27"/>
      <c r="D728" s="27"/>
      <c r="E728" s="27"/>
      <c r="F728" s="27"/>
      <c r="G728" s="27"/>
      <c r="H728" s="27"/>
      <c r="I728" s="27"/>
      <c r="J728" s="27"/>
      <c r="K728" s="27"/>
      <c r="L728" s="27"/>
      <c r="N728" s="27"/>
      <c r="O728" s="27"/>
      <c r="P728" s="27"/>
      <c r="Q728" s="117" t="s">
        <v>1293</v>
      </c>
      <c r="R728" s="27"/>
      <c r="S728" s="27"/>
      <c r="T728" s="27"/>
      <c r="U728" s="27"/>
      <c r="V728" s="27"/>
      <c r="W728" s="27"/>
      <c r="X728" s="27"/>
      <c r="Y728" s="27"/>
      <c r="AE728" s="27"/>
      <c r="BD728" s="97"/>
      <c r="BE728" s="108"/>
      <c r="BF728" s="108"/>
      <c r="BG728" s="97"/>
      <c r="BH728" s="97"/>
      <c r="BI728" s="97"/>
      <c r="BJ728" s="97"/>
      <c r="BK728" s="110"/>
      <c r="BL728" s="97"/>
      <c r="BM728" s="97"/>
      <c r="BN728" s="97"/>
      <c r="BO728" s="121"/>
      <c r="BP728" s="121"/>
      <c r="BQ728" s="121"/>
      <c r="BR728" s="121"/>
      <c r="BS728" s="121"/>
      <c r="BT728" s="121"/>
      <c r="BU728" s="121"/>
      <c r="BV728" s="121"/>
      <c r="BW728" s="121"/>
      <c r="BX728" s="121"/>
      <c r="BY728" s="121"/>
      <c r="BZ728" s="121"/>
      <c r="CA728" s="121"/>
      <c r="CB728" s="66"/>
      <c r="CC728" s="66"/>
      <c r="CD728" s="66"/>
      <c r="CE728" s="66"/>
      <c r="CF728" s="66"/>
      <c r="CG728" s="66"/>
      <c r="CH728" s="66"/>
      <c r="CI728" s="66"/>
      <c r="CJ728" s="66"/>
    </row>
    <row r="729" spans="1:88" x14ac:dyDescent="0.3">
      <c r="A729" s="27"/>
      <c r="B729" s="27"/>
      <c r="C729" s="27"/>
      <c r="D729" s="27"/>
      <c r="E729" s="27"/>
      <c r="F729" s="27"/>
      <c r="G729" s="27"/>
      <c r="H729" s="27"/>
      <c r="I729" s="27"/>
      <c r="J729" s="27"/>
      <c r="K729" s="27"/>
      <c r="L729" s="27"/>
      <c r="N729" s="27"/>
      <c r="O729" s="27"/>
      <c r="P729" s="27"/>
      <c r="Q729" s="117" t="s">
        <v>1294</v>
      </c>
      <c r="R729" s="27"/>
      <c r="S729" s="27"/>
      <c r="T729" s="27"/>
      <c r="U729" s="27"/>
      <c r="V729" s="27"/>
      <c r="W729" s="27"/>
      <c r="X729" s="27"/>
      <c r="Y729" s="27"/>
      <c r="AE729" s="27"/>
      <c r="BD729" s="97"/>
      <c r="BE729" s="108"/>
      <c r="BF729" s="108"/>
      <c r="BG729" s="97"/>
      <c r="BH729" s="97"/>
      <c r="BI729" s="97"/>
      <c r="BJ729" s="97"/>
      <c r="BK729" s="110"/>
      <c r="BL729" s="97"/>
      <c r="BM729" s="97"/>
      <c r="BN729" s="97"/>
      <c r="BO729" s="121"/>
      <c r="BP729" s="121"/>
      <c r="BQ729" s="121"/>
      <c r="BR729" s="121"/>
      <c r="BS729" s="121"/>
      <c r="BT729" s="121"/>
      <c r="BU729" s="121"/>
      <c r="BV729" s="121"/>
      <c r="BW729" s="121"/>
      <c r="BX729" s="121"/>
      <c r="BY729" s="121"/>
      <c r="BZ729" s="121"/>
      <c r="CA729" s="121"/>
      <c r="CB729" s="66"/>
      <c r="CC729" s="66"/>
      <c r="CD729" s="66"/>
      <c r="CE729" s="66"/>
      <c r="CF729" s="66"/>
      <c r="CG729" s="66"/>
      <c r="CH729" s="66"/>
      <c r="CI729" s="66"/>
      <c r="CJ729" s="66"/>
    </row>
    <row r="730" spans="1:88" x14ac:dyDescent="0.3">
      <c r="A730" s="27"/>
      <c r="B730" s="27"/>
      <c r="C730" s="27"/>
      <c r="D730" s="27"/>
      <c r="E730" s="27"/>
      <c r="F730" s="27"/>
      <c r="G730" s="27"/>
      <c r="H730" s="27"/>
      <c r="I730" s="27"/>
      <c r="J730" s="27"/>
      <c r="K730" s="27"/>
      <c r="L730" s="27"/>
      <c r="N730" s="27"/>
      <c r="O730" s="27"/>
      <c r="P730" s="27"/>
      <c r="Q730" s="117" t="s">
        <v>1295</v>
      </c>
      <c r="R730" s="27"/>
      <c r="S730" s="27"/>
      <c r="T730" s="27"/>
      <c r="U730" s="27"/>
      <c r="V730" s="27"/>
      <c r="W730" s="27"/>
      <c r="X730" s="27"/>
      <c r="Y730" s="27"/>
      <c r="AE730" s="27"/>
      <c r="BD730" s="97"/>
      <c r="BE730" s="108"/>
      <c r="BF730" s="108"/>
      <c r="BG730" s="97"/>
      <c r="BH730" s="97"/>
      <c r="BI730" s="97"/>
      <c r="BJ730" s="97"/>
      <c r="BK730" s="110"/>
      <c r="BL730" s="97"/>
      <c r="BM730" s="97"/>
      <c r="BN730" s="97"/>
      <c r="BO730" s="121"/>
      <c r="BP730" s="121"/>
      <c r="BQ730" s="121"/>
      <c r="BR730" s="121"/>
      <c r="BS730" s="121"/>
      <c r="BT730" s="121"/>
      <c r="BU730" s="121"/>
      <c r="BV730" s="121"/>
      <c r="BW730" s="121"/>
      <c r="BX730" s="121"/>
      <c r="BY730" s="121"/>
      <c r="BZ730" s="121"/>
      <c r="CA730" s="121"/>
      <c r="CB730" s="66"/>
      <c r="CC730" s="66"/>
      <c r="CD730" s="66"/>
      <c r="CE730" s="66"/>
      <c r="CF730" s="66"/>
      <c r="CG730" s="66"/>
      <c r="CH730" s="66"/>
      <c r="CI730" s="66"/>
      <c r="CJ730" s="66"/>
    </row>
    <row r="731" spans="1:88" x14ac:dyDescent="0.3">
      <c r="A731" s="27"/>
      <c r="B731" s="27"/>
      <c r="C731" s="27"/>
      <c r="D731" s="27"/>
      <c r="E731" s="27"/>
      <c r="F731" s="27"/>
      <c r="G731" s="27"/>
      <c r="H731" s="27"/>
      <c r="I731" s="27"/>
      <c r="J731" s="27"/>
      <c r="K731" s="27"/>
      <c r="L731" s="27"/>
      <c r="N731" s="27"/>
      <c r="O731" s="27"/>
      <c r="P731" s="27"/>
      <c r="Q731" s="117" t="s">
        <v>1296</v>
      </c>
      <c r="R731" s="27"/>
      <c r="S731" s="27"/>
      <c r="T731" s="27"/>
      <c r="U731" s="27"/>
      <c r="V731" s="27"/>
      <c r="W731" s="27"/>
      <c r="X731" s="27"/>
      <c r="Y731" s="27"/>
      <c r="AE731" s="27"/>
      <c r="BD731" s="97"/>
      <c r="BE731" s="108"/>
      <c r="BF731" s="108"/>
      <c r="BG731" s="97"/>
      <c r="BH731" s="97"/>
      <c r="BI731" s="97"/>
      <c r="BJ731" s="97"/>
      <c r="BK731" s="110"/>
      <c r="BL731" s="97"/>
      <c r="BM731" s="97"/>
      <c r="BN731" s="97"/>
      <c r="BO731" s="121"/>
      <c r="BP731" s="121"/>
      <c r="BQ731" s="121"/>
      <c r="BR731" s="121"/>
      <c r="BS731" s="121"/>
      <c r="BT731" s="121"/>
      <c r="BU731" s="121"/>
      <c r="BV731" s="121"/>
      <c r="BW731" s="121"/>
      <c r="BX731" s="121"/>
      <c r="BY731" s="121"/>
      <c r="BZ731" s="121"/>
      <c r="CA731" s="121"/>
      <c r="CB731" s="66"/>
      <c r="CC731" s="66"/>
      <c r="CD731" s="66"/>
      <c r="CE731" s="66"/>
      <c r="CF731" s="66"/>
      <c r="CG731" s="66"/>
      <c r="CH731" s="66"/>
      <c r="CI731" s="66"/>
      <c r="CJ731" s="66"/>
    </row>
    <row r="732" spans="1:88" x14ac:dyDescent="0.3">
      <c r="A732" s="27"/>
      <c r="B732" s="27"/>
      <c r="C732" s="27"/>
      <c r="D732" s="27"/>
      <c r="E732" s="27"/>
      <c r="F732" s="27"/>
      <c r="G732" s="27"/>
      <c r="H732" s="27"/>
      <c r="I732" s="27"/>
      <c r="J732" s="27"/>
      <c r="K732" s="27"/>
      <c r="L732" s="27"/>
      <c r="N732" s="27"/>
      <c r="O732" s="27"/>
      <c r="P732" s="27"/>
      <c r="Q732" s="117" t="s">
        <v>1297</v>
      </c>
      <c r="R732" s="27"/>
      <c r="S732" s="27"/>
      <c r="T732" s="27"/>
      <c r="U732" s="27"/>
      <c r="V732" s="27"/>
      <c r="W732" s="27"/>
      <c r="X732" s="27"/>
      <c r="Y732" s="27"/>
      <c r="AE732" s="27"/>
      <c r="BD732" s="97"/>
      <c r="BE732" s="108"/>
      <c r="BF732" s="108"/>
      <c r="BG732" s="97"/>
      <c r="BH732" s="97"/>
      <c r="BI732" s="97"/>
      <c r="BJ732" s="97"/>
      <c r="BK732" s="110"/>
      <c r="BL732" s="97"/>
      <c r="BM732" s="97"/>
      <c r="BN732" s="97"/>
      <c r="BO732" s="121"/>
      <c r="BP732" s="121"/>
      <c r="BQ732" s="121"/>
      <c r="BR732" s="121"/>
      <c r="BS732" s="121"/>
      <c r="BT732" s="121"/>
      <c r="BU732" s="121"/>
      <c r="BV732" s="121"/>
      <c r="BW732" s="121"/>
      <c r="BX732" s="121"/>
      <c r="BY732" s="121"/>
      <c r="BZ732" s="121"/>
      <c r="CA732" s="121"/>
      <c r="CB732" s="66"/>
      <c r="CC732" s="66"/>
      <c r="CD732" s="66"/>
      <c r="CE732" s="66"/>
      <c r="CF732" s="66"/>
      <c r="CG732" s="66"/>
      <c r="CH732" s="66"/>
      <c r="CI732" s="66"/>
      <c r="CJ732" s="66"/>
    </row>
    <row r="733" spans="1:88" x14ac:dyDescent="0.3">
      <c r="A733" s="27"/>
      <c r="B733" s="27"/>
      <c r="C733" s="27"/>
      <c r="D733" s="27"/>
      <c r="E733" s="27"/>
      <c r="F733" s="27"/>
      <c r="G733" s="27"/>
      <c r="H733" s="27"/>
      <c r="I733" s="27"/>
      <c r="J733" s="27"/>
      <c r="K733" s="27"/>
      <c r="L733" s="27"/>
      <c r="N733" s="27"/>
      <c r="O733" s="27"/>
      <c r="P733" s="27"/>
      <c r="Q733" s="117" t="s">
        <v>1298</v>
      </c>
      <c r="R733" s="27"/>
      <c r="S733" s="27"/>
      <c r="T733" s="27"/>
      <c r="U733" s="27"/>
      <c r="V733" s="27"/>
      <c r="W733" s="27"/>
      <c r="X733" s="27"/>
      <c r="Y733" s="27"/>
      <c r="AE733" s="27"/>
      <c r="BD733" s="97"/>
      <c r="BE733" s="108"/>
      <c r="BF733" s="108"/>
      <c r="BG733" s="97"/>
      <c r="BH733" s="97"/>
      <c r="BI733" s="97"/>
      <c r="BJ733" s="97"/>
      <c r="BK733" s="110"/>
      <c r="BL733" s="97"/>
      <c r="BM733" s="97"/>
      <c r="BN733" s="97"/>
      <c r="BO733" s="121"/>
      <c r="BP733" s="121"/>
      <c r="BQ733" s="121"/>
      <c r="BR733" s="121"/>
      <c r="BS733" s="121"/>
      <c r="BT733" s="121"/>
      <c r="BU733" s="121"/>
      <c r="BV733" s="121"/>
      <c r="BW733" s="121"/>
      <c r="BX733" s="121"/>
      <c r="BY733" s="121"/>
      <c r="BZ733" s="121"/>
      <c r="CA733" s="121"/>
      <c r="CB733" s="66"/>
      <c r="CC733" s="66"/>
      <c r="CD733" s="66"/>
      <c r="CE733" s="66"/>
      <c r="CF733" s="66"/>
      <c r="CG733" s="66"/>
      <c r="CH733" s="66"/>
      <c r="CI733" s="66"/>
      <c r="CJ733" s="66"/>
    </row>
    <row r="734" spans="1:88" ht="14.4" thickBot="1" x14ac:dyDescent="0.35">
      <c r="A734" s="27"/>
      <c r="B734" s="27"/>
      <c r="C734" s="27"/>
      <c r="D734" s="27"/>
      <c r="E734" s="27"/>
      <c r="F734" s="27"/>
      <c r="G734" s="27"/>
      <c r="H734" s="27"/>
      <c r="I734" s="27"/>
      <c r="J734" s="27"/>
      <c r="K734" s="27"/>
      <c r="L734" s="27"/>
      <c r="N734" s="27"/>
      <c r="O734" s="27"/>
      <c r="P734" s="27"/>
      <c r="Q734" s="117" t="s">
        <v>1299</v>
      </c>
      <c r="R734" s="27"/>
      <c r="S734" s="27"/>
      <c r="T734" s="27"/>
      <c r="U734" s="27"/>
      <c r="V734" s="27"/>
      <c r="W734" s="27"/>
      <c r="X734" s="27"/>
      <c r="Y734" s="27"/>
      <c r="AE734" s="27"/>
      <c r="BD734" s="97"/>
      <c r="BE734" s="108"/>
      <c r="BF734" s="108"/>
      <c r="BG734" s="97"/>
      <c r="BH734" s="97"/>
      <c r="BI734" s="97"/>
      <c r="BJ734" s="97"/>
      <c r="BK734" s="110"/>
      <c r="BL734" s="97"/>
      <c r="BM734" s="97"/>
      <c r="BN734" s="97"/>
      <c r="BO734" s="157"/>
      <c r="BP734" s="157"/>
      <c r="BQ734" s="157"/>
      <c r="BR734" s="157"/>
      <c r="BS734" s="157"/>
      <c r="BT734" s="157"/>
      <c r="BU734" s="157"/>
      <c r="BV734" s="157"/>
      <c r="BW734" s="157"/>
      <c r="BX734" s="157"/>
      <c r="BY734" s="157"/>
      <c r="BZ734" s="157"/>
      <c r="CA734" s="157"/>
      <c r="CB734" s="158"/>
      <c r="CC734" s="158"/>
      <c r="CD734" s="158"/>
      <c r="CE734" s="158"/>
      <c r="CF734" s="158"/>
      <c r="CG734" s="158"/>
      <c r="CH734" s="158"/>
      <c r="CI734" s="158"/>
      <c r="CJ734" s="158"/>
    </row>
    <row r="735" spans="1:88" x14ac:dyDescent="0.3">
      <c r="A735" s="27"/>
      <c r="B735" s="27"/>
      <c r="C735" s="27"/>
      <c r="D735" s="27"/>
      <c r="E735" s="27"/>
      <c r="F735" s="27"/>
      <c r="G735" s="27"/>
      <c r="H735" s="27"/>
      <c r="I735" s="27"/>
      <c r="J735" s="27"/>
      <c r="K735" s="27"/>
      <c r="L735" s="27"/>
      <c r="N735" s="27"/>
      <c r="O735" s="27"/>
      <c r="P735" s="27"/>
      <c r="Q735" s="117" t="s">
        <v>1300</v>
      </c>
      <c r="R735" s="27"/>
      <c r="S735" s="27"/>
      <c r="T735" s="27"/>
      <c r="U735" s="27"/>
      <c r="V735" s="27"/>
      <c r="W735" s="27"/>
      <c r="X735" s="27"/>
      <c r="Y735" s="27"/>
      <c r="AE735" s="27"/>
      <c r="BD735" s="97"/>
      <c r="BE735" s="108"/>
      <c r="BF735" s="108"/>
      <c r="BG735" s="97"/>
      <c r="BH735" s="97"/>
      <c r="BI735" s="97"/>
      <c r="BJ735" s="97"/>
      <c r="BK735" s="110"/>
      <c r="BL735" s="97"/>
      <c r="BM735" s="97"/>
      <c r="BN735" s="97"/>
      <c r="BO735" s="66"/>
      <c r="BP735" s="66"/>
      <c r="BQ735" s="66"/>
      <c r="BR735" s="66"/>
      <c r="BS735" s="66"/>
      <c r="BT735" s="66"/>
      <c r="BU735" s="66"/>
      <c r="BV735" s="66"/>
      <c r="BW735" s="66"/>
      <c r="BX735" s="66"/>
      <c r="BY735" s="66"/>
      <c r="BZ735" s="66"/>
      <c r="CA735" s="66"/>
      <c r="CB735" s="66"/>
      <c r="CC735" s="66"/>
      <c r="CD735" s="66"/>
      <c r="CE735" s="66"/>
      <c r="CF735" s="66"/>
      <c r="CG735" s="66"/>
      <c r="CH735" s="66"/>
      <c r="CI735" s="66"/>
      <c r="CJ735" s="66"/>
    </row>
    <row r="736" spans="1:88" x14ac:dyDescent="0.3">
      <c r="A736" s="27"/>
      <c r="B736" s="27"/>
      <c r="C736" s="27"/>
      <c r="D736" s="27"/>
      <c r="E736" s="27"/>
      <c r="F736" s="27"/>
      <c r="G736" s="27"/>
      <c r="H736" s="27"/>
      <c r="I736" s="27"/>
      <c r="J736" s="27"/>
      <c r="K736" s="27"/>
      <c r="L736" s="27"/>
      <c r="N736" s="27"/>
      <c r="O736" s="27"/>
      <c r="P736" s="27"/>
      <c r="Q736" s="117" t="s">
        <v>1301</v>
      </c>
      <c r="R736" s="27"/>
      <c r="S736" s="27"/>
      <c r="T736" s="27"/>
      <c r="U736" s="27"/>
      <c r="V736" s="27"/>
      <c r="W736" s="27"/>
      <c r="X736" s="27"/>
      <c r="Y736" s="27"/>
      <c r="AE736" s="27"/>
      <c r="BD736" s="97"/>
      <c r="BE736" s="108"/>
      <c r="BF736" s="108"/>
      <c r="BG736" s="97"/>
      <c r="BH736" s="97"/>
      <c r="BI736" s="97"/>
      <c r="BJ736" s="97"/>
      <c r="BK736" s="110"/>
      <c r="BL736" s="97"/>
      <c r="BM736" s="97"/>
      <c r="BN736" s="97"/>
      <c r="BO736" s="66"/>
      <c r="BP736" s="66"/>
      <c r="BQ736" s="66"/>
      <c r="BR736" s="66"/>
      <c r="BS736" s="66"/>
      <c r="BT736" s="66"/>
      <c r="BU736" s="66"/>
      <c r="BV736" s="66"/>
      <c r="BW736" s="66"/>
      <c r="BX736" s="66"/>
      <c r="BY736" s="66"/>
      <c r="BZ736" s="66"/>
      <c r="CA736" s="66"/>
      <c r="CB736" s="66"/>
      <c r="CC736" s="66"/>
      <c r="CD736" s="66"/>
      <c r="CE736" s="66"/>
      <c r="CF736" s="66"/>
      <c r="CG736" s="66"/>
      <c r="CH736" s="66"/>
      <c r="CI736" s="66"/>
      <c r="CJ736" s="66"/>
    </row>
    <row r="737" spans="1:88" ht="27.6" x14ac:dyDescent="0.3">
      <c r="A737" s="27"/>
      <c r="B737" s="27"/>
      <c r="C737" s="27"/>
      <c r="D737" s="27"/>
      <c r="E737" s="27"/>
      <c r="F737" s="27"/>
      <c r="G737" s="27"/>
      <c r="H737" s="27"/>
      <c r="I737" s="27"/>
      <c r="J737" s="27"/>
      <c r="K737" s="27"/>
      <c r="L737" s="27"/>
      <c r="N737" s="27"/>
      <c r="O737" s="27"/>
      <c r="P737" s="27"/>
      <c r="Q737" s="117" t="s">
        <v>1302</v>
      </c>
      <c r="R737" s="27"/>
      <c r="S737" s="27"/>
      <c r="T737" s="27"/>
      <c r="U737" s="27"/>
      <c r="V737" s="27"/>
      <c r="W737" s="27"/>
      <c r="X737" s="27"/>
      <c r="Y737" s="27"/>
      <c r="AE737" s="27"/>
      <c r="BD737" s="97"/>
      <c r="BE737" s="108"/>
      <c r="BF737" s="108"/>
      <c r="BG737" s="97"/>
      <c r="BH737" s="97"/>
      <c r="BI737" s="97"/>
      <c r="BJ737" s="97"/>
      <c r="BK737" s="110"/>
      <c r="BL737" s="97"/>
      <c r="BM737" s="97"/>
      <c r="BN737" s="97"/>
      <c r="BO737" s="66"/>
      <c r="BP737" s="66"/>
      <c r="BQ737" s="66"/>
      <c r="BR737" s="66"/>
      <c r="BS737" s="66"/>
      <c r="BT737" s="66"/>
      <c r="BU737" s="66"/>
      <c r="BV737" s="66"/>
      <c r="BW737" s="66"/>
      <c r="BX737" s="66"/>
      <c r="BY737" s="66"/>
      <c r="BZ737" s="66"/>
      <c r="CA737" s="66"/>
      <c r="CB737" s="66"/>
      <c r="CC737" s="66"/>
      <c r="CD737" s="66"/>
      <c r="CE737" s="66"/>
      <c r="CF737" s="66"/>
      <c r="CG737" s="66"/>
      <c r="CH737" s="66"/>
      <c r="CI737" s="66"/>
      <c r="CJ737" s="66"/>
    </row>
    <row r="738" spans="1:88" x14ac:dyDescent="0.3">
      <c r="A738" s="27"/>
      <c r="B738" s="27"/>
      <c r="C738" s="27"/>
      <c r="D738" s="27"/>
      <c r="E738" s="27"/>
      <c r="F738" s="27"/>
      <c r="G738" s="27"/>
      <c r="H738" s="27"/>
      <c r="I738" s="27"/>
      <c r="J738" s="27"/>
      <c r="K738" s="27"/>
      <c r="L738" s="27"/>
      <c r="N738" s="27"/>
      <c r="O738" s="27"/>
      <c r="P738" s="27"/>
      <c r="Q738" s="117" t="s">
        <v>1303</v>
      </c>
      <c r="R738" s="27"/>
      <c r="S738" s="27"/>
      <c r="T738" s="27"/>
      <c r="U738" s="27"/>
      <c r="V738" s="27"/>
      <c r="W738" s="27"/>
      <c r="X738" s="27"/>
      <c r="Y738" s="27"/>
      <c r="AE738" s="27"/>
      <c r="BD738" s="97"/>
      <c r="BE738" s="108"/>
      <c r="BF738" s="108"/>
      <c r="BG738" s="97"/>
      <c r="BH738" s="97"/>
      <c r="BI738" s="97"/>
      <c r="BJ738" s="97"/>
      <c r="BK738" s="110"/>
      <c r="BL738" s="97"/>
      <c r="BM738" s="97"/>
      <c r="BN738" s="97"/>
      <c r="BO738" s="66"/>
      <c r="BP738" s="66"/>
      <c r="BQ738" s="66"/>
      <c r="BR738" s="66"/>
      <c r="BS738" s="66"/>
      <c r="BT738" s="66"/>
      <c r="BU738" s="66"/>
      <c r="BV738" s="66"/>
      <c r="BW738" s="66"/>
      <c r="BX738" s="66"/>
      <c r="BY738" s="66"/>
      <c r="BZ738" s="66"/>
      <c r="CA738" s="66"/>
      <c r="CB738" s="66"/>
      <c r="CC738" s="66"/>
      <c r="CD738" s="66"/>
      <c r="CE738" s="66"/>
      <c r="CF738" s="66"/>
      <c r="CG738" s="66"/>
      <c r="CH738" s="66"/>
      <c r="CI738" s="66"/>
      <c r="CJ738" s="66"/>
    </row>
    <row r="739" spans="1:88" x14ac:dyDescent="0.3">
      <c r="A739" s="27"/>
      <c r="B739" s="27"/>
      <c r="C739" s="27"/>
      <c r="D739" s="27"/>
      <c r="E739" s="27"/>
      <c r="F739" s="27"/>
      <c r="G739" s="27"/>
      <c r="H739" s="27"/>
      <c r="I739" s="27"/>
      <c r="J739" s="27"/>
      <c r="K739" s="27"/>
      <c r="L739" s="27"/>
      <c r="N739" s="27"/>
      <c r="O739" s="27"/>
      <c r="P739" s="27"/>
      <c r="Q739" s="117" t="s">
        <v>1304</v>
      </c>
      <c r="R739" s="27"/>
      <c r="S739" s="27"/>
      <c r="T739" s="27"/>
      <c r="U739" s="27"/>
      <c r="V739" s="27"/>
      <c r="W739" s="27"/>
      <c r="X739" s="27"/>
      <c r="Y739" s="27"/>
      <c r="AE739" s="27"/>
      <c r="BD739" s="97"/>
      <c r="BE739" s="108"/>
      <c r="BF739" s="108"/>
      <c r="BG739" s="97"/>
      <c r="BH739" s="97"/>
      <c r="BI739" s="97"/>
      <c r="BJ739" s="97"/>
      <c r="BK739" s="110"/>
      <c r="BL739" s="97"/>
      <c r="BM739" s="97"/>
      <c r="BN739" s="97"/>
      <c r="BO739" s="66"/>
      <c r="BP739" s="66"/>
      <c r="BQ739" s="66"/>
      <c r="BR739" s="66"/>
      <c r="BS739" s="66"/>
      <c r="BT739" s="66"/>
      <c r="BU739" s="66"/>
      <c r="BV739" s="66"/>
      <c r="BW739" s="66"/>
      <c r="BX739" s="66"/>
      <c r="BY739" s="66"/>
      <c r="BZ739" s="66"/>
      <c r="CA739" s="66"/>
      <c r="CB739" s="66"/>
      <c r="CC739" s="66"/>
      <c r="CD739" s="66"/>
      <c r="CE739" s="66"/>
      <c r="CF739" s="66"/>
      <c r="CG739" s="66"/>
      <c r="CH739" s="66"/>
      <c r="CI739" s="66"/>
      <c r="CJ739" s="66"/>
    </row>
    <row r="740" spans="1:88" ht="38.25" customHeight="1" x14ac:dyDescent="0.3">
      <c r="A740" s="27"/>
      <c r="B740" s="27"/>
      <c r="C740" s="27"/>
      <c r="D740" s="27"/>
      <c r="E740" s="27"/>
      <c r="F740" s="27"/>
      <c r="G740" s="27"/>
      <c r="H740" s="27"/>
      <c r="I740" s="27"/>
      <c r="J740" s="27"/>
      <c r="K740" s="27"/>
      <c r="L740" s="27"/>
      <c r="N740" s="27"/>
      <c r="O740" s="27"/>
      <c r="P740" s="27"/>
      <c r="Q740" s="117" t="s">
        <v>1305</v>
      </c>
      <c r="R740" s="27"/>
      <c r="S740" s="27"/>
      <c r="T740" s="27"/>
      <c r="U740" s="27"/>
      <c r="V740" s="27"/>
      <c r="W740" s="27"/>
      <c r="X740" s="27"/>
      <c r="Y740" s="27"/>
      <c r="AE740" s="27"/>
      <c r="BD740" s="97"/>
      <c r="BE740" s="108"/>
      <c r="BF740" s="108"/>
      <c r="BG740" s="97"/>
      <c r="BH740" s="97"/>
      <c r="BI740" s="97"/>
      <c r="BJ740" s="97"/>
      <c r="BK740" s="110"/>
      <c r="BL740" s="97"/>
      <c r="BM740" s="97"/>
      <c r="BN740" s="97"/>
      <c r="BO740" s="66"/>
      <c r="BP740" s="66"/>
      <c r="BQ740" s="66"/>
      <c r="BR740" s="66"/>
      <c r="BS740" s="66"/>
      <c r="BT740" s="66"/>
      <c r="BU740" s="66"/>
      <c r="BV740" s="66"/>
      <c r="BW740" s="66"/>
      <c r="BX740" s="66"/>
      <c r="BY740" s="66"/>
      <c r="BZ740" s="66"/>
      <c r="CA740" s="66"/>
      <c r="CB740" s="66"/>
      <c r="CC740" s="66"/>
      <c r="CD740" s="66"/>
      <c r="CE740" s="66"/>
      <c r="CF740" s="66"/>
      <c r="CG740" s="66"/>
      <c r="CH740" s="66"/>
      <c r="CI740" s="66"/>
      <c r="CJ740" s="66"/>
    </row>
    <row r="741" spans="1:88" ht="27.6" x14ac:dyDescent="0.3">
      <c r="A741" s="27"/>
      <c r="B741" s="27"/>
      <c r="C741" s="27"/>
      <c r="D741" s="27"/>
      <c r="E741" s="27"/>
      <c r="F741" s="27"/>
      <c r="G741" s="27"/>
      <c r="H741" s="27"/>
      <c r="I741" s="27"/>
      <c r="J741" s="27"/>
      <c r="K741" s="27"/>
      <c r="L741" s="27"/>
      <c r="N741" s="27"/>
      <c r="O741" s="27"/>
      <c r="P741" s="27"/>
      <c r="Q741" s="117" t="s">
        <v>1306</v>
      </c>
      <c r="R741" s="27"/>
      <c r="S741" s="27"/>
      <c r="T741" s="27"/>
      <c r="U741" s="27"/>
      <c r="V741" s="27"/>
      <c r="W741" s="27"/>
      <c r="X741" s="27"/>
      <c r="Y741" s="27"/>
      <c r="AE741" s="27"/>
      <c r="BD741" s="97"/>
      <c r="BE741" s="108"/>
      <c r="BF741" s="108"/>
      <c r="BG741" s="97"/>
      <c r="BH741" s="97"/>
      <c r="BI741" s="97"/>
      <c r="BJ741" s="97"/>
      <c r="BK741" s="110"/>
      <c r="BL741" s="97"/>
      <c r="BM741" s="97"/>
      <c r="BN741" s="97"/>
      <c r="BO741" s="66"/>
      <c r="BP741" s="66"/>
      <c r="BQ741" s="66"/>
      <c r="BR741" s="66"/>
      <c r="BS741" s="66"/>
      <c r="BT741" s="66"/>
      <c r="BU741" s="66"/>
      <c r="BV741" s="66"/>
      <c r="BW741" s="66"/>
      <c r="BX741" s="66"/>
      <c r="BY741" s="66"/>
      <c r="BZ741" s="66"/>
      <c r="CA741" s="66"/>
      <c r="CB741" s="66"/>
      <c r="CC741" s="66"/>
      <c r="CD741" s="66"/>
      <c r="CE741" s="66"/>
      <c r="CF741" s="66"/>
      <c r="CG741" s="66"/>
      <c r="CH741" s="66"/>
      <c r="CI741" s="66"/>
      <c r="CJ741" s="66"/>
    </row>
    <row r="742" spans="1:88" x14ac:dyDescent="0.3">
      <c r="A742" s="27"/>
      <c r="B742" s="27"/>
      <c r="C742" s="27"/>
      <c r="D742" s="27"/>
      <c r="E742" s="27"/>
      <c r="F742" s="27"/>
      <c r="G742" s="27"/>
      <c r="H742" s="27"/>
      <c r="I742" s="27"/>
      <c r="J742" s="27"/>
      <c r="K742" s="27"/>
      <c r="L742" s="27"/>
      <c r="N742" s="27"/>
      <c r="O742" s="27"/>
      <c r="P742" s="27"/>
      <c r="Q742" s="117" t="s">
        <v>1307</v>
      </c>
      <c r="R742" s="27"/>
      <c r="S742" s="27"/>
      <c r="T742" s="27"/>
      <c r="U742" s="27"/>
      <c r="V742" s="27"/>
      <c r="W742" s="27"/>
      <c r="X742" s="27"/>
      <c r="Y742" s="27"/>
      <c r="AE742" s="27"/>
      <c r="BD742" s="97"/>
      <c r="BE742" s="108"/>
      <c r="BF742" s="108"/>
      <c r="BG742" s="97"/>
      <c r="BH742" s="97"/>
      <c r="BI742" s="97"/>
      <c r="BJ742" s="97"/>
      <c r="BK742" s="110"/>
      <c r="BL742" s="97"/>
      <c r="BM742" s="97"/>
      <c r="BN742" s="97"/>
      <c r="BO742" s="66"/>
      <c r="BP742" s="66"/>
      <c r="BQ742" s="66"/>
      <c r="BR742" s="66"/>
      <c r="BS742" s="66"/>
      <c r="BT742" s="66"/>
      <c r="BU742" s="66"/>
      <c r="BV742" s="66"/>
      <c r="BW742" s="66"/>
      <c r="BX742" s="66"/>
      <c r="BY742" s="66"/>
      <c r="BZ742" s="66"/>
      <c r="CA742" s="66"/>
      <c r="CB742" s="66"/>
      <c r="CC742" s="66"/>
      <c r="CD742" s="66"/>
      <c r="CE742" s="66"/>
      <c r="CF742" s="66"/>
      <c r="CG742" s="66"/>
      <c r="CH742" s="66"/>
      <c r="CI742" s="66"/>
      <c r="CJ742" s="66"/>
    </row>
    <row r="743" spans="1:88" x14ac:dyDescent="0.3">
      <c r="A743" s="27"/>
      <c r="B743" s="27"/>
      <c r="C743" s="27"/>
      <c r="D743" s="27"/>
      <c r="E743" s="27"/>
      <c r="F743" s="27"/>
      <c r="G743" s="27"/>
      <c r="H743" s="27"/>
      <c r="I743" s="27"/>
      <c r="J743" s="27"/>
      <c r="K743" s="27"/>
      <c r="L743" s="27"/>
      <c r="N743" s="27"/>
      <c r="O743" s="27"/>
      <c r="P743" s="27"/>
      <c r="Q743" s="117" t="s">
        <v>1308</v>
      </c>
      <c r="R743" s="27"/>
      <c r="S743" s="27"/>
      <c r="T743" s="27"/>
      <c r="U743" s="27"/>
      <c r="V743" s="27"/>
      <c r="W743" s="27"/>
      <c r="X743" s="27"/>
      <c r="Y743" s="27"/>
      <c r="AE743" s="27"/>
      <c r="BD743" s="97"/>
      <c r="BE743" s="108"/>
      <c r="BF743" s="108"/>
      <c r="BG743" s="97"/>
      <c r="BH743" s="97"/>
      <c r="BI743" s="97"/>
      <c r="BJ743" s="97"/>
      <c r="BK743" s="110"/>
      <c r="BL743" s="97"/>
      <c r="BM743" s="97"/>
      <c r="BN743" s="97"/>
      <c r="BO743" s="66"/>
      <c r="BP743" s="66"/>
      <c r="BQ743" s="66"/>
      <c r="BR743" s="66"/>
      <c r="BS743" s="66"/>
      <c r="BT743" s="66"/>
      <c r="BU743" s="66"/>
      <c r="BV743" s="66"/>
      <c r="BW743" s="66"/>
      <c r="BX743" s="66"/>
      <c r="BY743" s="66"/>
      <c r="BZ743" s="66"/>
      <c r="CA743" s="66"/>
      <c r="CB743" s="66"/>
      <c r="CC743" s="66"/>
      <c r="CD743" s="66"/>
      <c r="CE743" s="66"/>
      <c r="CF743" s="66"/>
      <c r="CG743" s="66"/>
      <c r="CH743" s="66"/>
      <c r="CI743" s="66"/>
      <c r="CJ743" s="66"/>
    </row>
    <row r="744" spans="1:88" x14ac:dyDescent="0.3">
      <c r="A744" s="27"/>
      <c r="B744" s="27"/>
      <c r="C744" s="27"/>
      <c r="D744" s="27"/>
      <c r="E744" s="27"/>
      <c r="F744" s="27"/>
      <c r="G744" s="27"/>
      <c r="H744" s="27"/>
      <c r="I744" s="27"/>
      <c r="J744" s="27"/>
      <c r="K744" s="27"/>
      <c r="L744" s="27"/>
      <c r="N744" s="27"/>
      <c r="O744" s="27"/>
      <c r="P744" s="27"/>
      <c r="Q744" s="117" t="s">
        <v>1309</v>
      </c>
      <c r="R744" s="27"/>
      <c r="S744" s="27"/>
      <c r="T744" s="27"/>
      <c r="U744" s="27"/>
      <c r="V744" s="27"/>
      <c r="W744" s="27"/>
      <c r="X744" s="27"/>
      <c r="Y744" s="27"/>
      <c r="AE744" s="27"/>
      <c r="BD744" s="97"/>
      <c r="BE744" s="108"/>
      <c r="BF744" s="108"/>
      <c r="BG744" s="97"/>
      <c r="BH744" s="97"/>
      <c r="BI744" s="97"/>
      <c r="BJ744" s="97"/>
      <c r="BK744" s="110"/>
      <c r="BL744" s="97"/>
      <c r="BM744" s="97"/>
      <c r="BN744" s="97"/>
      <c r="BO744" s="66"/>
      <c r="BP744" s="66"/>
      <c r="BQ744" s="66"/>
      <c r="BR744" s="66"/>
      <c r="BS744" s="66"/>
      <c r="BT744" s="66"/>
      <c r="BU744" s="66"/>
      <c r="BV744" s="66"/>
      <c r="BW744" s="66"/>
      <c r="BX744" s="66"/>
      <c r="BY744" s="66"/>
      <c r="BZ744" s="66"/>
      <c r="CA744" s="66"/>
      <c r="CB744" s="66"/>
      <c r="CC744" s="66"/>
      <c r="CD744" s="66"/>
      <c r="CE744" s="66"/>
      <c r="CF744" s="66"/>
      <c r="CG744" s="66"/>
      <c r="CH744" s="66"/>
      <c r="CI744" s="66"/>
      <c r="CJ744" s="66"/>
    </row>
    <row r="745" spans="1:88" x14ac:dyDescent="0.3">
      <c r="A745" s="27"/>
      <c r="B745" s="27"/>
      <c r="C745" s="27"/>
      <c r="D745" s="27"/>
      <c r="E745" s="27"/>
      <c r="F745" s="27"/>
      <c r="G745" s="27"/>
      <c r="H745" s="27"/>
      <c r="I745" s="27"/>
      <c r="J745" s="27"/>
      <c r="K745" s="27"/>
      <c r="L745" s="27"/>
      <c r="N745" s="27"/>
      <c r="O745" s="27"/>
      <c r="P745" s="27"/>
      <c r="Q745" s="117" t="s">
        <v>1310</v>
      </c>
      <c r="R745" s="27"/>
      <c r="S745" s="27"/>
      <c r="T745" s="27"/>
      <c r="U745" s="27"/>
      <c r="V745" s="27"/>
      <c r="W745" s="27"/>
      <c r="X745" s="27"/>
      <c r="Y745" s="27"/>
      <c r="AE745" s="27"/>
      <c r="BD745" s="97"/>
      <c r="BE745" s="108"/>
      <c r="BF745" s="108"/>
      <c r="BG745" s="97"/>
      <c r="BH745" s="97"/>
      <c r="BI745" s="97"/>
      <c r="BJ745" s="97"/>
      <c r="BK745" s="110"/>
      <c r="BL745" s="97"/>
      <c r="BM745" s="97"/>
      <c r="BN745" s="97"/>
      <c r="BO745" s="66"/>
      <c r="BP745" s="66"/>
      <c r="BQ745" s="66"/>
      <c r="BR745" s="66"/>
      <c r="BS745" s="66"/>
      <c r="BT745" s="66"/>
      <c r="BU745" s="66"/>
      <c r="BV745" s="66"/>
      <c r="BW745" s="66"/>
      <c r="BX745" s="66"/>
      <c r="BY745" s="66"/>
      <c r="BZ745" s="66"/>
      <c r="CA745" s="66"/>
      <c r="CB745" s="66"/>
      <c r="CC745" s="66"/>
      <c r="CD745" s="66"/>
      <c r="CE745" s="66"/>
      <c r="CF745" s="66"/>
      <c r="CG745" s="66"/>
      <c r="CH745" s="66"/>
      <c r="CI745" s="66"/>
      <c r="CJ745" s="66"/>
    </row>
    <row r="746" spans="1:88" x14ac:dyDescent="0.3">
      <c r="A746" s="27"/>
      <c r="B746" s="27"/>
      <c r="C746" s="27"/>
      <c r="D746" s="27"/>
      <c r="E746" s="27"/>
      <c r="F746" s="27"/>
      <c r="G746" s="27"/>
      <c r="H746" s="27"/>
      <c r="I746" s="27"/>
      <c r="J746" s="27"/>
      <c r="K746" s="27"/>
      <c r="L746" s="27"/>
      <c r="N746" s="27"/>
      <c r="O746" s="27"/>
      <c r="P746" s="27"/>
      <c r="Q746" s="117" t="s">
        <v>1311</v>
      </c>
      <c r="R746" s="27"/>
      <c r="S746" s="27"/>
      <c r="T746" s="27"/>
      <c r="U746" s="27"/>
      <c r="V746" s="27"/>
      <c r="W746" s="27"/>
      <c r="X746" s="27"/>
      <c r="Y746" s="27"/>
      <c r="AE746" s="27"/>
      <c r="BD746" s="132"/>
      <c r="BE746" s="133"/>
      <c r="BF746" s="133"/>
      <c r="BG746" s="132"/>
      <c r="BH746" s="132"/>
      <c r="BI746" s="132"/>
      <c r="BJ746" s="134" t="s">
        <v>216</v>
      </c>
      <c r="BK746" s="124"/>
      <c r="BL746" s="132"/>
      <c r="BM746" s="132"/>
      <c r="BN746" s="132"/>
      <c r="BO746" s="66"/>
      <c r="BP746" s="66"/>
      <c r="BQ746" s="66"/>
      <c r="BR746" s="66"/>
      <c r="BS746" s="66"/>
      <c r="BT746" s="66"/>
      <c r="BU746" s="66"/>
      <c r="BV746" s="66"/>
      <c r="BW746" s="66"/>
      <c r="BX746" s="66"/>
      <c r="BY746" s="66"/>
      <c r="BZ746" s="66"/>
      <c r="CA746" s="66"/>
      <c r="CB746" s="66"/>
      <c r="CC746" s="66"/>
      <c r="CD746" s="66"/>
      <c r="CE746" s="66"/>
      <c r="CF746" s="66"/>
      <c r="CG746" s="66"/>
      <c r="CH746" s="66"/>
      <c r="CI746" s="66"/>
      <c r="CJ746" s="66"/>
    </row>
    <row r="747" spans="1:88" x14ac:dyDescent="0.3">
      <c r="A747" s="27"/>
      <c r="B747" s="27"/>
      <c r="C747" s="27"/>
      <c r="D747" s="27"/>
      <c r="E747" s="27"/>
      <c r="F747" s="27"/>
      <c r="G747" s="27"/>
      <c r="H747" s="27"/>
      <c r="I747" s="27"/>
      <c r="J747" s="27"/>
      <c r="K747" s="27"/>
      <c r="L747" s="27"/>
      <c r="N747" s="27"/>
      <c r="O747" s="27"/>
      <c r="P747" s="27"/>
      <c r="Q747" s="117" t="s">
        <v>1312</v>
      </c>
      <c r="R747" s="27"/>
      <c r="S747" s="27"/>
      <c r="T747" s="27"/>
      <c r="U747" s="27"/>
      <c r="V747" s="27"/>
      <c r="W747" s="27"/>
      <c r="X747" s="27"/>
      <c r="Y747" s="27"/>
      <c r="AE747" s="27"/>
      <c r="BD747" s="132"/>
      <c r="BE747" s="133"/>
      <c r="BF747" s="133"/>
      <c r="BG747" s="132"/>
      <c r="BH747" s="132"/>
      <c r="BI747" s="132"/>
      <c r="BJ747" s="135" t="s">
        <v>225</v>
      </c>
      <c r="BK747" s="124"/>
      <c r="BL747" s="132"/>
      <c r="BM747" s="132"/>
      <c r="BN747" s="132"/>
      <c r="BO747" s="66"/>
      <c r="BP747" s="66"/>
      <c r="BQ747" s="66"/>
      <c r="BR747" s="66"/>
      <c r="BS747" s="66"/>
      <c r="BT747" s="66"/>
      <c r="BU747" s="66"/>
      <c r="BV747" s="66"/>
      <c r="BW747" s="66"/>
      <c r="BX747" s="66"/>
      <c r="BY747" s="66"/>
      <c r="BZ747" s="66"/>
      <c r="CA747" s="66"/>
      <c r="CB747" s="66"/>
      <c r="CC747" s="66"/>
      <c r="CD747" s="66"/>
      <c r="CE747" s="66"/>
      <c r="CF747" s="66"/>
      <c r="CG747" s="66"/>
      <c r="CH747" s="66"/>
      <c r="CI747" s="66"/>
      <c r="CJ747" s="66"/>
    </row>
    <row r="748" spans="1:88" x14ac:dyDescent="0.3">
      <c r="A748" s="27"/>
      <c r="B748" s="27"/>
      <c r="C748" s="27"/>
      <c r="D748" s="27"/>
      <c r="E748" s="27"/>
      <c r="F748" s="27"/>
      <c r="G748" s="27"/>
      <c r="H748" s="27"/>
      <c r="I748" s="27"/>
      <c r="J748" s="27"/>
      <c r="K748" s="27"/>
      <c r="L748" s="27"/>
      <c r="N748" s="27"/>
      <c r="O748" s="27"/>
      <c r="P748" s="27"/>
      <c r="Q748" s="117" t="s">
        <v>1313</v>
      </c>
      <c r="R748" s="27"/>
      <c r="S748" s="27"/>
      <c r="T748" s="27"/>
      <c r="U748" s="27"/>
      <c r="V748" s="27"/>
      <c r="W748" s="27"/>
      <c r="X748" s="27"/>
      <c r="Y748" s="27"/>
      <c r="AE748" s="27"/>
      <c r="BD748" s="132"/>
      <c r="BE748" s="133"/>
      <c r="BF748" s="133"/>
      <c r="BG748" s="132"/>
      <c r="BH748" s="132"/>
      <c r="BI748" s="132"/>
      <c r="BJ748" s="135" t="s">
        <v>235</v>
      </c>
      <c r="BK748" s="124"/>
      <c r="BL748" s="132"/>
      <c r="BM748" s="132"/>
      <c r="BN748" s="132"/>
      <c r="BO748" s="66"/>
      <c r="BP748" s="66"/>
      <c r="BQ748" s="66"/>
      <c r="BR748" s="66"/>
      <c r="BS748" s="66"/>
      <c r="BT748" s="66"/>
      <c r="BU748" s="66"/>
      <c r="BV748" s="66"/>
      <c r="BW748" s="66"/>
      <c r="BX748" s="66"/>
      <c r="BY748" s="66"/>
      <c r="BZ748" s="66"/>
      <c r="CA748" s="66"/>
      <c r="CB748" s="66"/>
      <c r="CC748" s="66"/>
      <c r="CD748" s="66"/>
      <c r="CE748" s="66"/>
      <c r="CF748" s="66"/>
      <c r="CG748" s="66"/>
      <c r="CH748" s="66"/>
      <c r="CI748" s="66"/>
      <c r="CJ748" s="66"/>
    </row>
    <row r="749" spans="1:88" x14ac:dyDescent="0.3">
      <c r="A749" s="27"/>
      <c r="B749" s="27"/>
      <c r="C749" s="27"/>
      <c r="D749" s="27"/>
      <c r="E749" s="27"/>
      <c r="F749" s="27"/>
      <c r="G749" s="27"/>
      <c r="H749" s="27"/>
      <c r="I749" s="27"/>
      <c r="J749" s="27"/>
      <c r="K749" s="27"/>
      <c r="L749" s="27"/>
      <c r="N749" s="27"/>
      <c r="O749" s="27"/>
      <c r="P749" s="27"/>
      <c r="Q749" s="117" t="s">
        <v>1314</v>
      </c>
      <c r="R749" s="27"/>
      <c r="S749" s="27"/>
      <c r="T749" s="27"/>
      <c r="U749" s="27"/>
      <c r="V749" s="27"/>
      <c r="W749" s="27"/>
      <c r="X749" s="27"/>
      <c r="Y749" s="27"/>
      <c r="AE749" s="27"/>
      <c r="BD749" s="132"/>
      <c r="BE749" s="133"/>
      <c r="BF749" s="133"/>
      <c r="BG749" s="132"/>
      <c r="BH749" s="132"/>
      <c r="BI749" s="132"/>
      <c r="BJ749" s="135" t="s">
        <v>243</v>
      </c>
      <c r="BK749" s="124"/>
      <c r="BL749" s="132"/>
      <c r="BM749" s="132"/>
      <c r="BN749" s="132"/>
      <c r="BO749" s="66"/>
      <c r="BP749" s="66"/>
      <c r="BQ749" s="66"/>
      <c r="BR749" s="66"/>
      <c r="BS749" s="66"/>
      <c r="BT749" s="66"/>
      <c r="BU749" s="66"/>
      <c r="BV749" s="66"/>
      <c r="BW749" s="66"/>
      <c r="BX749" s="66"/>
      <c r="BY749" s="66"/>
      <c r="BZ749" s="66"/>
      <c r="CA749" s="66"/>
      <c r="CB749" s="66"/>
      <c r="CC749" s="66"/>
      <c r="CD749" s="66"/>
      <c r="CE749" s="66"/>
      <c r="CF749" s="66"/>
      <c r="CG749" s="66"/>
      <c r="CH749" s="66"/>
      <c r="CI749" s="66"/>
      <c r="CJ749" s="66"/>
    </row>
    <row r="750" spans="1:88" x14ac:dyDescent="0.3">
      <c r="A750" s="27"/>
      <c r="B750" s="27"/>
      <c r="C750" s="27"/>
      <c r="D750" s="27"/>
      <c r="E750" s="27"/>
      <c r="F750" s="27"/>
      <c r="G750" s="27"/>
      <c r="H750" s="27"/>
      <c r="I750" s="27"/>
      <c r="J750" s="27"/>
      <c r="K750" s="27"/>
      <c r="L750" s="27"/>
      <c r="N750" s="27"/>
      <c r="O750" s="27"/>
      <c r="P750" s="27"/>
      <c r="Q750" s="117" t="s">
        <v>1315</v>
      </c>
      <c r="R750" s="27"/>
      <c r="S750" s="27"/>
      <c r="T750" s="27"/>
      <c r="U750" s="27"/>
      <c r="V750" s="27"/>
      <c r="W750" s="27"/>
      <c r="X750" s="27"/>
      <c r="Y750" s="27"/>
      <c r="AE750" s="27"/>
      <c r="BD750" s="132"/>
      <c r="BE750" s="133"/>
      <c r="BF750" s="133"/>
      <c r="BG750" s="132"/>
      <c r="BH750" s="132"/>
      <c r="BI750" s="132"/>
      <c r="BJ750" s="135" t="s">
        <v>251</v>
      </c>
      <c r="BK750" s="124"/>
      <c r="BL750" s="132"/>
      <c r="BM750" s="132"/>
      <c r="BN750" s="132"/>
      <c r="BO750" s="66"/>
      <c r="BP750" s="66"/>
      <c r="BQ750" s="66"/>
      <c r="BR750" s="66"/>
      <c r="BS750" s="66"/>
      <c r="BT750" s="66"/>
      <c r="BU750" s="66"/>
      <c r="BV750" s="66"/>
      <c r="BW750" s="66"/>
      <c r="BX750" s="66"/>
      <c r="BY750" s="66"/>
      <c r="BZ750" s="66"/>
      <c r="CA750" s="66"/>
      <c r="CB750" s="66"/>
      <c r="CC750" s="66"/>
      <c r="CD750" s="66"/>
      <c r="CE750" s="66"/>
      <c r="CF750" s="66"/>
      <c r="CG750" s="66"/>
      <c r="CH750" s="66"/>
      <c r="CI750" s="66"/>
      <c r="CJ750" s="66"/>
    </row>
    <row r="751" spans="1:88" x14ac:dyDescent="0.3">
      <c r="A751" s="27"/>
      <c r="B751" s="27"/>
      <c r="C751" s="27"/>
      <c r="D751" s="27"/>
      <c r="E751" s="27"/>
      <c r="F751" s="27"/>
      <c r="G751" s="27"/>
      <c r="H751" s="27"/>
      <c r="I751" s="27"/>
      <c r="J751" s="27"/>
      <c r="K751" s="27"/>
      <c r="L751" s="27"/>
      <c r="N751" s="27"/>
      <c r="O751" s="27"/>
      <c r="P751" s="27"/>
      <c r="Q751" s="117" t="s">
        <v>1316</v>
      </c>
      <c r="R751" s="27"/>
      <c r="S751" s="27"/>
      <c r="T751" s="27"/>
      <c r="U751" s="27"/>
      <c r="V751" s="27"/>
      <c r="W751" s="27"/>
      <c r="X751" s="27"/>
      <c r="Y751" s="27"/>
      <c r="AE751" s="27"/>
      <c r="BD751" s="132"/>
      <c r="BE751" s="133"/>
      <c r="BF751" s="133"/>
      <c r="BG751" s="132"/>
      <c r="BH751" s="132"/>
      <c r="BI751" s="132"/>
      <c r="BJ751" s="135" t="s">
        <v>259</v>
      </c>
      <c r="BK751" s="124"/>
      <c r="BL751" s="132"/>
      <c r="BM751" s="132"/>
      <c r="BN751" s="132"/>
      <c r="BO751" s="66"/>
      <c r="BP751" s="66"/>
      <c r="BQ751" s="66"/>
      <c r="BR751" s="66"/>
      <c r="BS751" s="66"/>
      <c r="BT751" s="66"/>
      <c r="BU751" s="66"/>
      <c r="BV751" s="66"/>
      <c r="BW751" s="66"/>
      <c r="BX751" s="66"/>
      <c r="BY751" s="66"/>
      <c r="BZ751" s="66"/>
      <c r="CA751" s="66"/>
      <c r="CB751" s="66"/>
      <c r="CC751" s="66"/>
      <c r="CD751" s="66"/>
      <c r="CE751" s="66"/>
      <c r="CF751" s="66"/>
      <c r="CG751" s="66"/>
      <c r="CH751" s="66"/>
      <c r="CI751" s="66"/>
      <c r="CJ751" s="66"/>
    </row>
    <row r="752" spans="1:88" x14ac:dyDescent="0.3">
      <c r="A752" s="27"/>
      <c r="B752" s="27"/>
      <c r="C752" s="27"/>
      <c r="D752" s="27"/>
      <c r="E752" s="27"/>
      <c r="F752" s="27"/>
      <c r="G752" s="27"/>
      <c r="H752" s="27"/>
      <c r="I752" s="27"/>
      <c r="J752" s="27"/>
      <c r="K752" s="27"/>
      <c r="L752" s="27"/>
      <c r="N752" s="27"/>
      <c r="O752" s="27"/>
      <c r="P752" s="27"/>
      <c r="Q752" s="117" t="s">
        <v>1317</v>
      </c>
      <c r="R752" s="27"/>
      <c r="S752" s="27"/>
      <c r="T752" s="27"/>
      <c r="U752" s="27"/>
      <c r="V752" s="27"/>
      <c r="W752" s="27"/>
      <c r="X752" s="27"/>
      <c r="Y752" s="27"/>
      <c r="AE752" s="27"/>
      <c r="BD752" s="132"/>
      <c r="BE752" s="133"/>
      <c r="BF752" s="133"/>
      <c r="BG752" s="132"/>
      <c r="BH752" s="132"/>
      <c r="BI752" s="132"/>
      <c r="BJ752" s="135" t="s">
        <v>267</v>
      </c>
      <c r="BK752" s="124"/>
      <c r="BL752" s="132"/>
      <c r="BM752" s="132"/>
      <c r="BN752" s="132"/>
      <c r="BO752" s="66"/>
      <c r="BP752" s="66"/>
      <c r="BQ752" s="66"/>
      <c r="BR752" s="66"/>
      <c r="BS752" s="66"/>
      <c r="BT752" s="66"/>
      <c r="BU752" s="66"/>
      <c r="BV752" s="66"/>
      <c r="BW752" s="66"/>
      <c r="BX752" s="66"/>
      <c r="BY752" s="66"/>
      <c r="BZ752" s="66"/>
      <c r="CA752" s="66"/>
      <c r="CB752" s="66"/>
      <c r="CC752" s="66"/>
      <c r="CD752" s="66"/>
      <c r="CE752" s="66"/>
      <c r="CF752" s="66"/>
      <c r="CG752" s="66"/>
      <c r="CH752" s="66"/>
      <c r="CI752" s="66"/>
      <c r="CJ752" s="66"/>
    </row>
    <row r="753" spans="1:88" x14ac:dyDescent="0.3">
      <c r="A753" s="27"/>
      <c r="B753" s="27"/>
      <c r="C753" s="27"/>
      <c r="D753" s="27"/>
      <c r="E753" s="27"/>
      <c r="F753" s="27"/>
      <c r="G753" s="27"/>
      <c r="H753" s="27"/>
      <c r="I753" s="27"/>
      <c r="J753" s="27"/>
      <c r="K753" s="27"/>
      <c r="L753" s="27"/>
      <c r="N753" s="27"/>
      <c r="O753" s="27"/>
      <c r="P753" s="27"/>
      <c r="Q753" s="117" t="s">
        <v>1318</v>
      </c>
      <c r="R753" s="27"/>
      <c r="S753" s="27"/>
      <c r="T753" s="27"/>
      <c r="U753" s="27"/>
      <c r="V753" s="27"/>
      <c r="W753" s="27"/>
      <c r="X753" s="27"/>
      <c r="Y753" s="27"/>
      <c r="AE753" s="27"/>
      <c r="BD753" s="132"/>
      <c r="BE753" s="133"/>
      <c r="BF753" s="133"/>
      <c r="BG753" s="132"/>
      <c r="BH753" s="132"/>
      <c r="BI753" s="132"/>
      <c r="BJ753" s="135" t="s">
        <v>274</v>
      </c>
      <c r="BK753" s="124"/>
      <c r="BL753" s="132"/>
      <c r="BM753" s="132"/>
      <c r="BN753" s="132"/>
      <c r="BO753" s="66"/>
      <c r="BP753" s="66"/>
      <c r="BQ753" s="66"/>
      <c r="BR753" s="66"/>
      <c r="BS753" s="66"/>
      <c r="BT753" s="66"/>
      <c r="BU753" s="66"/>
      <c r="BV753" s="66"/>
      <c r="BW753" s="66"/>
      <c r="BX753" s="66"/>
      <c r="BY753" s="66"/>
      <c r="BZ753" s="66"/>
      <c r="CA753" s="66"/>
      <c r="CB753" s="66"/>
      <c r="CC753" s="66"/>
      <c r="CD753" s="66"/>
      <c r="CE753" s="66"/>
      <c r="CF753" s="66"/>
      <c r="CG753" s="66"/>
      <c r="CH753" s="66"/>
      <c r="CI753" s="66"/>
      <c r="CJ753" s="66"/>
    </row>
    <row r="754" spans="1:88" x14ac:dyDescent="0.3">
      <c r="A754" s="27"/>
      <c r="B754" s="27"/>
      <c r="C754" s="27"/>
      <c r="D754" s="27"/>
      <c r="E754" s="27"/>
      <c r="F754" s="27"/>
      <c r="G754" s="27"/>
      <c r="H754" s="27"/>
      <c r="I754" s="27"/>
      <c r="J754" s="27"/>
      <c r="K754" s="27"/>
      <c r="L754" s="27"/>
      <c r="N754" s="27"/>
      <c r="O754" s="27"/>
      <c r="P754" s="27"/>
      <c r="Q754" s="117" t="s">
        <v>1319</v>
      </c>
      <c r="R754" s="27"/>
      <c r="S754" s="27"/>
      <c r="T754" s="27"/>
      <c r="U754" s="27"/>
      <c r="V754" s="27"/>
      <c r="W754" s="27"/>
      <c r="X754" s="27"/>
      <c r="Y754" s="27"/>
      <c r="AE754" s="27"/>
      <c r="BD754" s="132"/>
      <c r="BE754" s="133"/>
      <c r="BF754" s="133"/>
      <c r="BG754" s="132"/>
      <c r="BH754" s="132"/>
      <c r="BI754" s="132"/>
      <c r="BJ754" s="135" t="s">
        <v>283</v>
      </c>
      <c r="BK754" s="124"/>
      <c r="BL754" s="132"/>
      <c r="BM754" s="132"/>
      <c r="BN754" s="132"/>
      <c r="BO754" s="66"/>
      <c r="BP754" s="66"/>
      <c r="BQ754" s="66"/>
      <c r="BR754" s="66"/>
      <c r="BS754" s="66"/>
      <c r="BT754" s="66"/>
      <c r="BU754" s="66"/>
      <c r="BV754" s="66"/>
      <c r="BW754" s="66"/>
      <c r="BX754" s="66"/>
      <c r="BY754" s="66"/>
      <c r="BZ754" s="66"/>
      <c r="CA754" s="66"/>
      <c r="CB754" s="66"/>
      <c r="CC754" s="66"/>
      <c r="CD754" s="66"/>
      <c r="CE754" s="66"/>
      <c r="CF754" s="66"/>
      <c r="CG754" s="66"/>
      <c r="CH754" s="66"/>
      <c r="CI754" s="66"/>
      <c r="CJ754" s="66"/>
    </row>
    <row r="755" spans="1:88" x14ac:dyDescent="0.3">
      <c r="A755" s="27"/>
      <c r="B755" s="27"/>
      <c r="C755" s="27"/>
      <c r="D755" s="27"/>
      <c r="E755" s="27"/>
      <c r="F755" s="27"/>
      <c r="G755" s="27"/>
      <c r="H755" s="27"/>
      <c r="I755" s="27"/>
      <c r="J755" s="27"/>
      <c r="K755" s="27"/>
      <c r="L755" s="27"/>
      <c r="N755" s="27"/>
      <c r="O755" s="27"/>
      <c r="P755" s="27"/>
      <c r="Q755" s="117" t="s">
        <v>1320</v>
      </c>
      <c r="R755" s="27"/>
      <c r="S755" s="27"/>
      <c r="T755" s="27"/>
      <c r="U755" s="27"/>
      <c r="V755" s="27"/>
      <c r="W755" s="27"/>
      <c r="X755" s="27"/>
      <c r="Y755" s="27"/>
      <c r="AE755" s="27"/>
      <c r="BD755" s="132"/>
      <c r="BE755" s="133"/>
      <c r="BF755" s="133"/>
      <c r="BG755" s="132"/>
      <c r="BH755" s="132"/>
      <c r="BI755" s="132"/>
      <c r="BJ755" s="132"/>
      <c r="BK755" s="124"/>
      <c r="BL755" s="132"/>
      <c r="BM755" s="132"/>
      <c r="BN755" s="132"/>
      <c r="BO755" s="66"/>
      <c r="BP755" s="66"/>
      <c r="BQ755" s="66"/>
      <c r="BR755" s="66"/>
      <c r="BS755" s="66"/>
      <c r="BT755" s="66"/>
      <c r="BU755" s="66"/>
      <c r="BV755" s="66"/>
      <c r="BW755" s="66"/>
      <c r="BX755" s="66"/>
      <c r="BY755" s="66"/>
      <c r="BZ755" s="66"/>
      <c r="CA755" s="66"/>
      <c r="CB755" s="66"/>
      <c r="CC755" s="66"/>
      <c r="CD755" s="66"/>
      <c r="CE755" s="66"/>
      <c r="CF755" s="66"/>
      <c r="CG755" s="66"/>
      <c r="CH755" s="66"/>
      <c r="CI755" s="66"/>
      <c r="CJ755" s="66"/>
    </row>
    <row r="756" spans="1:88" x14ac:dyDescent="0.3">
      <c r="A756" s="27"/>
      <c r="B756" s="27"/>
      <c r="C756" s="27"/>
      <c r="D756" s="27"/>
      <c r="E756" s="27"/>
      <c r="F756" s="27"/>
      <c r="G756" s="27"/>
      <c r="H756" s="27"/>
      <c r="I756" s="27"/>
      <c r="J756" s="27"/>
      <c r="K756" s="27"/>
      <c r="L756" s="27"/>
      <c r="N756" s="27"/>
      <c r="O756" s="27"/>
      <c r="P756" s="27"/>
      <c r="Q756" s="117" t="s">
        <v>1321</v>
      </c>
      <c r="R756" s="27"/>
      <c r="S756" s="27"/>
      <c r="T756" s="27"/>
      <c r="U756" s="27"/>
      <c r="V756" s="27"/>
      <c r="W756" s="27"/>
      <c r="X756" s="27"/>
      <c r="Y756" s="27"/>
      <c r="AE756" s="27"/>
      <c r="BD756" s="132"/>
      <c r="BE756" s="133"/>
      <c r="BF756" s="133"/>
      <c r="BG756" s="132"/>
      <c r="BH756" s="132"/>
      <c r="BI756" s="132"/>
      <c r="BJ756" s="132"/>
      <c r="BK756" s="124"/>
      <c r="BL756" s="132"/>
      <c r="BM756" s="132"/>
      <c r="BN756" s="132"/>
      <c r="BO756" s="66"/>
      <c r="BP756" s="66"/>
      <c r="BQ756" s="66"/>
      <c r="BR756" s="66"/>
      <c r="BS756" s="66"/>
      <c r="BT756" s="66"/>
      <c r="BU756" s="66"/>
      <c r="BV756" s="66"/>
      <c r="BW756" s="66"/>
      <c r="BX756" s="66"/>
      <c r="BY756" s="66"/>
      <c r="BZ756" s="66"/>
      <c r="CA756" s="66"/>
      <c r="CB756" s="66"/>
      <c r="CC756" s="66"/>
      <c r="CD756" s="66"/>
      <c r="CE756" s="66"/>
      <c r="CF756" s="66"/>
      <c r="CG756" s="66"/>
      <c r="CH756" s="66"/>
      <c r="CI756" s="66"/>
      <c r="CJ756" s="66"/>
    </row>
    <row r="757" spans="1:88" x14ac:dyDescent="0.3">
      <c r="A757" s="27"/>
      <c r="B757" s="27"/>
      <c r="C757" s="27"/>
      <c r="D757" s="27"/>
      <c r="E757" s="27"/>
      <c r="F757" s="27"/>
      <c r="G757" s="27"/>
      <c r="H757" s="27"/>
      <c r="I757" s="27"/>
      <c r="J757" s="27"/>
      <c r="K757" s="27"/>
      <c r="L757" s="27"/>
      <c r="N757" s="27"/>
      <c r="O757" s="27"/>
      <c r="P757" s="27"/>
      <c r="Q757" s="117" t="s">
        <v>1322</v>
      </c>
      <c r="R757" s="27"/>
      <c r="S757" s="27"/>
      <c r="T757" s="27"/>
      <c r="U757" s="27"/>
      <c r="V757" s="27"/>
      <c r="W757" s="27"/>
      <c r="X757" s="27"/>
      <c r="Y757" s="27"/>
      <c r="AE757" s="27"/>
      <c r="BD757" s="132"/>
      <c r="BE757" s="133"/>
      <c r="BF757" s="133"/>
      <c r="BG757" s="132"/>
      <c r="BH757" s="132"/>
      <c r="BI757" s="132"/>
      <c r="BJ757" s="132"/>
      <c r="BK757" s="124"/>
      <c r="BL757" s="132"/>
      <c r="BM757" s="132"/>
      <c r="BN757" s="132"/>
      <c r="BO757" s="66"/>
      <c r="BP757" s="66"/>
      <c r="BQ757" s="66"/>
      <c r="BR757" s="66"/>
      <c r="BS757" s="66"/>
      <c r="BT757" s="66"/>
      <c r="BU757" s="66"/>
      <c r="BV757" s="66"/>
      <c r="BW757" s="66"/>
      <c r="BX757" s="66"/>
      <c r="BY757" s="66"/>
      <c r="BZ757" s="66"/>
      <c r="CA757" s="66"/>
      <c r="CB757" s="66"/>
      <c r="CC757" s="66"/>
      <c r="CD757" s="66"/>
      <c r="CE757" s="66"/>
      <c r="CF757" s="66"/>
      <c r="CG757" s="66"/>
      <c r="CH757" s="66"/>
      <c r="CI757" s="66"/>
      <c r="CJ757" s="66"/>
    </row>
    <row r="758" spans="1:88" x14ac:dyDescent="0.3">
      <c r="A758" s="27"/>
      <c r="B758" s="27"/>
      <c r="C758" s="27"/>
      <c r="D758" s="27"/>
      <c r="E758" s="27"/>
      <c r="F758" s="27"/>
      <c r="G758" s="27"/>
      <c r="H758" s="27"/>
      <c r="I758" s="27"/>
      <c r="J758" s="27"/>
      <c r="K758" s="27"/>
      <c r="L758" s="27"/>
      <c r="N758" s="27"/>
      <c r="O758" s="27"/>
      <c r="P758" s="27"/>
      <c r="Q758" s="117" t="s">
        <v>1323</v>
      </c>
      <c r="R758" s="27"/>
      <c r="S758" s="27"/>
      <c r="T758" s="27"/>
      <c r="U758" s="27"/>
      <c r="V758" s="27"/>
      <c r="W758" s="27"/>
      <c r="X758" s="27"/>
      <c r="Y758" s="27"/>
      <c r="AE758" s="27"/>
      <c r="BD758" s="132"/>
      <c r="BE758" s="133"/>
      <c r="BF758" s="133"/>
      <c r="BG758" s="132"/>
      <c r="BH758" s="132"/>
      <c r="BI758" s="132"/>
      <c r="BJ758" s="132"/>
      <c r="BK758" s="124"/>
      <c r="BL758" s="132"/>
      <c r="BM758" s="132"/>
      <c r="BN758" s="132"/>
      <c r="BO758" s="66"/>
      <c r="BP758" s="66"/>
      <c r="BQ758" s="66"/>
      <c r="BR758" s="66"/>
      <c r="BS758" s="66"/>
      <c r="BT758" s="66"/>
      <c r="BU758" s="66"/>
      <c r="BV758" s="66"/>
      <c r="BW758" s="66"/>
      <c r="BX758" s="66"/>
      <c r="BY758" s="66"/>
      <c r="BZ758" s="66"/>
      <c r="CA758" s="66"/>
      <c r="CB758" s="66"/>
      <c r="CC758" s="66"/>
      <c r="CD758" s="66"/>
      <c r="CE758" s="66"/>
      <c r="CF758" s="66"/>
      <c r="CG758" s="66"/>
      <c r="CH758" s="66"/>
      <c r="CI758" s="66"/>
      <c r="CJ758" s="66"/>
    </row>
    <row r="759" spans="1:88" x14ac:dyDescent="0.3">
      <c r="A759" s="27"/>
      <c r="B759" s="27"/>
      <c r="C759" s="27"/>
      <c r="D759" s="27"/>
      <c r="E759" s="27"/>
      <c r="F759" s="27"/>
      <c r="G759" s="27"/>
      <c r="H759" s="27"/>
      <c r="I759" s="27"/>
      <c r="J759" s="27"/>
      <c r="K759" s="27"/>
      <c r="L759" s="27"/>
      <c r="N759" s="27"/>
      <c r="O759" s="27"/>
      <c r="P759" s="27"/>
      <c r="Q759" s="117" t="s">
        <v>1324</v>
      </c>
      <c r="R759" s="27"/>
      <c r="S759" s="27"/>
      <c r="T759" s="27"/>
      <c r="U759" s="27"/>
      <c r="V759" s="27"/>
      <c r="W759" s="27"/>
      <c r="X759" s="27"/>
      <c r="Y759" s="27"/>
      <c r="AE759" s="27"/>
      <c r="BD759" s="132"/>
      <c r="BE759" s="133"/>
      <c r="BF759" s="133"/>
      <c r="BG759" s="132"/>
      <c r="BH759" s="132"/>
      <c r="BI759" s="132"/>
      <c r="BJ759" s="132"/>
      <c r="BK759" s="124"/>
      <c r="BL759" s="132"/>
      <c r="BM759" s="132"/>
      <c r="BN759" s="132"/>
    </row>
    <row r="760" spans="1:88" x14ac:dyDescent="0.3">
      <c r="A760" s="27"/>
      <c r="B760" s="27"/>
      <c r="C760" s="27"/>
      <c r="D760" s="27"/>
      <c r="E760" s="27"/>
      <c r="F760" s="27"/>
      <c r="G760" s="27"/>
      <c r="H760" s="27"/>
      <c r="I760" s="27"/>
      <c r="J760" s="27"/>
      <c r="K760" s="27"/>
      <c r="L760" s="27"/>
      <c r="N760" s="27"/>
      <c r="O760" s="27"/>
      <c r="P760" s="27"/>
      <c r="Q760" s="117" t="s">
        <v>1325</v>
      </c>
      <c r="R760" s="27"/>
      <c r="S760" s="27"/>
      <c r="T760" s="27"/>
      <c r="U760" s="27"/>
      <c r="V760" s="27"/>
      <c r="W760" s="27"/>
      <c r="X760" s="27"/>
      <c r="Y760" s="27"/>
      <c r="AE760" s="27"/>
      <c r="BD760" s="132"/>
      <c r="BE760" s="133"/>
      <c r="BF760" s="133"/>
      <c r="BG760" s="132"/>
      <c r="BH760" s="132"/>
      <c r="BI760" s="132"/>
      <c r="BJ760" s="132"/>
      <c r="BK760" s="124"/>
      <c r="BL760" s="132"/>
      <c r="BM760" s="132"/>
      <c r="BN760" s="132"/>
    </row>
    <row r="761" spans="1:88" x14ac:dyDescent="0.3">
      <c r="A761" s="27"/>
      <c r="B761" s="27"/>
      <c r="C761" s="27"/>
      <c r="D761" s="27"/>
      <c r="E761" s="27"/>
      <c r="F761" s="27"/>
      <c r="G761" s="27"/>
      <c r="H761" s="27"/>
      <c r="I761" s="27"/>
      <c r="J761" s="27"/>
      <c r="K761" s="27"/>
      <c r="L761" s="27"/>
      <c r="N761" s="27"/>
      <c r="O761" s="27"/>
      <c r="P761" s="27"/>
      <c r="Q761" s="117" t="s">
        <v>1326</v>
      </c>
      <c r="R761" s="27"/>
      <c r="S761" s="27"/>
      <c r="T761" s="27"/>
      <c r="U761" s="27"/>
      <c r="V761" s="27"/>
      <c r="W761" s="27"/>
      <c r="X761" s="27"/>
      <c r="Y761" s="27"/>
      <c r="AE761" s="27"/>
      <c r="BD761" s="132"/>
      <c r="BE761" s="133"/>
      <c r="BF761" s="133"/>
      <c r="BG761" s="132"/>
      <c r="BH761" s="132"/>
      <c r="BI761" s="132"/>
      <c r="BJ761" s="132"/>
      <c r="BK761" s="124"/>
      <c r="BL761" s="132"/>
      <c r="BM761" s="132"/>
      <c r="BN761" s="132"/>
    </row>
    <row r="762" spans="1:88" x14ac:dyDescent="0.3">
      <c r="A762" s="27"/>
      <c r="B762" s="27"/>
      <c r="C762" s="27"/>
      <c r="D762" s="27"/>
      <c r="E762" s="27"/>
      <c r="F762" s="27"/>
      <c r="G762" s="27"/>
      <c r="H762" s="27"/>
      <c r="I762" s="27"/>
      <c r="J762" s="27"/>
      <c r="K762" s="27"/>
      <c r="L762" s="27"/>
      <c r="N762" s="27"/>
      <c r="O762" s="27"/>
      <c r="P762" s="27"/>
      <c r="Q762" s="117" t="s">
        <v>1327</v>
      </c>
      <c r="R762" s="27"/>
      <c r="S762" s="27"/>
      <c r="T762" s="27"/>
      <c r="U762" s="27"/>
      <c r="V762" s="27"/>
      <c r="W762" s="27"/>
      <c r="X762" s="27"/>
      <c r="Y762" s="27"/>
      <c r="AE762" s="27"/>
      <c r="BD762" s="132"/>
      <c r="BE762" s="133"/>
      <c r="BF762" s="133"/>
      <c r="BG762" s="132"/>
      <c r="BH762" s="132"/>
      <c r="BI762" s="132"/>
      <c r="BJ762" s="132"/>
      <c r="BK762" s="124"/>
      <c r="BL762" s="132"/>
      <c r="BM762" s="132"/>
      <c r="BN762" s="132"/>
    </row>
    <row r="763" spans="1:88" x14ac:dyDescent="0.3">
      <c r="A763" s="27"/>
      <c r="B763" s="27"/>
      <c r="C763" s="27"/>
      <c r="D763" s="27"/>
      <c r="E763" s="27"/>
      <c r="F763" s="27"/>
      <c r="G763" s="27"/>
      <c r="H763" s="27"/>
      <c r="I763" s="27"/>
      <c r="J763" s="27"/>
      <c r="K763" s="27"/>
      <c r="L763" s="27"/>
      <c r="N763" s="27"/>
      <c r="O763" s="27"/>
      <c r="P763" s="27"/>
      <c r="Q763" s="117" t="s">
        <v>1328</v>
      </c>
      <c r="R763" s="27"/>
      <c r="S763" s="27"/>
      <c r="T763" s="27"/>
      <c r="U763" s="27"/>
      <c r="V763" s="27"/>
      <c r="W763" s="27"/>
      <c r="X763" s="27"/>
      <c r="Y763" s="27"/>
      <c r="AE763" s="27"/>
      <c r="BD763" s="132"/>
      <c r="BE763" s="133"/>
      <c r="BF763" s="133"/>
      <c r="BG763" s="132"/>
      <c r="BH763" s="132"/>
      <c r="BI763" s="132"/>
      <c r="BJ763" s="132"/>
      <c r="BK763" s="124"/>
      <c r="BL763" s="132"/>
      <c r="BM763" s="132"/>
      <c r="BN763" s="132"/>
    </row>
    <row r="764" spans="1:88" x14ac:dyDescent="0.3">
      <c r="A764" s="27"/>
      <c r="B764" s="27"/>
      <c r="C764" s="27"/>
      <c r="D764" s="27"/>
      <c r="E764" s="27"/>
      <c r="F764" s="27"/>
      <c r="G764" s="27"/>
      <c r="H764" s="27"/>
      <c r="I764" s="27"/>
      <c r="J764" s="27"/>
      <c r="K764" s="27"/>
      <c r="L764" s="27"/>
      <c r="N764" s="27"/>
      <c r="O764" s="27"/>
      <c r="P764" s="27"/>
      <c r="Q764" s="117" t="s">
        <v>1329</v>
      </c>
      <c r="R764" s="27"/>
      <c r="S764" s="27"/>
      <c r="T764" s="27"/>
      <c r="U764" s="27"/>
      <c r="V764" s="27"/>
      <c r="W764" s="27"/>
      <c r="X764" s="27"/>
      <c r="Y764" s="27"/>
      <c r="AE764" s="27"/>
      <c r="BD764" s="132"/>
      <c r="BE764" s="133"/>
      <c r="BF764" s="133"/>
      <c r="BG764" s="132"/>
      <c r="BH764" s="132"/>
      <c r="BI764" s="132"/>
      <c r="BJ764" s="132"/>
      <c r="BK764" s="124"/>
      <c r="BL764" s="132"/>
      <c r="BM764" s="132"/>
      <c r="BN764" s="132"/>
    </row>
    <row r="765" spans="1:88" x14ac:dyDescent="0.3">
      <c r="A765" s="27"/>
      <c r="B765" s="27"/>
      <c r="C765" s="27"/>
      <c r="D765" s="27"/>
      <c r="E765" s="27"/>
      <c r="F765" s="27"/>
      <c r="G765" s="27"/>
      <c r="H765" s="27"/>
      <c r="I765" s="27"/>
      <c r="J765" s="27"/>
      <c r="K765" s="27"/>
      <c r="L765" s="27"/>
      <c r="N765" s="27"/>
      <c r="O765" s="27"/>
      <c r="P765" s="27"/>
      <c r="Q765" s="117" t="s">
        <v>1330</v>
      </c>
      <c r="R765" s="27"/>
      <c r="S765" s="27"/>
      <c r="T765" s="27"/>
      <c r="U765" s="27"/>
      <c r="V765" s="27"/>
      <c r="W765" s="27"/>
      <c r="X765" s="27"/>
      <c r="Y765" s="27"/>
      <c r="AE765" s="27"/>
      <c r="BD765" s="132"/>
      <c r="BE765" s="133"/>
      <c r="BF765" s="133"/>
      <c r="BG765" s="132"/>
      <c r="BH765" s="132"/>
      <c r="BI765" s="132"/>
      <c r="BJ765" s="132"/>
      <c r="BK765" s="124"/>
      <c r="BL765" s="132"/>
      <c r="BM765" s="132"/>
      <c r="BN765" s="132"/>
    </row>
    <row r="766" spans="1:88" x14ac:dyDescent="0.3">
      <c r="A766" s="27"/>
      <c r="B766" s="27"/>
      <c r="C766" s="27"/>
      <c r="D766" s="27"/>
      <c r="E766" s="27"/>
      <c r="F766" s="27"/>
      <c r="G766" s="27"/>
      <c r="H766" s="27"/>
      <c r="I766" s="27"/>
      <c r="J766" s="27"/>
      <c r="K766" s="27"/>
      <c r="L766" s="27"/>
      <c r="N766" s="27"/>
      <c r="O766" s="27"/>
      <c r="P766" s="27"/>
      <c r="Q766" s="117" t="s">
        <v>1331</v>
      </c>
      <c r="R766" s="27"/>
      <c r="S766" s="27"/>
      <c r="T766" s="27"/>
      <c r="U766" s="27"/>
      <c r="V766" s="27"/>
      <c r="W766" s="27"/>
      <c r="X766" s="27"/>
      <c r="Y766" s="27"/>
      <c r="AE766" s="27"/>
      <c r="BD766" s="132"/>
      <c r="BE766" s="133"/>
      <c r="BF766" s="133"/>
      <c r="BG766" s="132"/>
      <c r="BH766" s="132"/>
      <c r="BI766" s="132"/>
      <c r="BJ766" s="132"/>
      <c r="BK766" s="124"/>
      <c r="BL766" s="132"/>
      <c r="BM766" s="132"/>
      <c r="BN766" s="132"/>
    </row>
    <row r="767" spans="1:88" x14ac:dyDescent="0.3">
      <c r="A767" s="27"/>
      <c r="B767" s="27"/>
      <c r="C767" s="27"/>
      <c r="D767" s="27"/>
      <c r="E767" s="27"/>
      <c r="F767" s="27"/>
      <c r="G767" s="27"/>
      <c r="H767" s="27"/>
      <c r="I767" s="27"/>
      <c r="J767" s="27"/>
      <c r="K767" s="27"/>
      <c r="L767" s="27"/>
      <c r="N767" s="27"/>
      <c r="O767" s="27"/>
      <c r="P767" s="27"/>
      <c r="Q767" s="117" t="s">
        <v>1332</v>
      </c>
      <c r="R767" s="27"/>
      <c r="S767" s="27"/>
      <c r="T767" s="27"/>
      <c r="U767" s="27"/>
      <c r="V767" s="27"/>
      <c r="W767" s="27"/>
      <c r="X767" s="27"/>
      <c r="Y767" s="27"/>
      <c r="AE767" s="27"/>
      <c r="BD767" s="132"/>
      <c r="BE767" s="133"/>
      <c r="BF767" s="133"/>
      <c r="BG767" s="132"/>
      <c r="BH767" s="132"/>
      <c r="BI767" s="132"/>
      <c r="BJ767" s="132"/>
      <c r="BK767" s="124"/>
      <c r="BL767" s="132"/>
      <c r="BM767" s="132"/>
      <c r="BN767" s="132"/>
    </row>
    <row r="768" spans="1:88" x14ac:dyDescent="0.3">
      <c r="A768" s="27"/>
      <c r="B768" s="27"/>
      <c r="C768" s="27"/>
      <c r="D768" s="27"/>
      <c r="E768" s="27"/>
      <c r="F768" s="27"/>
      <c r="G768" s="27"/>
      <c r="H768" s="27"/>
      <c r="I768" s="27"/>
      <c r="J768" s="27"/>
      <c r="K768" s="27"/>
      <c r="L768" s="27"/>
      <c r="N768" s="27"/>
      <c r="O768" s="27"/>
      <c r="P768" s="27"/>
      <c r="Q768" s="117" t="s">
        <v>1333</v>
      </c>
      <c r="R768" s="27"/>
      <c r="S768" s="27"/>
      <c r="T768" s="27"/>
      <c r="U768" s="27"/>
      <c r="V768" s="27"/>
      <c r="W768" s="27"/>
      <c r="X768" s="27"/>
      <c r="Y768" s="27"/>
      <c r="AE768" s="27"/>
      <c r="BD768" s="132"/>
      <c r="BE768" s="133"/>
      <c r="BF768" s="133"/>
      <c r="BG768" s="132"/>
      <c r="BH768" s="132"/>
      <c r="BI768" s="132"/>
      <c r="BJ768" s="132"/>
      <c r="BK768" s="124"/>
      <c r="BL768" s="132"/>
      <c r="BM768" s="132"/>
      <c r="BN768" s="132"/>
    </row>
    <row r="769" spans="1:66" ht="27.6" x14ac:dyDescent="0.3">
      <c r="A769" s="27"/>
      <c r="B769" s="27"/>
      <c r="C769" s="27"/>
      <c r="D769" s="27"/>
      <c r="E769" s="27"/>
      <c r="F769" s="27"/>
      <c r="G769" s="27"/>
      <c r="H769" s="27"/>
      <c r="I769" s="27"/>
      <c r="J769" s="27"/>
      <c r="K769" s="27"/>
      <c r="L769" s="27"/>
      <c r="N769" s="27"/>
      <c r="O769" s="27"/>
      <c r="P769" s="27"/>
      <c r="Q769" s="117" t="s">
        <v>1334</v>
      </c>
      <c r="R769" s="27"/>
      <c r="S769" s="27"/>
      <c r="T769" s="27"/>
      <c r="U769" s="27"/>
      <c r="V769" s="27"/>
      <c r="W769" s="27"/>
      <c r="X769" s="27"/>
      <c r="Y769" s="27"/>
      <c r="AE769" s="27"/>
      <c r="BD769" s="132"/>
      <c r="BE769" s="133"/>
      <c r="BF769" s="133"/>
      <c r="BG769" s="132"/>
      <c r="BH769" s="132"/>
      <c r="BI769" s="132"/>
      <c r="BJ769" s="132"/>
      <c r="BK769" s="124"/>
      <c r="BL769" s="132"/>
      <c r="BM769" s="132"/>
      <c r="BN769" s="132"/>
    </row>
    <row r="770" spans="1:66" x14ac:dyDescent="0.3">
      <c r="A770" s="27"/>
      <c r="B770" s="27"/>
      <c r="C770" s="27"/>
      <c r="D770" s="27"/>
      <c r="E770" s="27"/>
      <c r="F770" s="27"/>
      <c r="G770" s="27"/>
      <c r="H770" s="27"/>
      <c r="I770" s="27"/>
      <c r="J770" s="27"/>
      <c r="K770" s="27"/>
      <c r="L770" s="27"/>
      <c r="N770" s="27"/>
      <c r="O770" s="27"/>
      <c r="P770" s="27"/>
      <c r="Q770" s="117" t="s">
        <v>1335</v>
      </c>
      <c r="R770" s="27"/>
      <c r="S770" s="27"/>
      <c r="T770" s="27"/>
      <c r="U770" s="27"/>
      <c r="V770" s="27"/>
      <c r="W770" s="27"/>
      <c r="X770" s="27"/>
      <c r="Y770" s="27"/>
      <c r="AE770" s="27"/>
      <c r="BD770" s="132"/>
      <c r="BE770" s="133"/>
      <c r="BF770" s="133"/>
      <c r="BG770" s="132"/>
      <c r="BH770" s="132"/>
      <c r="BI770" s="132"/>
      <c r="BJ770" s="132"/>
      <c r="BK770" s="124"/>
      <c r="BL770" s="132"/>
      <c r="BM770" s="132"/>
      <c r="BN770" s="132"/>
    </row>
    <row r="771" spans="1:66" x14ac:dyDescent="0.3">
      <c r="A771" s="27"/>
      <c r="B771" s="27"/>
      <c r="C771" s="27"/>
      <c r="D771" s="27"/>
      <c r="E771" s="27"/>
      <c r="F771" s="27"/>
      <c r="G771" s="27"/>
      <c r="H771" s="27"/>
      <c r="I771" s="27"/>
      <c r="J771" s="27"/>
      <c r="K771" s="27"/>
      <c r="L771" s="27"/>
      <c r="N771" s="27"/>
      <c r="O771" s="27"/>
      <c r="P771" s="27"/>
      <c r="Q771" s="117" t="s">
        <v>1336</v>
      </c>
      <c r="R771" s="27"/>
      <c r="S771" s="27"/>
      <c r="T771" s="27"/>
      <c r="U771" s="27"/>
      <c r="V771" s="27"/>
      <c r="W771" s="27"/>
      <c r="X771" s="27"/>
      <c r="Y771" s="27"/>
      <c r="AE771" s="27"/>
      <c r="BD771" s="132"/>
      <c r="BE771" s="133"/>
      <c r="BF771" s="133"/>
      <c r="BG771" s="132"/>
      <c r="BH771" s="132"/>
      <c r="BI771" s="132"/>
      <c r="BJ771" s="132"/>
      <c r="BK771" s="124"/>
      <c r="BL771" s="132"/>
      <c r="BM771" s="132"/>
      <c r="BN771" s="132"/>
    </row>
    <row r="772" spans="1:66" x14ac:dyDescent="0.3">
      <c r="A772" s="27"/>
      <c r="B772" s="27"/>
      <c r="C772" s="27"/>
      <c r="D772" s="27"/>
      <c r="E772" s="27"/>
      <c r="F772" s="27"/>
      <c r="G772" s="27"/>
      <c r="H772" s="27"/>
      <c r="I772" s="27"/>
      <c r="J772" s="27"/>
      <c r="K772" s="27"/>
      <c r="L772" s="27"/>
      <c r="N772" s="27"/>
      <c r="O772" s="27"/>
      <c r="P772" s="27"/>
      <c r="Q772" s="117" t="s">
        <v>1337</v>
      </c>
      <c r="R772" s="27"/>
      <c r="S772" s="27"/>
      <c r="T772" s="27"/>
      <c r="U772" s="27"/>
      <c r="V772" s="27"/>
      <c r="W772" s="27"/>
      <c r="X772" s="27"/>
      <c r="Y772" s="27"/>
      <c r="AE772" s="27"/>
      <c r="BD772" s="132"/>
      <c r="BE772" s="133"/>
      <c r="BF772" s="133"/>
      <c r="BG772" s="132"/>
      <c r="BH772" s="132"/>
      <c r="BI772" s="132"/>
      <c r="BJ772" s="132"/>
      <c r="BK772" s="124"/>
      <c r="BL772" s="132"/>
      <c r="BM772" s="132"/>
      <c r="BN772" s="132"/>
    </row>
    <row r="773" spans="1:66" x14ac:dyDescent="0.3">
      <c r="A773" s="27"/>
      <c r="B773" s="27"/>
      <c r="C773" s="27"/>
      <c r="D773" s="27"/>
      <c r="E773" s="27"/>
      <c r="F773" s="27"/>
      <c r="G773" s="27"/>
      <c r="H773" s="27"/>
      <c r="I773" s="27"/>
      <c r="J773" s="27"/>
      <c r="K773" s="27"/>
      <c r="L773" s="27"/>
      <c r="N773" s="27"/>
      <c r="O773" s="27"/>
      <c r="P773" s="27"/>
      <c r="Q773" s="117" t="s">
        <v>1338</v>
      </c>
      <c r="R773" s="27"/>
      <c r="S773" s="27"/>
      <c r="T773" s="27"/>
      <c r="U773" s="27"/>
      <c r="V773" s="27"/>
      <c r="W773" s="27"/>
      <c r="X773" s="27"/>
      <c r="Y773" s="27"/>
      <c r="AE773" s="27"/>
      <c r="BD773" s="132"/>
      <c r="BE773" s="133"/>
      <c r="BF773" s="133"/>
      <c r="BG773" s="132"/>
      <c r="BH773" s="132"/>
      <c r="BI773" s="132"/>
      <c r="BJ773" s="132"/>
      <c r="BK773" s="124"/>
      <c r="BL773" s="132"/>
      <c r="BM773" s="132"/>
      <c r="BN773" s="132"/>
    </row>
    <row r="774" spans="1:66" x14ac:dyDescent="0.3">
      <c r="A774" s="27"/>
      <c r="B774" s="27"/>
      <c r="C774" s="27"/>
      <c r="D774" s="27"/>
      <c r="E774" s="27"/>
      <c r="F774" s="27"/>
      <c r="G774" s="27"/>
      <c r="H774" s="27"/>
      <c r="I774" s="27"/>
      <c r="J774" s="27"/>
      <c r="K774" s="27"/>
      <c r="L774" s="27"/>
      <c r="N774" s="27"/>
      <c r="O774" s="27"/>
      <c r="P774" s="27"/>
      <c r="Q774" s="117" t="s">
        <v>1339</v>
      </c>
      <c r="R774" s="27"/>
      <c r="S774" s="27"/>
      <c r="T774" s="27"/>
      <c r="U774" s="27"/>
      <c r="V774" s="27"/>
      <c r="W774" s="27"/>
      <c r="X774" s="27"/>
      <c r="Y774" s="27"/>
      <c r="AE774" s="27"/>
      <c r="BD774" s="132"/>
      <c r="BE774" s="133"/>
      <c r="BF774" s="133"/>
      <c r="BG774" s="132"/>
      <c r="BH774" s="132"/>
      <c r="BI774" s="132"/>
      <c r="BJ774" s="132"/>
      <c r="BK774" s="124"/>
      <c r="BL774" s="132"/>
      <c r="BM774" s="132"/>
      <c r="BN774" s="132"/>
    </row>
    <row r="775" spans="1:66" x14ac:dyDescent="0.3">
      <c r="A775" s="27"/>
      <c r="B775" s="27"/>
      <c r="C775" s="27"/>
      <c r="D775" s="27"/>
      <c r="E775" s="27"/>
      <c r="F775" s="27"/>
      <c r="G775" s="27"/>
      <c r="H775" s="27"/>
      <c r="I775" s="27"/>
      <c r="J775" s="27"/>
      <c r="K775" s="27"/>
      <c r="L775" s="27"/>
      <c r="N775" s="27"/>
      <c r="O775" s="27"/>
      <c r="P775" s="27"/>
      <c r="Q775" s="117" t="s">
        <v>1340</v>
      </c>
      <c r="R775" s="27"/>
      <c r="S775" s="27"/>
      <c r="T775" s="27"/>
      <c r="U775" s="27"/>
      <c r="V775" s="27"/>
      <c r="W775" s="27"/>
      <c r="X775" s="27"/>
      <c r="Y775" s="27"/>
      <c r="AE775" s="27"/>
      <c r="BD775" s="132"/>
      <c r="BE775" s="133"/>
      <c r="BF775" s="133"/>
      <c r="BG775" s="132"/>
      <c r="BH775" s="132"/>
      <c r="BI775" s="132"/>
      <c r="BJ775" s="132"/>
      <c r="BK775" s="124"/>
      <c r="BL775" s="132"/>
      <c r="BM775" s="132"/>
      <c r="BN775" s="132"/>
    </row>
    <row r="776" spans="1:66" x14ac:dyDescent="0.3">
      <c r="A776" s="27"/>
      <c r="B776" s="27"/>
      <c r="C776" s="27"/>
      <c r="D776" s="27"/>
      <c r="E776" s="27"/>
      <c r="F776" s="27"/>
      <c r="G776" s="27"/>
      <c r="H776" s="27"/>
      <c r="I776" s="27"/>
      <c r="J776" s="27"/>
      <c r="K776" s="27"/>
      <c r="L776" s="27"/>
      <c r="N776" s="27"/>
      <c r="O776" s="27"/>
      <c r="P776" s="27"/>
      <c r="Q776" s="117" t="s">
        <v>1341</v>
      </c>
      <c r="R776" s="27"/>
      <c r="S776" s="27"/>
      <c r="T776" s="27"/>
      <c r="U776" s="27"/>
      <c r="V776" s="27"/>
      <c r="W776" s="27"/>
      <c r="X776" s="27"/>
      <c r="Y776" s="27"/>
      <c r="AE776" s="27"/>
      <c r="BD776" s="132"/>
      <c r="BE776" s="133"/>
      <c r="BF776" s="133"/>
      <c r="BG776" s="132"/>
      <c r="BH776" s="132"/>
      <c r="BI776" s="132"/>
      <c r="BJ776" s="132"/>
      <c r="BK776" s="124"/>
      <c r="BL776" s="132"/>
      <c r="BM776" s="132"/>
      <c r="BN776" s="132"/>
    </row>
    <row r="777" spans="1:66" x14ac:dyDescent="0.3">
      <c r="A777" s="27"/>
      <c r="B777" s="27"/>
      <c r="C777" s="27"/>
      <c r="D777" s="27"/>
      <c r="E777" s="27"/>
      <c r="F777" s="27"/>
      <c r="G777" s="27"/>
      <c r="H777" s="27"/>
      <c r="I777" s="27"/>
      <c r="J777" s="27"/>
      <c r="K777" s="27"/>
      <c r="L777" s="27"/>
      <c r="N777" s="27"/>
      <c r="O777" s="27"/>
      <c r="P777" s="27"/>
      <c r="Q777" s="117" t="s">
        <v>1342</v>
      </c>
      <c r="R777" s="27"/>
      <c r="S777" s="27"/>
      <c r="T777" s="27"/>
      <c r="U777" s="27"/>
      <c r="V777" s="27"/>
      <c r="W777" s="27"/>
      <c r="X777" s="27"/>
      <c r="Y777" s="27"/>
      <c r="AE777" s="27"/>
      <c r="BD777" s="132"/>
      <c r="BE777" s="133"/>
      <c r="BF777" s="133"/>
      <c r="BG777" s="132"/>
      <c r="BH777" s="132"/>
      <c r="BI777" s="132"/>
      <c r="BJ777" s="132"/>
      <c r="BK777" s="124"/>
      <c r="BL777" s="132"/>
      <c r="BM777" s="132"/>
      <c r="BN777" s="132"/>
    </row>
    <row r="778" spans="1:66" x14ac:dyDescent="0.3">
      <c r="A778" s="27"/>
      <c r="B778" s="27"/>
      <c r="C778" s="27"/>
      <c r="D778" s="27"/>
      <c r="E778" s="27"/>
      <c r="F778" s="27"/>
      <c r="G778" s="27"/>
      <c r="H778" s="27"/>
      <c r="I778" s="27"/>
      <c r="J778" s="27"/>
      <c r="K778" s="27"/>
      <c r="L778" s="27"/>
      <c r="N778" s="27"/>
      <c r="O778" s="27"/>
      <c r="P778" s="27"/>
      <c r="Q778" s="117" t="s">
        <v>1343</v>
      </c>
      <c r="R778" s="27"/>
      <c r="S778" s="27"/>
      <c r="T778" s="27"/>
      <c r="U778" s="27"/>
      <c r="V778" s="27"/>
      <c r="W778" s="27"/>
      <c r="X778" s="27"/>
      <c r="Y778" s="27"/>
      <c r="AE778" s="27"/>
      <c r="BD778" s="132"/>
      <c r="BE778" s="133"/>
      <c r="BF778" s="133"/>
      <c r="BG778" s="132"/>
      <c r="BH778" s="132"/>
      <c r="BI778" s="132"/>
      <c r="BJ778" s="132"/>
      <c r="BK778" s="124"/>
      <c r="BL778" s="132"/>
      <c r="BM778" s="132"/>
      <c r="BN778" s="132"/>
    </row>
    <row r="779" spans="1:66" x14ac:dyDescent="0.3">
      <c r="A779" s="27"/>
      <c r="B779" s="27"/>
      <c r="C779" s="27"/>
      <c r="D779" s="27"/>
      <c r="E779" s="27"/>
      <c r="F779" s="27"/>
      <c r="G779" s="27"/>
      <c r="H779" s="27"/>
      <c r="I779" s="27"/>
      <c r="J779" s="27"/>
      <c r="K779" s="27"/>
      <c r="L779" s="27"/>
      <c r="N779" s="27"/>
      <c r="O779" s="27"/>
      <c r="P779" s="27"/>
      <c r="Q779" s="117" t="s">
        <v>1344</v>
      </c>
      <c r="R779" s="27"/>
      <c r="S779" s="27"/>
      <c r="T779" s="27"/>
      <c r="U779" s="27"/>
      <c r="V779" s="27"/>
      <c r="W779" s="27"/>
      <c r="X779" s="27"/>
      <c r="Y779" s="27"/>
      <c r="AE779" s="27"/>
      <c r="BD779" s="132"/>
      <c r="BE779" s="133"/>
      <c r="BF779" s="133"/>
      <c r="BG779" s="132"/>
      <c r="BH779" s="132"/>
      <c r="BI779" s="132"/>
      <c r="BJ779" s="132"/>
      <c r="BK779" s="124"/>
      <c r="BL779" s="132"/>
      <c r="BM779" s="132"/>
      <c r="BN779" s="132"/>
    </row>
    <row r="780" spans="1:66" x14ac:dyDescent="0.3">
      <c r="A780" s="27"/>
      <c r="B780" s="27"/>
      <c r="C780" s="27"/>
      <c r="D780" s="27"/>
      <c r="E780" s="27"/>
      <c r="F780" s="27"/>
      <c r="G780" s="27"/>
      <c r="H780" s="27"/>
      <c r="I780" s="27"/>
      <c r="J780" s="27"/>
      <c r="K780" s="27"/>
      <c r="L780" s="27"/>
      <c r="N780" s="27"/>
      <c r="O780" s="27"/>
      <c r="P780" s="27"/>
      <c r="Q780" s="117" t="s">
        <v>1345</v>
      </c>
      <c r="R780" s="27"/>
      <c r="S780" s="27"/>
      <c r="T780" s="27"/>
      <c r="U780" s="27"/>
      <c r="V780" s="27"/>
      <c r="W780" s="27"/>
      <c r="X780" s="27"/>
      <c r="Y780" s="27"/>
      <c r="AE780" s="27"/>
      <c r="BD780" s="132"/>
      <c r="BE780" s="133"/>
      <c r="BF780" s="133"/>
      <c r="BG780" s="132"/>
      <c r="BH780" s="132"/>
      <c r="BI780" s="132"/>
      <c r="BJ780" s="132"/>
      <c r="BK780" s="124"/>
      <c r="BL780" s="132"/>
      <c r="BM780" s="132"/>
      <c r="BN780" s="132"/>
    </row>
    <row r="781" spans="1:66" x14ac:dyDescent="0.3">
      <c r="A781" s="27"/>
      <c r="B781" s="27"/>
      <c r="C781" s="27"/>
      <c r="D781" s="27"/>
      <c r="E781" s="27"/>
      <c r="F781" s="27"/>
      <c r="G781" s="27"/>
      <c r="H781" s="27"/>
      <c r="I781" s="27"/>
      <c r="J781" s="27"/>
      <c r="K781" s="27"/>
      <c r="L781" s="27"/>
      <c r="N781" s="27"/>
      <c r="O781" s="27"/>
      <c r="P781" s="27"/>
      <c r="Q781" s="117" t="s">
        <v>1346</v>
      </c>
      <c r="R781" s="27"/>
      <c r="S781" s="27"/>
      <c r="T781" s="27"/>
      <c r="U781" s="27"/>
      <c r="V781" s="27"/>
      <c r="W781" s="27"/>
      <c r="X781" s="27"/>
      <c r="Y781" s="27"/>
      <c r="AE781" s="27"/>
      <c r="BD781" s="132"/>
      <c r="BE781" s="133"/>
      <c r="BF781" s="133"/>
      <c r="BG781" s="132"/>
      <c r="BH781" s="132"/>
      <c r="BI781" s="132"/>
      <c r="BJ781" s="132"/>
      <c r="BK781" s="124"/>
      <c r="BL781" s="132"/>
      <c r="BM781" s="132"/>
      <c r="BN781" s="132"/>
    </row>
    <row r="782" spans="1:66" x14ac:dyDescent="0.3">
      <c r="A782" s="27"/>
      <c r="B782" s="27"/>
      <c r="C782" s="27"/>
      <c r="D782" s="27"/>
      <c r="E782" s="27"/>
      <c r="F782" s="27"/>
      <c r="G782" s="27"/>
      <c r="H782" s="27"/>
      <c r="I782" s="27"/>
      <c r="J782" s="27"/>
      <c r="K782" s="27"/>
      <c r="L782" s="27"/>
      <c r="N782" s="27"/>
      <c r="O782" s="27"/>
      <c r="P782" s="27"/>
      <c r="Q782" s="117" t="s">
        <v>1347</v>
      </c>
      <c r="R782" s="27"/>
      <c r="S782" s="27"/>
      <c r="T782" s="27"/>
      <c r="U782" s="27"/>
      <c r="V782" s="27"/>
      <c r="W782" s="27"/>
      <c r="X782" s="27"/>
      <c r="Y782" s="27"/>
      <c r="AE782" s="27"/>
      <c r="BD782" s="132"/>
      <c r="BE782" s="133"/>
      <c r="BF782" s="133"/>
      <c r="BG782" s="132"/>
      <c r="BH782" s="132"/>
      <c r="BI782" s="132"/>
      <c r="BJ782" s="132"/>
      <c r="BK782" s="124"/>
      <c r="BL782" s="132"/>
      <c r="BM782" s="132"/>
      <c r="BN782" s="132"/>
    </row>
    <row r="783" spans="1:66" x14ac:dyDescent="0.3">
      <c r="A783" s="27"/>
      <c r="B783" s="27"/>
      <c r="C783" s="27"/>
      <c r="D783" s="27"/>
      <c r="E783" s="27"/>
      <c r="F783" s="27"/>
      <c r="G783" s="27"/>
      <c r="H783" s="27"/>
      <c r="I783" s="27"/>
      <c r="J783" s="27"/>
      <c r="K783" s="27"/>
      <c r="L783" s="27"/>
      <c r="N783" s="27"/>
      <c r="O783" s="27"/>
      <c r="P783" s="27"/>
      <c r="Q783" s="117" t="s">
        <v>1348</v>
      </c>
      <c r="R783" s="27"/>
      <c r="S783" s="27"/>
      <c r="T783" s="27"/>
      <c r="U783" s="27"/>
      <c r="V783" s="27"/>
      <c r="W783" s="27"/>
      <c r="X783" s="27"/>
      <c r="Y783" s="27"/>
      <c r="AE783" s="27"/>
      <c r="BD783" s="132"/>
      <c r="BE783" s="133"/>
      <c r="BF783" s="133"/>
      <c r="BG783" s="132"/>
      <c r="BH783" s="132"/>
      <c r="BI783" s="132"/>
      <c r="BJ783" s="132"/>
      <c r="BK783" s="124"/>
      <c r="BL783" s="132"/>
      <c r="BM783" s="132"/>
      <c r="BN783" s="132"/>
    </row>
    <row r="784" spans="1:66" x14ac:dyDescent="0.3">
      <c r="A784" s="27"/>
      <c r="B784" s="27"/>
      <c r="C784" s="27"/>
      <c r="D784" s="27"/>
      <c r="E784" s="27"/>
      <c r="F784" s="27"/>
      <c r="G784" s="27"/>
      <c r="H784" s="27"/>
      <c r="I784" s="27"/>
      <c r="J784" s="27"/>
      <c r="K784" s="27"/>
      <c r="L784" s="27"/>
      <c r="N784" s="27"/>
      <c r="O784" s="27"/>
      <c r="P784" s="27"/>
      <c r="Q784" s="117" t="s">
        <v>1349</v>
      </c>
      <c r="R784" s="27"/>
      <c r="S784" s="27"/>
      <c r="T784" s="27"/>
      <c r="U784" s="27"/>
      <c r="V784" s="27"/>
      <c r="W784" s="27"/>
      <c r="X784" s="27"/>
      <c r="Y784" s="27"/>
      <c r="AE784" s="27"/>
      <c r="BD784" s="132"/>
      <c r="BE784" s="133"/>
      <c r="BF784" s="133"/>
      <c r="BG784" s="132"/>
      <c r="BH784" s="132"/>
      <c r="BI784" s="132"/>
      <c r="BJ784" s="132"/>
      <c r="BK784" s="124"/>
      <c r="BL784" s="132"/>
      <c r="BM784" s="132"/>
      <c r="BN784" s="132"/>
    </row>
    <row r="785" spans="1:66" x14ac:dyDescent="0.3">
      <c r="A785" s="27"/>
      <c r="B785" s="27"/>
      <c r="C785" s="27"/>
      <c r="D785" s="27"/>
      <c r="E785" s="27"/>
      <c r="F785" s="27"/>
      <c r="G785" s="27"/>
      <c r="H785" s="27"/>
      <c r="I785" s="27"/>
      <c r="J785" s="27"/>
      <c r="K785" s="27"/>
      <c r="L785" s="27"/>
      <c r="N785" s="27"/>
      <c r="O785" s="27"/>
      <c r="P785" s="27"/>
      <c r="Q785" s="117" t="s">
        <v>1350</v>
      </c>
      <c r="R785" s="27"/>
      <c r="S785" s="27"/>
      <c r="T785" s="27"/>
      <c r="U785" s="27"/>
      <c r="V785" s="27"/>
      <c r="W785" s="27"/>
      <c r="X785" s="27"/>
      <c r="Y785" s="27"/>
      <c r="AE785" s="27"/>
      <c r="BD785" s="132"/>
      <c r="BE785" s="133"/>
      <c r="BF785" s="133"/>
      <c r="BG785" s="132"/>
      <c r="BH785" s="132"/>
      <c r="BI785" s="132"/>
      <c r="BJ785" s="132"/>
      <c r="BK785" s="124"/>
      <c r="BL785" s="132"/>
      <c r="BM785" s="132"/>
      <c r="BN785" s="132"/>
    </row>
    <row r="786" spans="1:66" x14ac:dyDescent="0.3">
      <c r="A786" s="27"/>
      <c r="B786" s="27"/>
      <c r="C786" s="27"/>
      <c r="D786" s="27"/>
      <c r="E786" s="27"/>
      <c r="F786" s="27"/>
      <c r="G786" s="27"/>
      <c r="H786" s="27"/>
      <c r="I786" s="27"/>
      <c r="J786" s="27"/>
      <c r="K786" s="27"/>
      <c r="L786" s="27"/>
      <c r="N786" s="27"/>
      <c r="O786" s="27"/>
      <c r="P786" s="27"/>
      <c r="Q786" s="117" t="s">
        <v>1351</v>
      </c>
      <c r="R786" s="27"/>
      <c r="S786" s="27"/>
      <c r="T786" s="27"/>
      <c r="U786" s="27"/>
      <c r="V786" s="27"/>
      <c r="W786" s="27"/>
      <c r="X786" s="27"/>
      <c r="Y786" s="27"/>
      <c r="AE786" s="27"/>
      <c r="BD786" s="132"/>
      <c r="BE786" s="133"/>
      <c r="BF786" s="133"/>
      <c r="BG786" s="132"/>
      <c r="BH786" s="132"/>
      <c r="BI786" s="132"/>
      <c r="BJ786" s="132"/>
      <c r="BK786" s="124"/>
      <c r="BL786" s="132"/>
      <c r="BM786" s="132"/>
      <c r="BN786" s="132"/>
    </row>
    <row r="787" spans="1:66" x14ac:dyDescent="0.3">
      <c r="A787" s="27"/>
      <c r="B787" s="27"/>
      <c r="C787" s="27"/>
      <c r="D787" s="27"/>
      <c r="E787" s="27"/>
      <c r="F787" s="27"/>
      <c r="G787" s="27"/>
      <c r="H787" s="27"/>
      <c r="I787" s="27"/>
      <c r="J787" s="27"/>
      <c r="K787" s="27"/>
      <c r="L787" s="27"/>
      <c r="N787" s="27"/>
      <c r="O787" s="27"/>
      <c r="P787" s="27"/>
      <c r="Q787" s="117" t="s">
        <v>1352</v>
      </c>
      <c r="R787" s="27"/>
      <c r="S787" s="27"/>
      <c r="T787" s="27"/>
      <c r="U787" s="27"/>
      <c r="V787" s="27"/>
      <c r="W787" s="27"/>
      <c r="X787" s="27"/>
      <c r="Y787" s="27"/>
      <c r="AE787" s="27"/>
      <c r="BD787" s="132"/>
      <c r="BE787" s="133"/>
      <c r="BF787" s="133"/>
      <c r="BG787" s="132"/>
      <c r="BH787" s="132"/>
      <c r="BI787" s="132"/>
      <c r="BJ787" s="132"/>
      <c r="BK787" s="124"/>
      <c r="BL787" s="132"/>
      <c r="BM787" s="132"/>
      <c r="BN787" s="132"/>
    </row>
    <row r="788" spans="1:66" x14ac:dyDescent="0.3">
      <c r="A788" s="27"/>
      <c r="B788" s="27"/>
      <c r="C788" s="27"/>
      <c r="D788" s="27"/>
      <c r="E788" s="27"/>
      <c r="F788" s="27"/>
      <c r="G788" s="27"/>
      <c r="H788" s="27"/>
      <c r="I788" s="27"/>
      <c r="J788" s="27"/>
      <c r="K788" s="27"/>
      <c r="L788" s="27"/>
      <c r="N788" s="27"/>
      <c r="O788" s="27"/>
      <c r="P788" s="27"/>
      <c r="Q788" s="117" t="s">
        <v>1353</v>
      </c>
      <c r="R788" s="27"/>
      <c r="S788" s="27"/>
      <c r="T788" s="27"/>
      <c r="U788" s="27"/>
      <c r="V788" s="27"/>
      <c r="W788" s="27"/>
      <c r="X788" s="27"/>
      <c r="Y788" s="27"/>
      <c r="AE788" s="27"/>
      <c r="BD788" s="132"/>
      <c r="BE788" s="133"/>
      <c r="BF788" s="133"/>
      <c r="BG788" s="132"/>
      <c r="BH788" s="132"/>
      <c r="BI788" s="132"/>
      <c r="BJ788" s="132"/>
      <c r="BK788" s="124"/>
      <c r="BL788" s="132"/>
      <c r="BM788" s="132"/>
      <c r="BN788" s="132"/>
    </row>
    <row r="789" spans="1:66" x14ac:dyDescent="0.3">
      <c r="A789" s="27"/>
      <c r="B789" s="27"/>
      <c r="C789" s="27"/>
      <c r="D789" s="27"/>
      <c r="E789" s="27"/>
      <c r="F789" s="27"/>
      <c r="G789" s="27"/>
      <c r="H789" s="27"/>
      <c r="I789" s="27"/>
      <c r="J789" s="27"/>
      <c r="K789" s="27"/>
      <c r="L789" s="27"/>
      <c r="N789" s="27"/>
      <c r="O789" s="27"/>
      <c r="P789" s="27"/>
      <c r="Q789" s="117" t="s">
        <v>1354</v>
      </c>
      <c r="R789" s="27"/>
      <c r="S789" s="27"/>
      <c r="T789" s="27"/>
      <c r="U789" s="27"/>
      <c r="V789" s="27"/>
      <c r="W789" s="27"/>
      <c r="X789" s="27"/>
      <c r="Y789" s="27"/>
      <c r="AE789" s="27"/>
      <c r="BD789" s="132"/>
      <c r="BE789" s="133"/>
      <c r="BF789" s="133"/>
      <c r="BG789" s="132"/>
      <c r="BH789" s="132"/>
      <c r="BI789" s="132"/>
      <c r="BJ789" s="132"/>
      <c r="BK789" s="124"/>
      <c r="BL789" s="132"/>
      <c r="BM789" s="132"/>
      <c r="BN789" s="132"/>
    </row>
    <row r="790" spans="1:66" x14ac:dyDescent="0.3">
      <c r="A790" s="27"/>
      <c r="B790" s="27"/>
      <c r="C790" s="27"/>
      <c r="D790" s="27"/>
      <c r="E790" s="27"/>
      <c r="F790" s="27"/>
      <c r="G790" s="27"/>
      <c r="H790" s="27"/>
      <c r="I790" s="27"/>
      <c r="J790" s="27"/>
      <c r="K790" s="27"/>
      <c r="L790" s="27"/>
      <c r="N790" s="27"/>
      <c r="O790" s="27"/>
      <c r="P790" s="27"/>
      <c r="Q790" s="117" t="s">
        <v>1355</v>
      </c>
      <c r="R790" s="27"/>
      <c r="S790" s="27"/>
      <c r="T790" s="27"/>
      <c r="U790" s="27"/>
      <c r="V790" s="27"/>
      <c r="W790" s="27"/>
      <c r="X790" s="27"/>
      <c r="Y790" s="27"/>
      <c r="AE790" s="27"/>
      <c r="BD790" s="132"/>
      <c r="BE790" s="133"/>
      <c r="BF790" s="133"/>
      <c r="BG790" s="132"/>
      <c r="BH790" s="132"/>
      <c r="BI790" s="132"/>
      <c r="BJ790" s="132"/>
      <c r="BK790" s="124"/>
      <c r="BL790" s="132"/>
      <c r="BM790" s="132"/>
      <c r="BN790" s="132"/>
    </row>
    <row r="791" spans="1:66" x14ac:dyDescent="0.3">
      <c r="A791" s="27"/>
      <c r="B791" s="27"/>
      <c r="C791" s="27"/>
      <c r="D791" s="27"/>
      <c r="E791" s="27"/>
      <c r="F791" s="27"/>
      <c r="G791" s="27"/>
      <c r="H791" s="27"/>
      <c r="I791" s="27"/>
      <c r="J791" s="27"/>
      <c r="K791" s="27"/>
      <c r="L791" s="27"/>
      <c r="N791" s="27"/>
      <c r="O791" s="27"/>
      <c r="P791" s="27"/>
      <c r="Q791" s="117" t="s">
        <v>1356</v>
      </c>
      <c r="R791" s="27"/>
      <c r="S791" s="27"/>
      <c r="T791" s="27"/>
      <c r="U791" s="27"/>
      <c r="V791" s="27"/>
      <c r="W791" s="27"/>
      <c r="X791" s="27"/>
      <c r="Y791" s="27"/>
      <c r="AE791" s="27"/>
      <c r="BD791" s="132"/>
      <c r="BE791" s="133"/>
      <c r="BF791" s="133"/>
      <c r="BG791" s="132"/>
      <c r="BH791" s="132"/>
      <c r="BI791" s="132"/>
      <c r="BJ791" s="132"/>
      <c r="BK791" s="124"/>
      <c r="BL791" s="132"/>
      <c r="BM791" s="132"/>
      <c r="BN791" s="132"/>
    </row>
    <row r="792" spans="1:66" x14ac:dyDescent="0.3">
      <c r="A792" s="27"/>
      <c r="B792" s="27"/>
      <c r="C792" s="27"/>
      <c r="D792" s="27"/>
      <c r="E792" s="27"/>
      <c r="F792" s="27"/>
      <c r="G792" s="27"/>
      <c r="H792" s="27"/>
      <c r="I792" s="27"/>
      <c r="J792" s="27"/>
      <c r="K792" s="27"/>
      <c r="L792" s="27"/>
      <c r="N792" s="27"/>
      <c r="O792" s="27"/>
      <c r="P792" s="27"/>
      <c r="Q792" s="117" t="s">
        <v>1357</v>
      </c>
      <c r="R792" s="27"/>
      <c r="S792" s="27"/>
      <c r="T792" s="27"/>
      <c r="U792" s="27"/>
      <c r="V792" s="27"/>
      <c r="W792" s="27"/>
      <c r="X792" s="27"/>
      <c r="Y792" s="27"/>
      <c r="AE792" s="27"/>
      <c r="BD792" s="132"/>
      <c r="BE792" s="133"/>
      <c r="BF792" s="133"/>
      <c r="BG792" s="132"/>
      <c r="BH792" s="132"/>
      <c r="BI792" s="132"/>
      <c r="BJ792" s="132"/>
      <c r="BK792" s="124"/>
      <c r="BL792" s="132"/>
      <c r="BM792" s="132"/>
      <c r="BN792" s="132"/>
    </row>
    <row r="793" spans="1:66" x14ac:dyDescent="0.3">
      <c r="A793" s="27"/>
      <c r="B793" s="27"/>
      <c r="C793" s="27"/>
      <c r="D793" s="27"/>
      <c r="E793" s="27"/>
      <c r="F793" s="27"/>
      <c r="G793" s="27"/>
      <c r="H793" s="27"/>
      <c r="I793" s="27"/>
      <c r="J793" s="27"/>
      <c r="K793" s="27"/>
      <c r="L793" s="27"/>
      <c r="N793" s="27"/>
      <c r="O793" s="27"/>
      <c r="P793" s="27"/>
      <c r="Q793" s="117" t="s">
        <v>1358</v>
      </c>
      <c r="R793" s="27"/>
      <c r="S793" s="27"/>
      <c r="T793" s="27"/>
      <c r="U793" s="27"/>
      <c r="V793" s="27"/>
      <c r="W793" s="27"/>
      <c r="X793" s="27"/>
      <c r="Y793" s="27"/>
      <c r="AE793" s="27"/>
      <c r="BD793" s="132"/>
      <c r="BE793" s="133"/>
      <c r="BF793" s="133"/>
      <c r="BG793" s="132"/>
      <c r="BH793" s="132"/>
      <c r="BI793" s="132"/>
      <c r="BJ793" s="132"/>
      <c r="BK793" s="124"/>
      <c r="BL793" s="132"/>
      <c r="BM793" s="132"/>
      <c r="BN793" s="132"/>
    </row>
    <row r="794" spans="1:66" x14ac:dyDescent="0.3">
      <c r="A794" s="27"/>
      <c r="B794" s="27"/>
      <c r="C794" s="27"/>
      <c r="D794" s="27"/>
      <c r="E794" s="27"/>
      <c r="F794" s="27"/>
      <c r="G794" s="27"/>
      <c r="H794" s="27"/>
      <c r="I794" s="27"/>
      <c r="J794" s="27"/>
      <c r="K794" s="27"/>
      <c r="L794" s="27"/>
      <c r="N794" s="27"/>
      <c r="O794" s="27"/>
      <c r="P794" s="27"/>
      <c r="Q794" s="117" t="s">
        <v>1359</v>
      </c>
      <c r="R794" s="27"/>
      <c r="S794" s="27"/>
      <c r="T794" s="27"/>
      <c r="U794" s="27"/>
      <c r="V794" s="27"/>
      <c r="W794" s="27"/>
      <c r="X794" s="27"/>
      <c r="Y794" s="27"/>
      <c r="AE794" s="27"/>
      <c r="BD794" s="132"/>
      <c r="BE794" s="133"/>
      <c r="BF794" s="133"/>
      <c r="BG794" s="132"/>
      <c r="BH794" s="132"/>
      <c r="BI794" s="132"/>
      <c r="BJ794" s="132"/>
      <c r="BK794" s="124"/>
      <c r="BL794" s="132"/>
      <c r="BM794" s="132"/>
      <c r="BN794" s="132"/>
    </row>
    <row r="795" spans="1:66" x14ac:dyDescent="0.3">
      <c r="A795" s="27"/>
      <c r="B795" s="27"/>
      <c r="C795" s="27"/>
      <c r="D795" s="27"/>
      <c r="E795" s="27"/>
      <c r="F795" s="27"/>
      <c r="G795" s="27"/>
      <c r="H795" s="27"/>
      <c r="I795" s="27"/>
      <c r="J795" s="27"/>
      <c r="K795" s="27"/>
      <c r="L795" s="27"/>
      <c r="N795" s="27"/>
      <c r="O795" s="27"/>
      <c r="P795" s="27"/>
      <c r="Q795" s="117" t="s">
        <v>1360</v>
      </c>
      <c r="R795" s="27"/>
      <c r="S795" s="27"/>
      <c r="T795" s="27"/>
      <c r="U795" s="27"/>
      <c r="V795" s="27"/>
      <c r="W795" s="27"/>
      <c r="X795" s="27"/>
      <c r="Y795" s="27"/>
      <c r="AE795" s="27"/>
      <c r="BD795" s="132"/>
      <c r="BE795" s="133"/>
      <c r="BF795" s="133"/>
      <c r="BG795" s="132"/>
      <c r="BH795" s="132"/>
      <c r="BI795" s="132"/>
      <c r="BJ795" s="132"/>
      <c r="BK795" s="124"/>
      <c r="BL795" s="132"/>
      <c r="BM795" s="132"/>
      <c r="BN795" s="132"/>
    </row>
    <row r="796" spans="1:66" x14ac:dyDescent="0.3">
      <c r="A796" s="27"/>
      <c r="B796" s="27"/>
      <c r="C796" s="27"/>
      <c r="D796" s="27"/>
      <c r="E796" s="27"/>
      <c r="F796" s="27"/>
      <c r="G796" s="27"/>
      <c r="H796" s="27"/>
      <c r="I796" s="27"/>
      <c r="J796" s="27"/>
      <c r="K796" s="27"/>
      <c r="L796" s="27"/>
      <c r="N796" s="27"/>
      <c r="O796" s="27"/>
      <c r="P796" s="27"/>
      <c r="Q796" s="117" t="s">
        <v>1361</v>
      </c>
      <c r="R796" s="27"/>
      <c r="S796" s="27"/>
      <c r="T796" s="27"/>
      <c r="U796" s="27"/>
      <c r="V796" s="27"/>
      <c r="W796" s="27"/>
      <c r="X796" s="27"/>
      <c r="Y796" s="27"/>
      <c r="AE796" s="27"/>
      <c r="BD796" s="132"/>
      <c r="BE796" s="133"/>
      <c r="BF796" s="133"/>
      <c r="BG796" s="132"/>
      <c r="BH796" s="132"/>
      <c r="BI796" s="132"/>
      <c r="BJ796" s="132"/>
      <c r="BK796" s="124"/>
      <c r="BL796" s="132"/>
      <c r="BM796" s="132"/>
      <c r="BN796" s="132"/>
    </row>
    <row r="797" spans="1:66" x14ac:dyDescent="0.3">
      <c r="A797" s="27"/>
      <c r="B797" s="27"/>
      <c r="C797" s="27"/>
      <c r="D797" s="27"/>
      <c r="E797" s="27"/>
      <c r="F797" s="27"/>
      <c r="G797" s="27"/>
      <c r="H797" s="27"/>
      <c r="I797" s="27"/>
      <c r="J797" s="27"/>
      <c r="K797" s="27"/>
      <c r="L797" s="27"/>
      <c r="N797" s="27"/>
      <c r="O797" s="27"/>
      <c r="P797" s="27"/>
      <c r="Q797" s="117" t="s">
        <v>1362</v>
      </c>
      <c r="R797" s="27"/>
      <c r="S797" s="27"/>
      <c r="T797" s="27"/>
      <c r="U797" s="27"/>
      <c r="V797" s="27"/>
      <c r="W797" s="27"/>
      <c r="X797" s="27"/>
      <c r="Y797" s="27"/>
      <c r="AE797" s="27"/>
      <c r="BD797" s="132"/>
      <c r="BE797" s="133"/>
      <c r="BF797" s="133"/>
      <c r="BG797" s="132"/>
      <c r="BH797" s="132"/>
      <c r="BI797" s="132"/>
      <c r="BJ797" s="132"/>
      <c r="BK797" s="124"/>
      <c r="BL797" s="132"/>
      <c r="BM797" s="132"/>
      <c r="BN797" s="132"/>
    </row>
    <row r="798" spans="1:66" x14ac:dyDescent="0.3">
      <c r="A798" s="27"/>
      <c r="B798" s="27"/>
      <c r="C798" s="27"/>
      <c r="D798" s="27"/>
      <c r="E798" s="27"/>
      <c r="F798" s="27"/>
      <c r="G798" s="27"/>
      <c r="H798" s="27"/>
      <c r="I798" s="27"/>
      <c r="J798" s="27"/>
      <c r="K798" s="27"/>
      <c r="L798" s="27"/>
      <c r="N798" s="27"/>
      <c r="O798" s="27"/>
      <c r="P798" s="27"/>
      <c r="Q798" s="117" t="s">
        <v>1363</v>
      </c>
      <c r="R798" s="27"/>
      <c r="S798" s="27"/>
      <c r="T798" s="27"/>
      <c r="U798" s="27"/>
      <c r="V798" s="27"/>
      <c r="W798" s="27"/>
      <c r="X798" s="27"/>
      <c r="Y798" s="27"/>
      <c r="AE798" s="27"/>
      <c r="BD798" s="132"/>
      <c r="BE798" s="133"/>
      <c r="BF798" s="133"/>
      <c r="BG798" s="132"/>
      <c r="BH798" s="132"/>
      <c r="BI798" s="132"/>
      <c r="BJ798" s="132"/>
      <c r="BK798" s="124"/>
      <c r="BL798" s="132"/>
      <c r="BM798" s="132"/>
      <c r="BN798" s="132"/>
    </row>
    <row r="799" spans="1:66" x14ac:dyDescent="0.3">
      <c r="A799" s="27"/>
      <c r="B799" s="27"/>
      <c r="C799" s="27"/>
      <c r="D799" s="27"/>
      <c r="E799" s="27"/>
      <c r="F799" s="27"/>
      <c r="G799" s="27"/>
      <c r="H799" s="27"/>
      <c r="I799" s="27"/>
      <c r="J799" s="27"/>
      <c r="K799" s="27"/>
      <c r="L799" s="27"/>
      <c r="N799" s="27"/>
      <c r="O799" s="27"/>
      <c r="P799" s="27"/>
      <c r="Q799" s="117" t="s">
        <v>1364</v>
      </c>
      <c r="R799" s="27"/>
      <c r="S799" s="27"/>
      <c r="T799" s="27"/>
      <c r="U799" s="27"/>
      <c r="V799" s="27"/>
      <c r="W799" s="27"/>
      <c r="X799" s="27"/>
      <c r="Y799" s="27"/>
      <c r="AE799" s="27"/>
      <c r="BD799" s="132"/>
      <c r="BE799" s="133"/>
      <c r="BF799" s="133"/>
      <c r="BG799" s="132"/>
      <c r="BH799" s="132"/>
      <c r="BI799" s="132"/>
      <c r="BJ799" s="132"/>
      <c r="BK799" s="124"/>
      <c r="BL799" s="132"/>
      <c r="BM799" s="132"/>
      <c r="BN799" s="132"/>
    </row>
    <row r="800" spans="1:66" x14ac:dyDescent="0.3">
      <c r="A800" s="27"/>
      <c r="B800" s="27"/>
      <c r="C800" s="27"/>
      <c r="D800" s="27"/>
      <c r="E800" s="27"/>
      <c r="F800" s="27"/>
      <c r="G800" s="27"/>
      <c r="H800" s="27"/>
      <c r="I800" s="27"/>
      <c r="J800" s="27"/>
      <c r="K800" s="27"/>
      <c r="L800" s="27"/>
      <c r="N800" s="27"/>
      <c r="O800" s="27"/>
      <c r="P800" s="27"/>
      <c r="Q800" s="117" t="s">
        <v>562</v>
      </c>
      <c r="R800" s="27"/>
      <c r="S800" s="27"/>
      <c r="T800" s="27"/>
      <c r="U800" s="27"/>
      <c r="V800" s="27"/>
      <c r="W800" s="27"/>
      <c r="X800" s="27"/>
      <c r="Y800" s="27"/>
      <c r="AE800" s="27"/>
      <c r="BD800" s="132"/>
      <c r="BE800" s="133"/>
      <c r="BF800" s="133"/>
      <c r="BG800" s="132"/>
      <c r="BH800" s="132"/>
      <c r="BI800" s="132"/>
      <c r="BJ800" s="132"/>
      <c r="BK800" s="124"/>
      <c r="BL800" s="132"/>
      <c r="BM800" s="132"/>
      <c r="BN800" s="132"/>
    </row>
    <row r="801" spans="1:66" x14ac:dyDescent="0.3">
      <c r="A801" s="27"/>
      <c r="B801" s="27"/>
      <c r="C801" s="27"/>
      <c r="D801" s="27"/>
      <c r="E801" s="27"/>
      <c r="F801" s="27"/>
      <c r="G801" s="27"/>
      <c r="H801" s="27"/>
      <c r="I801" s="27"/>
      <c r="J801" s="27"/>
      <c r="K801" s="27"/>
      <c r="L801" s="27"/>
      <c r="N801" s="27"/>
      <c r="O801" s="27"/>
      <c r="P801" s="27"/>
      <c r="Q801" s="117" t="s">
        <v>1365</v>
      </c>
      <c r="R801" s="27"/>
      <c r="S801" s="27"/>
      <c r="T801" s="27"/>
      <c r="U801" s="27"/>
      <c r="V801" s="27"/>
      <c r="W801" s="27"/>
      <c r="X801" s="27"/>
      <c r="Y801" s="27"/>
      <c r="AE801" s="27"/>
      <c r="BD801" s="132"/>
      <c r="BE801" s="133"/>
      <c r="BF801" s="133"/>
      <c r="BG801" s="132"/>
      <c r="BH801" s="132"/>
      <c r="BI801" s="132"/>
      <c r="BJ801" s="132"/>
      <c r="BK801" s="124"/>
      <c r="BL801" s="132"/>
      <c r="BM801" s="132"/>
      <c r="BN801" s="132"/>
    </row>
    <row r="802" spans="1:66" x14ac:dyDescent="0.3">
      <c r="A802" s="27"/>
      <c r="B802" s="27"/>
      <c r="C802" s="27"/>
      <c r="D802" s="27"/>
      <c r="E802" s="27"/>
      <c r="F802" s="27"/>
      <c r="G802" s="27"/>
      <c r="H802" s="27"/>
      <c r="I802" s="27"/>
      <c r="J802" s="27"/>
      <c r="K802" s="27"/>
      <c r="L802" s="27"/>
      <c r="N802" s="27"/>
      <c r="O802" s="27"/>
      <c r="P802" s="27"/>
      <c r="Q802" s="117" t="s">
        <v>1366</v>
      </c>
      <c r="R802" s="27"/>
      <c r="S802" s="27"/>
      <c r="T802" s="27"/>
      <c r="U802" s="27"/>
      <c r="V802" s="27"/>
      <c r="W802" s="27"/>
      <c r="X802" s="27"/>
      <c r="Y802" s="27"/>
      <c r="AE802" s="27"/>
      <c r="BD802" s="132"/>
      <c r="BE802" s="133"/>
      <c r="BF802" s="133"/>
      <c r="BG802" s="132"/>
      <c r="BH802" s="132"/>
      <c r="BI802" s="132"/>
      <c r="BJ802" s="132"/>
      <c r="BK802" s="124"/>
      <c r="BL802" s="132"/>
      <c r="BM802" s="132"/>
      <c r="BN802" s="132"/>
    </row>
    <row r="803" spans="1:66" x14ac:dyDescent="0.3">
      <c r="A803" s="27"/>
      <c r="B803" s="27"/>
      <c r="C803" s="27"/>
      <c r="D803" s="27"/>
      <c r="E803" s="27"/>
      <c r="F803" s="27"/>
      <c r="G803" s="27"/>
      <c r="H803" s="27"/>
      <c r="I803" s="27"/>
      <c r="J803" s="27"/>
      <c r="K803" s="27"/>
      <c r="L803" s="27"/>
      <c r="N803" s="27"/>
      <c r="O803" s="27"/>
      <c r="P803" s="27"/>
      <c r="Q803" s="117" t="s">
        <v>565</v>
      </c>
      <c r="R803" s="27"/>
      <c r="S803" s="27"/>
      <c r="T803" s="27"/>
      <c r="U803" s="27"/>
      <c r="V803" s="27"/>
      <c r="W803" s="27"/>
      <c r="X803" s="27"/>
      <c r="Y803" s="27"/>
      <c r="AE803" s="27"/>
      <c r="BD803" s="132"/>
      <c r="BE803" s="133"/>
      <c r="BF803" s="133"/>
      <c r="BG803" s="132"/>
      <c r="BH803" s="132"/>
      <c r="BI803" s="132"/>
      <c r="BJ803" s="132"/>
      <c r="BK803" s="124"/>
      <c r="BL803" s="132"/>
      <c r="BM803" s="132"/>
      <c r="BN803" s="132"/>
    </row>
    <row r="804" spans="1:66" x14ac:dyDescent="0.3">
      <c r="A804" s="27"/>
      <c r="B804" s="27"/>
      <c r="C804" s="27"/>
      <c r="D804" s="27"/>
      <c r="E804" s="27"/>
      <c r="F804" s="27"/>
      <c r="G804" s="27"/>
      <c r="H804" s="27"/>
      <c r="I804" s="27"/>
      <c r="J804" s="27"/>
      <c r="K804" s="27"/>
      <c r="L804" s="27"/>
      <c r="N804" s="27"/>
      <c r="O804" s="27"/>
      <c r="P804" s="27"/>
      <c r="Q804" s="117" t="s">
        <v>1367</v>
      </c>
      <c r="R804" s="27"/>
      <c r="S804" s="27"/>
      <c r="T804" s="27"/>
      <c r="U804" s="27"/>
      <c r="V804" s="27"/>
      <c r="W804" s="27"/>
      <c r="X804" s="27"/>
      <c r="Y804" s="27"/>
      <c r="AE804" s="27"/>
      <c r="BD804" s="132"/>
      <c r="BE804" s="133"/>
      <c r="BF804" s="133"/>
      <c r="BG804" s="132"/>
      <c r="BH804" s="132"/>
      <c r="BI804" s="132"/>
      <c r="BJ804" s="132"/>
      <c r="BK804" s="124"/>
      <c r="BL804" s="132"/>
      <c r="BM804" s="132"/>
      <c r="BN804" s="132"/>
    </row>
    <row r="805" spans="1:66" x14ac:dyDescent="0.3">
      <c r="A805" s="27"/>
      <c r="B805" s="27"/>
      <c r="C805" s="27"/>
      <c r="D805" s="27"/>
      <c r="E805" s="27"/>
      <c r="F805" s="27"/>
      <c r="G805" s="27"/>
      <c r="H805" s="27"/>
      <c r="I805" s="27"/>
      <c r="J805" s="27"/>
      <c r="K805" s="27"/>
      <c r="L805" s="27"/>
      <c r="N805" s="27"/>
      <c r="O805" s="27"/>
      <c r="P805" s="27"/>
      <c r="Q805" s="117" t="s">
        <v>1368</v>
      </c>
      <c r="R805" s="27"/>
      <c r="S805" s="27"/>
      <c r="T805" s="27"/>
      <c r="U805" s="27"/>
      <c r="V805" s="27"/>
      <c r="W805" s="27"/>
      <c r="X805" s="27"/>
      <c r="Y805" s="27"/>
      <c r="AE805" s="27"/>
      <c r="BD805" s="132"/>
      <c r="BE805" s="133"/>
      <c r="BF805" s="133"/>
      <c r="BG805" s="132"/>
      <c r="BH805" s="132"/>
      <c r="BI805" s="132"/>
      <c r="BJ805" s="132"/>
      <c r="BK805" s="124"/>
      <c r="BL805" s="132"/>
      <c r="BM805" s="132"/>
      <c r="BN805" s="132"/>
    </row>
    <row r="806" spans="1:66" x14ac:dyDescent="0.3">
      <c r="A806" s="27"/>
      <c r="B806" s="27"/>
      <c r="C806" s="27"/>
      <c r="D806" s="27"/>
      <c r="E806" s="27"/>
      <c r="F806" s="27"/>
      <c r="G806" s="27"/>
      <c r="H806" s="27"/>
      <c r="I806" s="27"/>
      <c r="J806" s="27"/>
      <c r="K806" s="27"/>
      <c r="L806" s="27"/>
      <c r="N806" s="27"/>
      <c r="O806" s="27"/>
      <c r="P806" s="27"/>
      <c r="Q806" s="117" t="s">
        <v>1369</v>
      </c>
      <c r="R806" s="27"/>
      <c r="S806" s="27"/>
      <c r="T806" s="27"/>
      <c r="U806" s="27"/>
      <c r="V806" s="27"/>
      <c r="W806" s="27"/>
      <c r="X806" s="27"/>
      <c r="Y806" s="27"/>
      <c r="AE806" s="27"/>
      <c r="BD806" s="132"/>
      <c r="BE806" s="133"/>
      <c r="BF806" s="133"/>
      <c r="BG806" s="132"/>
      <c r="BH806" s="132"/>
      <c r="BI806" s="132"/>
      <c r="BJ806" s="132"/>
      <c r="BK806" s="124"/>
      <c r="BL806" s="132"/>
      <c r="BM806" s="132"/>
      <c r="BN806" s="132"/>
    </row>
    <row r="807" spans="1:66" x14ac:dyDescent="0.3">
      <c r="A807" s="27"/>
      <c r="B807" s="27"/>
      <c r="C807" s="27"/>
      <c r="D807" s="27"/>
      <c r="E807" s="27"/>
      <c r="F807" s="27"/>
      <c r="G807" s="27"/>
      <c r="H807" s="27"/>
      <c r="I807" s="27"/>
      <c r="J807" s="27"/>
      <c r="K807" s="27"/>
      <c r="L807" s="27"/>
      <c r="N807" s="27"/>
      <c r="O807" s="27"/>
      <c r="P807" s="27"/>
      <c r="Q807" s="117" t="s">
        <v>1370</v>
      </c>
      <c r="R807" s="27"/>
      <c r="S807" s="27"/>
      <c r="T807" s="27"/>
      <c r="U807" s="27"/>
      <c r="V807" s="27"/>
      <c r="W807" s="27"/>
      <c r="X807" s="27"/>
      <c r="Y807" s="27"/>
      <c r="AE807" s="27"/>
      <c r="BD807" s="132"/>
      <c r="BE807" s="133"/>
      <c r="BF807" s="133"/>
      <c r="BG807" s="132"/>
      <c r="BH807" s="132"/>
      <c r="BI807" s="132"/>
      <c r="BJ807" s="132"/>
      <c r="BK807" s="124"/>
      <c r="BL807" s="132"/>
      <c r="BM807" s="132"/>
      <c r="BN807" s="132"/>
    </row>
    <row r="808" spans="1:66" x14ac:dyDescent="0.3">
      <c r="A808" s="27"/>
      <c r="B808" s="27"/>
      <c r="C808" s="27"/>
      <c r="D808" s="27"/>
      <c r="E808" s="27"/>
      <c r="F808" s="27"/>
      <c r="G808" s="27"/>
      <c r="H808" s="27"/>
      <c r="I808" s="27"/>
      <c r="J808" s="27"/>
      <c r="K808" s="27"/>
      <c r="L808" s="27"/>
      <c r="N808" s="27"/>
      <c r="O808" s="27"/>
      <c r="P808" s="27"/>
      <c r="Q808" s="117" t="s">
        <v>1371</v>
      </c>
      <c r="R808" s="27"/>
      <c r="S808" s="27"/>
      <c r="T808" s="27"/>
      <c r="U808" s="27"/>
      <c r="V808" s="27"/>
      <c r="W808" s="27"/>
      <c r="X808" s="27"/>
      <c r="Y808" s="27"/>
      <c r="AE808" s="27"/>
      <c r="BD808" s="132"/>
      <c r="BE808" s="133"/>
      <c r="BF808" s="133"/>
      <c r="BG808" s="132"/>
      <c r="BH808" s="132"/>
      <c r="BI808" s="132"/>
      <c r="BJ808" s="132"/>
      <c r="BK808" s="124"/>
      <c r="BL808" s="132"/>
      <c r="BM808" s="132"/>
      <c r="BN808" s="132"/>
    </row>
    <row r="809" spans="1:66" x14ac:dyDescent="0.3">
      <c r="A809" s="27"/>
      <c r="B809" s="27"/>
      <c r="C809" s="27"/>
      <c r="D809" s="27"/>
      <c r="E809" s="27"/>
      <c r="F809" s="27"/>
      <c r="G809" s="27"/>
      <c r="H809" s="27"/>
      <c r="I809" s="27"/>
      <c r="J809" s="27"/>
      <c r="K809" s="27"/>
      <c r="L809" s="27"/>
      <c r="N809" s="27"/>
      <c r="O809" s="27"/>
      <c r="P809" s="27"/>
      <c r="Q809" s="117" t="s">
        <v>1372</v>
      </c>
      <c r="R809" s="27"/>
      <c r="S809" s="27"/>
      <c r="T809" s="27"/>
      <c r="U809" s="27"/>
      <c r="V809" s="27"/>
      <c r="W809" s="27"/>
      <c r="X809" s="27"/>
      <c r="Y809" s="27"/>
      <c r="AE809" s="27"/>
      <c r="BD809" s="132"/>
      <c r="BE809" s="133"/>
      <c r="BF809" s="133"/>
      <c r="BG809" s="132"/>
      <c r="BH809" s="132"/>
      <c r="BI809" s="132"/>
      <c r="BJ809" s="132"/>
      <c r="BK809" s="124"/>
      <c r="BL809" s="132"/>
      <c r="BM809" s="132"/>
      <c r="BN809" s="132"/>
    </row>
    <row r="810" spans="1:66" x14ac:dyDescent="0.3">
      <c r="A810" s="27"/>
      <c r="B810" s="27"/>
      <c r="C810" s="27"/>
      <c r="D810" s="27"/>
      <c r="E810" s="27"/>
      <c r="F810" s="27"/>
      <c r="G810" s="27"/>
      <c r="H810" s="27"/>
      <c r="I810" s="27"/>
      <c r="J810" s="27"/>
      <c r="K810" s="27"/>
      <c r="L810" s="27"/>
      <c r="N810" s="27"/>
      <c r="O810" s="27"/>
      <c r="P810" s="27"/>
      <c r="Q810" s="117" t="s">
        <v>1373</v>
      </c>
      <c r="R810" s="27"/>
      <c r="S810" s="27"/>
      <c r="T810" s="27"/>
      <c r="U810" s="27"/>
      <c r="V810" s="27"/>
      <c r="W810" s="27"/>
      <c r="X810" s="27"/>
      <c r="Y810" s="27"/>
      <c r="AE810" s="27"/>
      <c r="BD810" s="132"/>
      <c r="BE810" s="133"/>
      <c r="BF810" s="133"/>
      <c r="BG810" s="132"/>
      <c r="BH810" s="132"/>
      <c r="BI810" s="132"/>
      <c r="BJ810" s="132"/>
      <c r="BK810" s="124"/>
      <c r="BL810" s="132"/>
      <c r="BM810" s="132"/>
      <c r="BN810" s="132"/>
    </row>
    <row r="811" spans="1:66" x14ac:dyDescent="0.3">
      <c r="A811" s="27"/>
      <c r="B811" s="27"/>
      <c r="C811" s="27"/>
      <c r="D811" s="27"/>
      <c r="E811" s="27"/>
      <c r="F811" s="27"/>
      <c r="G811" s="27"/>
      <c r="H811" s="27"/>
      <c r="I811" s="27"/>
      <c r="J811" s="27"/>
      <c r="K811" s="27"/>
      <c r="L811" s="27"/>
      <c r="N811" s="27"/>
      <c r="O811" s="27"/>
      <c r="P811" s="27"/>
      <c r="Q811" s="117" t="s">
        <v>1374</v>
      </c>
      <c r="R811" s="27"/>
      <c r="S811" s="27"/>
      <c r="T811" s="27"/>
      <c r="U811" s="27"/>
      <c r="V811" s="27"/>
      <c r="W811" s="27"/>
      <c r="X811" s="27"/>
      <c r="Y811" s="27"/>
      <c r="AE811" s="27"/>
      <c r="BD811" s="132"/>
      <c r="BE811" s="133"/>
      <c r="BF811" s="133"/>
      <c r="BG811" s="132"/>
      <c r="BH811" s="132"/>
      <c r="BI811" s="132"/>
      <c r="BJ811" s="132"/>
      <c r="BK811" s="124"/>
      <c r="BL811" s="132"/>
      <c r="BM811" s="132"/>
      <c r="BN811" s="132"/>
    </row>
    <row r="812" spans="1:66" x14ac:dyDescent="0.3">
      <c r="A812" s="27"/>
      <c r="B812" s="27"/>
      <c r="C812" s="27"/>
      <c r="D812" s="27"/>
      <c r="E812" s="27"/>
      <c r="F812" s="27"/>
      <c r="G812" s="27"/>
      <c r="H812" s="27"/>
      <c r="I812" s="27"/>
      <c r="J812" s="27"/>
      <c r="K812" s="27"/>
      <c r="L812" s="27"/>
      <c r="N812" s="27"/>
      <c r="O812" s="27"/>
      <c r="P812" s="27"/>
      <c r="Q812" s="117" t="s">
        <v>1375</v>
      </c>
      <c r="R812" s="27"/>
      <c r="S812" s="27"/>
      <c r="T812" s="27"/>
      <c r="U812" s="27"/>
      <c r="V812" s="27"/>
      <c r="W812" s="27"/>
      <c r="X812" s="27"/>
      <c r="Y812" s="27"/>
      <c r="AE812" s="27"/>
      <c r="BD812" s="132"/>
      <c r="BE812" s="133"/>
      <c r="BF812" s="133"/>
      <c r="BG812" s="132"/>
      <c r="BH812" s="132"/>
      <c r="BI812" s="132"/>
      <c r="BJ812" s="132"/>
      <c r="BK812" s="124"/>
      <c r="BL812" s="132"/>
      <c r="BM812" s="132"/>
      <c r="BN812" s="132"/>
    </row>
    <row r="813" spans="1:66" x14ac:dyDescent="0.3">
      <c r="A813" s="27"/>
      <c r="B813" s="27"/>
      <c r="C813" s="27"/>
      <c r="D813" s="27"/>
      <c r="E813" s="27"/>
      <c r="F813" s="27"/>
      <c r="G813" s="27"/>
      <c r="H813" s="27"/>
      <c r="I813" s="27"/>
      <c r="J813" s="27"/>
      <c r="K813" s="27"/>
      <c r="L813" s="27"/>
      <c r="N813" s="27"/>
      <c r="O813" s="27"/>
      <c r="P813" s="27"/>
      <c r="Q813" s="117" t="s">
        <v>1376</v>
      </c>
      <c r="R813" s="27"/>
      <c r="S813" s="27"/>
      <c r="T813" s="27"/>
      <c r="U813" s="27"/>
      <c r="V813" s="27"/>
      <c r="W813" s="27"/>
      <c r="X813" s="27"/>
      <c r="Y813" s="27"/>
      <c r="AE813" s="27"/>
      <c r="BD813" s="132"/>
      <c r="BE813" s="133"/>
      <c r="BF813" s="133"/>
      <c r="BG813" s="132"/>
      <c r="BH813" s="132"/>
      <c r="BI813" s="132"/>
      <c r="BJ813" s="132"/>
      <c r="BK813" s="124"/>
      <c r="BL813" s="132"/>
      <c r="BM813" s="132"/>
      <c r="BN813" s="132"/>
    </row>
    <row r="814" spans="1:66" x14ac:dyDescent="0.3">
      <c r="A814" s="27"/>
      <c r="B814" s="27"/>
      <c r="C814" s="27"/>
      <c r="D814" s="27"/>
      <c r="E814" s="27"/>
      <c r="F814" s="27"/>
      <c r="G814" s="27"/>
      <c r="H814" s="27"/>
      <c r="I814" s="27"/>
      <c r="J814" s="27"/>
      <c r="K814" s="27"/>
      <c r="L814" s="27"/>
      <c r="N814" s="27"/>
      <c r="O814" s="27"/>
      <c r="P814" s="27"/>
      <c r="Q814" s="117" t="s">
        <v>1377</v>
      </c>
      <c r="R814" s="27"/>
      <c r="S814" s="27"/>
      <c r="T814" s="27"/>
      <c r="U814" s="27"/>
      <c r="V814" s="27"/>
      <c r="W814" s="27"/>
      <c r="X814" s="27"/>
      <c r="Y814" s="27"/>
      <c r="AE814" s="27"/>
      <c r="BD814" s="132"/>
      <c r="BE814" s="133"/>
      <c r="BF814" s="133"/>
      <c r="BG814" s="132"/>
      <c r="BH814" s="132"/>
      <c r="BI814" s="132"/>
      <c r="BJ814" s="132"/>
      <c r="BK814" s="124"/>
      <c r="BL814" s="132"/>
      <c r="BM814" s="132"/>
      <c r="BN814" s="132"/>
    </row>
    <row r="815" spans="1:66" x14ac:dyDescent="0.3">
      <c r="A815" s="27"/>
      <c r="B815" s="27"/>
      <c r="C815" s="27"/>
      <c r="D815" s="27"/>
      <c r="E815" s="27"/>
      <c r="F815" s="27"/>
      <c r="G815" s="27"/>
      <c r="H815" s="27"/>
      <c r="I815" s="27"/>
      <c r="J815" s="27"/>
      <c r="K815" s="27"/>
      <c r="L815" s="27"/>
      <c r="N815" s="27"/>
      <c r="O815" s="27"/>
      <c r="P815" s="27"/>
      <c r="Q815" s="117" t="s">
        <v>1378</v>
      </c>
      <c r="R815" s="27"/>
      <c r="S815" s="27"/>
      <c r="T815" s="27"/>
      <c r="U815" s="27"/>
      <c r="V815" s="27"/>
      <c r="W815" s="27"/>
      <c r="X815" s="27"/>
      <c r="Y815" s="27"/>
      <c r="AE815" s="27"/>
      <c r="BD815" s="132"/>
      <c r="BE815" s="133"/>
      <c r="BF815" s="133"/>
      <c r="BG815" s="132"/>
      <c r="BH815" s="132"/>
      <c r="BI815" s="132"/>
      <c r="BJ815" s="132"/>
      <c r="BK815" s="124"/>
      <c r="BL815" s="132"/>
      <c r="BM815" s="132"/>
      <c r="BN815" s="132"/>
    </row>
    <row r="816" spans="1:66" x14ac:dyDescent="0.3">
      <c r="A816" s="27"/>
      <c r="B816" s="27"/>
      <c r="C816" s="27"/>
      <c r="D816" s="27"/>
      <c r="E816" s="27"/>
      <c r="F816" s="27"/>
      <c r="G816" s="27"/>
      <c r="H816" s="27"/>
      <c r="I816" s="27"/>
      <c r="J816" s="27"/>
      <c r="K816" s="27"/>
      <c r="L816" s="27"/>
      <c r="N816" s="27"/>
      <c r="O816" s="27"/>
      <c r="P816" s="27"/>
      <c r="Q816" s="117" t="s">
        <v>568</v>
      </c>
      <c r="R816" s="27"/>
      <c r="S816" s="27"/>
      <c r="T816" s="27"/>
      <c r="U816" s="27"/>
      <c r="V816" s="27"/>
      <c r="W816" s="27"/>
      <c r="X816" s="27"/>
      <c r="Y816" s="27"/>
      <c r="AE816" s="27"/>
      <c r="BD816" s="132"/>
      <c r="BE816" s="133"/>
      <c r="BF816" s="133"/>
      <c r="BG816" s="132"/>
      <c r="BH816" s="132"/>
      <c r="BI816" s="132"/>
      <c r="BJ816" s="132"/>
      <c r="BK816" s="124"/>
      <c r="BL816" s="132"/>
      <c r="BM816" s="132"/>
      <c r="BN816" s="132"/>
    </row>
    <row r="817" spans="1:66" x14ac:dyDescent="0.3">
      <c r="A817" s="27"/>
      <c r="B817" s="27"/>
      <c r="C817" s="27"/>
      <c r="D817" s="27"/>
      <c r="E817" s="27"/>
      <c r="F817" s="27"/>
      <c r="G817" s="27"/>
      <c r="H817" s="27"/>
      <c r="I817" s="27"/>
      <c r="J817" s="27"/>
      <c r="K817" s="27"/>
      <c r="L817" s="27"/>
      <c r="N817" s="27"/>
      <c r="O817" s="27"/>
      <c r="P817" s="27"/>
      <c r="Q817" s="117" t="s">
        <v>1379</v>
      </c>
      <c r="R817" s="27"/>
      <c r="S817" s="27"/>
      <c r="T817" s="27"/>
      <c r="U817" s="27"/>
      <c r="V817" s="27"/>
      <c r="W817" s="27"/>
      <c r="X817" s="27"/>
      <c r="Y817" s="27"/>
      <c r="AE817" s="27"/>
      <c r="BD817" s="132"/>
      <c r="BE817" s="133"/>
      <c r="BF817" s="133"/>
      <c r="BG817" s="132"/>
      <c r="BH817" s="132"/>
      <c r="BI817" s="132"/>
      <c r="BJ817" s="132"/>
      <c r="BK817" s="124"/>
      <c r="BL817" s="132"/>
      <c r="BM817" s="132"/>
      <c r="BN817" s="132"/>
    </row>
    <row r="818" spans="1:66" x14ac:dyDescent="0.3">
      <c r="A818" s="27"/>
      <c r="B818" s="27"/>
      <c r="C818" s="27"/>
      <c r="D818" s="27"/>
      <c r="E818" s="27"/>
      <c r="F818" s="27"/>
      <c r="G818" s="27"/>
      <c r="H818" s="27"/>
      <c r="I818" s="27"/>
      <c r="J818" s="27"/>
      <c r="K818" s="27"/>
      <c r="L818" s="27"/>
      <c r="N818" s="27"/>
      <c r="O818" s="27"/>
      <c r="P818" s="27"/>
      <c r="Q818" s="117" t="s">
        <v>1380</v>
      </c>
      <c r="R818" s="27"/>
      <c r="S818" s="27"/>
      <c r="T818" s="27"/>
      <c r="U818" s="27"/>
      <c r="V818" s="27"/>
      <c r="W818" s="27"/>
      <c r="X818" s="27"/>
      <c r="Y818" s="27"/>
      <c r="AE818" s="27"/>
      <c r="BD818" s="132"/>
      <c r="BE818" s="133"/>
      <c r="BF818" s="133"/>
      <c r="BG818" s="132"/>
      <c r="BH818" s="132"/>
      <c r="BI818" s="132"/>
      <c r="BJ818" s="132"/>
      <c r="BK818" s="124"/>
      <c r="BL818" s="132"/>
      <c r="BM818" s="132"/>
      <c r="BN818" s="132"/>
    </row>
    <row r="819" spans="1:66" x14ac:dyDescent="0.3">
      <c r="A819" s="27"/>
      <c r="B819" s="27"/>
      <c r="C819" s="27"/>
      <c r="D819" s="27"/>
      <c r="E819" s="27"/>
      <c r="F819" s="27"/>
      <c r="G819" s="27"/>
      <c r="H819" s="27"/>
      <c r="I819" s="27"/>
      <c r="J819" s="27"/>
      <c r="K819" s="27"/>
      <c r="L819" s="27"/>
      <c r="N819" s="27"/>
      <c r="O819" s="27"/>
      <c r="P819" s="27"/>
      <c r="Q819" s="117" t="s">
        <v>1381</v>
      </c>
      <c r="R819" s="27"/>
      <c r="S819" s="27"/>
      <c r="T819" s="27"/>
      <c r="U819" s="27"/>
      <c r="V819" s="27"/>
      <c r="W819" s="27"/>
      <c r="X819" s="27"/>
      <c r="Y819" s="27"/>
      <c r="AE819" s="27"/>
      <c r="BD819" s="132"/>
      <c r="BE819" s="133"/>
      <c r="BF819" s="133"/>
      <c r="BG819" s="132"/>
      <c r="BH819" s="132"/>
      <c r="BI819" s="132"/>
      <c r="BJ819" s="132"/>
      <c r="BK819" s="124"/>
      <c r="BL819" s="132"/>
      <c r="BM819" s="132"/>
      <c r="BN819" s="132"/>
    </row>
    <row r="820" spans="1:66" x14ac:dyDescent="0.3">
      <c r="A820" s="27"/>
      <c r="B820" s="27"/>
      <c r="C820" s="27"/>
      <c r="D820" s="27"/>
      <c r="E820" s="27"/>
      <c r="F820" s="27"/>
      <c r="G820" s="27"/>
      <c r="H820" s="27"/>
      <c r="I820" s="27"/>
      <c r="J820" s="27"/>
      <c r="K820" s="27"/>
      <c r="L820" s="27"/>
      <c r="N820" s="27"/>
      <c r="O820" s="27"/>
      <c r="P820" s="27"/>
      <c r="Q820" s="117" t="s">
        <v>1382</v>
      </c>
      <c r="R820" s="27"/>
      <c r="S820" s="27"/>
      <c r="T820" s="27"/>
      <c r="U820" s="27"/>
      <c r="V820" s="27"/>
      <c r="W820" s="27"/>
      <c r="X820" s="27"/>
      <c r="Y820" s="27"/>
      <c r="AE820" s="27"/>
      <c r="BD820" s="132"/>
      <c r="BE820" s="133"/>
      <c r="BF820" s="133"/>
      <c r="BG820" s="132"/>
      <c r="BH820" s="132"/>
      <c r="BI820" s="132"/>
      <c r="BJ820" s="132"/>
      <c r="BK820" s="124"/>
      <c r="BL820" s="132"/>
      <c r="BM820" s="132"/>
      <c r="BN820" s="132"/>
    </row>
    <row r="821" spans="1:66" x14ac:dyDescent="0.3">
      <c r="A821" s="27"/>
      <c r="B821" s="27"/>
      <c r="C821" s="27"/>
      <c r="D821" s="27"/>
      <c r="E821" s="27"/>
      <c r="F821" s="27"/>
      <c r="G821" s="27"/>
      <c r="H821" s="27"/>
      <c r="I821" s="27"/>
      <c r="J821" s="27"/>
      <c r="K821" s="27"/>
      <c r="L821" s="27"/>
      <c r="N821" s="27"/>
      <c r="O821" s="27"/>
      <c r="P821" s="27"/>
      <c r="Q821" s="117" t="s">
        <v>1383</v>
      </c>
      <c r="R821" s="27"/>
      <c r="S821" s="27"/>
      <c r="T821" s="27"/>
      <c r="U821" s="27"/>
      <c r="V821" s="27"/>
      <c r="W821" s="27"/>
      <c r="X821" s="27"/>
      <c r="Y821" s="27"/>
      <c r="AE821" s="27"/>
      <c r="BD821" s="132"/>
      <c r="BE821" s="133"/>
      <c r="BF821" s="133"/>
      <c r="BG821" s="132"/>
      <c r="BH821" s="132"/>
      <c r="BI821" s="132"/>
      <c r="BJ821" s="132"/>
      <c r="BK821" s="124"/>
      <c r="BL821" s="132"/>
      <c r="BM821" s="132"/>
      <c r="BN821" s="132"/>
    </row>
    <row r="822" spans="1:66" x14ac:dyDescent="0.3">
      <c r="A822" s="27"/>
      <c r="B822" s="27"/>
      <c r="C822" s="27"/>
      <c r="D822" s="27"/>
      <c r="E822" s="27"/>
      <c r="F822" s="27"/>
      <c r="G822" s="27"/>
      <c r="H822" s="27"/>
      <c r="I822" s="27"/>
      <c r="J822" s="27"/>
      <c r="K822" s="27"/>
      <c r="L822" s="27"/>
      <c r="N822" s="27"/>
      <c r="O822" s="27"/>
      <c r="P822" s="27"/>
      <c r="Q822" s="117" t="s">
        <v>1384</v>
      </c>
      <c r="R822" s="27"/>
      <c r="S822" s="27"/>
      <c r="T822" s="27"/>
      <c r="U822" s="27"/>
      <c r="V822" s="27"/>
      <c r="W822" s="27"/>
      <c r="X822" s="27"/>
      <c r="Y822" s="27"/>
      <c r="AE822" s="27"/>
      <c r="BD822" s="132"/>
      <c r="BE822" s="133"/>
      <c r="BF822" s="133"/>
      <c r="BG822" s="132"/>
      <c r="BH822" s="132"/>
      <c r="BI822" s="132"/>
      <c r="BJ822" s="132"/>
      <c r="BK822" s="124"/>
      <c r="BL822" s="132"/>
      <c r="BM822" s="132"/>
      <c r="BN822" s="132"/>
    </row>
    <row r="823" spans="1:66" x14ac:dyDescent="0.3">
      <c r="A823" s="27"/>
      <c r="B823" s="27"/>
      <c r="C823" s="27"/>
      <c r="D823" s="27"/>
      <c r="E823" s="27"/>
      <c r="F823" s="27"/>
      <c r="G823" s="27"/>
      <c r="H823" s="27"/>
      <c r="I823" s="27"/>
      <c r="J823" s="27"/>
      <c r="K823" s="27"/>
      <c r="L823" s="27"/>
      <c r="N823" s="27"/>
      <c r="O823" s="27"/>
      <c r="P823" s="27"/>
      <c r="Q823" s="117" t="s">
        <v>1385</v>
      </c>
      <c r="R823" s="27"/>
      <c r="S823" s="27"/>
      <c r="T823" s="27"/>
      <c r="U823" s="27"/>
      <c r="V823" s="27"/>
      <c r="W823" s="27"/>
      <c r="X823" s="27"/>
      <c r="Y823" s="27"/>
      <c r="AE823" s="27"/>
      <c r="BD823" s="132"/>
      <c r="BE823" s="133"/>
      <c r="BF823" s="133"/>
      <c r="BG823" s="132"/>
      <c r="BH823" s="132"/>
      <c r="BI823" s="132"/>
      <c r="BJ823" s="132"/>
      <c r="BK823" s="124"/>
      <c r="BL823" s="132"/>
      <c r="BM823" s="132"/>
      <c r="BN823" s="132"/>
    </row>
    <row r="824" spans="1:66" x14ac:dyDescent="0.3">
      <c r="A824" s="27"/>
      <c r="B824" s="27"/>
      <c r="C824" s="27"/>
      <c r="D824" s="27"/>
      <c r="E824" s="27"/>
      <c r="F824" s="27"/>
      <c r="G824" s="27"/>
      <c r="H824" s="27"/>
      <c r="I824" s="27"/>
      <c r="J824" s="27"/>
      <c r="K824" s="27"/>
      <c r="L824" s="27"/>
      <c r="N824" s="27"/>
      <c r="O824" s="27"/>
      <c r="P824" s="27"/>
      <c r="Q824" s="117" t="s">
        <v>1386</v>
      </c>
      <c r="R824" s="27"/>
      <c r="S824" s="27"/>
      <c r="T824" s="27"/>
      <c r="U824" s="27"/>
      <c r="V824" s="27"/>
      <c r="W824" s="27"/>
      <c r="X824" s="27"/>
      <c r="Y824" s="27"/>
      <c r="AE824" s="27"/>
      <c r="BD824" s="132"/>
      <c r="BE824" s="133"/>
      <c r="BF824" s="133"/>
      <c r="BG824" s="132"/>
      <c r="BH824" s="132"/>
      <c r="BI824" s="132"/>
      <c r="BJ824" s="132"/>
      <c r="BK824" s="124"/>
      <c r="BL824" s="132"/>
      <c r="BM824" s="132"/>
      <c r="BN824" s="132"/>
    </row>
    <row r="825" spans="1:66" x14ac:dyDescent="0.3">
      <c r="A825" s="27"/>
      <c r="B825" s="27"/>
      <c r="C825" s="27"/>
      <c r="D825" s="27"/>
      <c r="E825" s="27"/>
      <c r="F825" s="27"/>
      <c r="G825" s="27"/>
      <c r="H825" s="27"/>
      <c r="I825" s="27"/>
      <c r="J825" s="27"/>
      <c r="K825" s="27"/>
      <c r="L825" s="27"/>
      <c r="N825" s="27"/>
      <c r="O825" s="27"/>
      <c r="P825" s="27"/>
      <c r="Q825" s="117" t="s">
        <v>1387</v>
      </c>
      <c r="R825" s="27"/>
      <c r="S825" s="27"/>
      <c r="T825" s="27"/>
      <c r="U825" s="27"/>
      <c r="V825" s="27"/>
      <c r="W825" s="27"/>
      <c r="X825" s="27"/>
      <c r="Y825" s="27"/>
      <c r="AE825" s="27"/>
      <c r="BD825" s="132"/>
      <c r="BE825" s="133"/>
      <c r="BF825" s="133"/>
      <c r="BG825" s="132"/>
      <c r="BH825" s="132"/>
      <c r="BI825" s="132"/>
      <c r="BJ825" s="132"/>
      <c r="BK825" s="124"/>
      <c r="BL825" s="132"/>
      <c r="BM825" s="132"/>
      <c r="BN825" s="132"/>
    </row>
    <row r="826" spans="1:66" x14ac:dyDescent="0.3">
      <c r="A826" s="27"/>
      <c r="B826" s="27"/>
      <c r="C826" s="27"/>
      <c r="D826" s="27"/>
      <c r="E826" s="27"/>
      <c r="F826" s="27"/>
      <c r="G826" s="27"/>
      <c r="H826" s="27"/>
      <c r="I826" s="27"/>
      <c r="J826" s="27"/>
      <c r="K826" s="27"/>
      <c r="L826" s="27"/>
      <c r="N826" s="27"/>
      <c r="O826" s="27"/>
      <c r="P826" s="27"/>
      <c r="Q826" s="117" t="s">
        <v>1388</v>
      </c>
      <c r="R826" s="27"/>
      <c r="S826" s="27"/>
      <c r="T826" s="27"/>
      <c r="U826" s="27"/>
      <c r="V826" s="27"/>
      <c r="W826" s="27"/>
      <c r="X826" s="27"/>
      <c r="Y826" s="27"/>
      <c r="AE826" s="27"/>
      <c r="BD826" s="132"/>
      <c r="BE826" s="133"/>
      <c r="BF826" s="133"/>
      <c r="BG826" s="132"/>
      <c r="BH826" s="132"/>
      <c r="BI826" s="132"/>
      <c r="BJ826" s="132"/>
      <c r="BK826" s="124"/>
      <c r="BL826" s="132"/>
      <c r="BM826" s="132"/>
      <c r="BN826" s="132"/>
    </row>
    <row r="827" spans="1:66" x14ac:dyDescent="0.3">
      <c r="A827" s="27"/>
      <c r="B827" s="27"/>
      <c r="C827" s="27"/>
      <c r="D827" s="27"/>
      <c r="E827" s="27"/>
      <c r="F827" s="27"/>
      <c r="G827" s="27"/>
      <c r="H827" s="27"/>
      <c r="I827" s="27"/>
      <c r="J827" s="27"/>
      <c r="K827" s="27"/>
      <c r="L827" s="27"/>
      <c r="N827" s="27"/>
      <c r="O827" s="27"/>
      <c r="P827" s="27"/>
      <c r="Q827" s="117" t="s">
        <v>1389</v>
      </c>
      <c r="R827" s="27"/>
      <c r="S827" s="27"/>
      <c r="T827" s="27"/>
      <c r="U827" s="27"/>
      <c r="V827" s="27"/>
      <c r="W827" s="27"/>
      <c r="X827" s="27"/>
      <c r="Y827" s="27"/>
      <c r="AE827" s="27"/>
      <c r="BD827" s="132"/>
      <c r="BE827" s="133"/>
      <c r="BF827" s="133"/>
      <c r="BG827" s="132"/>
      <c r="BH827" s="132"/>
      <c r="BI827" s="132"/>
      <c r="BJ827" s="132"/>
      <c r="BK827" s="124"/>
      <c r="BL827" s="132"/>
      <c r="BM827" s="132"/>
      <c r="BN827" s="132"/>
    </row>
    <row r="828" spans="1:66" x14ac:dyDescent="0.3">
      <c r="A828" s="27"/>
      <c r="B828" s="27"/>
      <c r="C828" s="27"/>
      <c r="D828" s="27"/>
      <c r="E828" s="27"/>
      <c r="F828" s="27"/>
      <c r="G828" s="27"/>
      <c r="H828" s="27"/>
      <c r="I828" s="27"/>
      <c r="J828" s="27"/>
      <c r="K828" s="27"/>
      <c r="L828" s="27"/>
      <c r="N828" s="27"/>
      <c r="O828" s="27"/>
      <c r="P828" s="27"/>
      <c r="Q828" s="117" t="s">
        <v>1390</v>
      </c>
      <c r="R828" s="27"/>
      <c r="S828" s="27"/>
      <c r="T828" s="27"/>
      <c r="U828" s="27"/>
      <c r="V828" s="27"/>
      <c r="W828" s="27"/>
      <c r="X828" s="27"/>
      <c r="Y828" s="27"/>
      <c r="AE828" s="27"/>
      <c r="BD828" s="132"/>
      <c r="BE828" s="133"/>
      <c r="BF828" s="133"/>
      <c r="BG828" s="132"/>
      <c r="BH828" s="132"/>
      <c r="BI828" s="132"/>
      <c r="BJ828" s="132"/>
      <c r="BK828" s="124"/>
      <c r="BL828" s="132"/>
      <c r="BM828" s="132"/>
      <c r="BN828" s="132"/>
    </row>
    <row r="829" spans="1:66" x14ac:dyDescent="0.3">
      <c r="A829" s="27"/>
      <c r="B829" s="27"/>
      <c r="C829" s="27"/>
      <c r="D829" s="27"/>
      <c r="E829" s="27"/>
      <c r="F829" s="27"/>
      <c r="G829" s="27"/>
      <c r="H829" s="27"/>
      <c r="I829" s="27"/>
      <c r="J829" s="27"/>
      <c r="K829" s="27"/>
      <c r="L829" s="27"/>
      <c r="N829" s="27"/>
      <c r="O829" s="27"/>
      <c r="P829" s="27"/>
      <c r="Q829" s="117" t="s">
        <v>1391</v>
      </c>
      <c r="R829" s="27"/>
      <c r="S829" s="27"/>
      <c r="T829" s="27"/>
      <c r="U829" s="27"/>
      <c r="V829" s="27"/>
      <c r="W829" s="27"/>
      <c r="X829" s="27"/>
      <c r="Y829" s="27"/>
      <c r="AE829" s="27"/>
      <c r="BD829" s="132"/>
      <c r="BE829" s="133"/>
      <c r="BF829" s="133"/>
      <c r="BG829" s="132"/>
      <c r="BH829" s="132"/>
      <c r="BI829" s="132"/>
      <c r="BJ829" s="132"/>
      <c r="BK829" s="124"/>
      <c r="BL829" s="132"/>
      <c r="BM829" s="132"/>
      <c r="BN829" s="132"/>
    </row>
    <row r="830" spans="1:66" x14ac:dyDescent="0.3">
      <c r="A830" s="27"/>
      <c r="B830" s="27"/>
      <c r="C830" s="27"/>
      <c r="D830" s="27"/>
      <c r="E830" s="27"/>
      <c r="F830" s="27"/>
      <c r="G830" s="27"/>
      <c r="H830" s="27"/>
      <c r="I830" s="27"/>
      <c r="J830" s="27"/>
      <c r="K830" s="27"/>
      <c r="L830" s="27"/>
      <c r="N830" s="27"/>
      <c r="O830" s="27"/>
      <c r="P830" s="27"/>
      <c r="Q830" s="117" t="s">
        <v>1392</v>
      </c>
      <c r="R830" s="27"/>
      <c r="S830" s="27"/>
      <c r="T830" s="27"/>
      <c r="U830" s="27"/>
      <c r="V830" s="27"/>
      <c r="W830" s="27"/>
      <c r="X830" s="27"/>
      <c r="Y830" s="27"/>
      <c r="AE830" s="27"/>
      <c r="BD830" s="132"/>
      <c r="BE830" s="133"/>
      <c r="BF830" s="133"/>
      <c r="BG830" s="132"/>
      <c r="BH830" s="132"/>
      <c r="BI830" s="132"/>
      <c r="BJ830" s="132"/>
      <c r="BK830" s="124"/>
      <c r="BL830" s="132"/>
      <c r="BM830" s="132"/>
      <c r="BN830" s="132"/>
    </row>
    <row r="831" spans="1:66" x14ac:dyDescent="0.3">
      <c r="A831" s="27"/>
      <c r="B831" s="27"/>
      <c r="C831" s="27"/>
      <c r="D831" s="27"/>
      <c r="E831" s="27"/>
      <c r="F831" s="27"/>
      <c r="G831" s="27"/>
      <c r="H831" s="27"/>
      <c r="I831" s="27"/>
      <c r="J831" s="27"/>
      <c r="K831" s="27"/>
      <c r="L831" s="27"/>
      <c r="N831" s="27"/>
      <c r="O831" s="27"/>
      <c r="P831" s="27"/>
      <c r="Q831" s="117" t="s">
        <v>1393</v>
      </c>
      <c r="R831" s="27"/>
      <c r="S831" s="27"/>
      <c r="T831" s="27"/>
      <c r="U831" s="27"/>
      <c r="V831" s="27"/>
      <c r="W831" s="27"/>
      <c r="X831" s="27"/>
      <c r="Y831" s="27"/>
      <c r="AE831" s="27"/>
      <c r="BD831" s="132"/>
      <c r="BE831" s="133"/>
      <c r="BF831" s="133"/>
      <c r="BG831" s="132"/>
      <c r="BH831" s="132"/>
      <c r="BI831" s="132"/>
      <c r="BJ831" s="132"/>
      <c r="BK831" s="124"/>
      <c r="BL831" s="132"/>
      <c r="BM831" s="132"/>
      <c r="BN831" s="132"/>
    </row>
    <row r="832" spans="1:66" x14ac:dyDescent="0.3">
      <c r="A832" s="27"/>
      <c r="B832" s="27"/>
      <c r="C832" s="27"/>
      <c r="D832" s="27"/>
      <c r="E832" s="27"/>
      <c r="F832" s="27"/>
      <c r="G832" s="27"/>
      <c r="H832" s="27"/>
      <c r="I832" s="27"/>
      <c r="J832" s="27"/>
      <c r="K832" s="27"/>
      <c r="L832" s="27"/>
      <c r="N832" s="27"/>
      <c r="O832" s="27"/>
      <c r="P832" s="27"/>
      <c r="Q832" s="117" t="s">
        <v>1394</v>
      </c>
      <c r="R832" s="27"/>
      <c r="S832" s="27"/>
      <c r="T832" s="27"/>
      <c r="U832" s="27"/>
      <c r="V832" s="27"/>
      <c r="W832" s="27"/>
      <c r="X832" s="27"/>
      <c r="Y832" s="27"/>
      <c r="AE832" s="27"/>
      <c r="BD832" s="132"/>
      <c r="BE832" s="133"/>
      <c r="BF832" s="133"/>
      <c r="BG832" s="132"/>
      <c r="BH832" s="132"/>
      <c r="BI832" s="132"/>
      <c r="BJ832" s="132"/>
      <c r="BK832" s="124"/>
      <c r="BL832" s="132"/>
      <c r="BM832" s="132"/>
      <c r="BN832" s="132"/>
    </row>
    <row r="833" spans="1:66" x14ac:dyDescent="0.3">
      <c r="A833" s="27"/>
      <c r="B833" s="27"/>
      <c r="C833" s="27"/>
      <c r="D833" s="27"/>
      <c r="E833" s="27"/>
      <c r="F833" s="27"/>
      <c r="G833" s="27"/>
      <c r="H833" s="27"/>
      <c r="I833" s="27"/>
      <c r="J833" s="27"/>
      <c r="K833" s="27"/>
      <c r="L833" s="27"/>
      <c r="N833" s="27"/>
      <c r="O833" s="27"/>
      <c r="P833" s="27"/>
      <c r="Q833" s="117" t="s">
        <v>1395</v>
      </c>
      <c r="R833" s="27"/>
      <c r="S833" s="27"/>
      <c r="T833" s="27"/>
      <c r="U833" s="27"/>
      <c r="V833" s="27"/>
      <c r="W833" s="27"/>
      <c r="X833" s="27"/>
      <c r="Y833" s="27"/>
      <c r="AE833" s="27"/>
      <c r="BD833" s="132"/>
      <c r="BE833" s="133"/>
      <c r="BF833" s="133"/>
      <c r="BG833" s="132"/>
      <c r="BH833" s="132"/>
      <c r="BI833" s="132"/>
      <c r="BJ833" s="132"/>
      <c r="BK833" s="124"/>
      <c r="BL833" s="132"/>
      <c r="BM833" s="132"/>
      <c r="BN833" s="132"/>
    </row>
    <row r="834" spans="1:66" x14ac:dyDescent="0.3">
      <c r="A834" s="27"/>
      <c r="B834" s="27"/>
      <c r="C834" s="27"/>
      <c r="D834" s="27"/>
      <c r="E834" s="27"/>
      <c r="F834" s="27"/>
      <c r="G834" s="27"/>
      <c r="H834" s="27"/>
      <c r="I834" s="27"/>
      <c r="J834" s="27"/>
      <c r="K834" s="27"/>
      <c r="L834" s="27"/>
      <c r="N834" s="27"/>
      <c r="O834" s="27"/>
      <c r="P834" s="27"/>
      <c r="Q834" s="117" t="s">
        <v>1396</v>
      </c>
      <c r="R834" s="27"/>
      <c r="S834" s="27"/>
      <c r="T834" s="27"/>
      <c r="U834" s="27"/>
      <c r="V834" s="27"/>
      <c r="W834" s="27"/>
      <c r="X834" s="27"/>
      <c r="Y834" s="27"/>
      <c r="AE834" s="27"/>
      <c r="BD834" s="132"/>
      <c r="BE834" s="133"/>
      <c r="BF834" s="133"/>
      <c r="BG834" s="132"/>
      <c r="BH834" s="132"/>
      <c r="BI834" s="132"/>
      <c r="BJ834" s="132"/>
      <c r="BK834" s="124"/>
      <c r="BL834" s="132"/>
      <c r="BM834" s="132"/>
      <c r="BN834" s="132"/>
    </row>
    <row r="835" spans="1:66" x14ac:dyDescent="0.3">
      <c r="A835" s="27"/>
      <c r="B835" s="27"/>
      <c r="C835" s="27"/>
      <c r="D835" s="27"/>
      <c r="E835" s="27"/>
      <c r="F835" s="27"/>
      <c r="G835" s="27"/>
      <c r="H835" s="27"/>
      <c r="I835" s="27"/>
      <c r="J835" s="27"/>
      <c r="K835" s="27"/>
      <c r="L835" s="27"/>
      <c r="N835" s="27"/>
      <c r="O835" s="27"/>
      <c r="P835" s="27"/>
      <c r="Q835" s="117" t="s">
        <v>1397</v>
      </c>
      <c r="R835" s="27"/>
      <c r="S835" s="27"/>
      <c r="T835" s="27"/>
      <c r="U835" s="27"/>
      <c r="V835" s="27"/>
      <c r="W835" s="27"/>
      <c r="X835" s="27"/>
      <c r="Y835" s="27"/>
      <c r="AE835" s="27"/>
      <c r="BD835" s="132"/>
      <c r="BE835" s="133"/>
      <c r="BF835" s="133"/>
      <c r="BG835" s="132"/>
      <c r="BH835" s="132"/>
      <c r="BI835" s="132"/>
      <c r="BJ835" s="132"/>
      <c r="BK835" s="124"/>
      <c r="BL835" s="132"/>
      <c r="BM835" s="132"/>
      <c r="BN835" s="132"/>
    </row>
    <row r="836" spans="1:66" x14ac:dyDescent="0.3">
      <c r="A836" s="27"/>
      <c r="B836" s="27"/>
      <c r="C836" s="27"/>
      <c r="D836" s="27"/>
      <c r="E836" s="27"/>
      <c r="F836" s="27"/>
      <c r="G836" s="27"/>
      <c r="H836" s="27"/>
      <c r="I836" s="27"/>
      <c r="J836" s="27"/>
      <c r="K836" s="27"/>
      <c r="L836" s="27"/>
      <c r="N836" s="27"/>
      <c r="O836" s="27"/>
      <c r="P836" s="27"/>
      <c r="Q836" s="117" t="s">
        <v>1398</v>
      </c>
      <c r="R836" s="27"/>
      <c r="S836" s="27"/>
      <c r="T836" s="27"/>
      <c r="U836" s="27"/>
      <c r="V836" s="27"/>
      <c r="W836" s="27"/>
      <c r="X836" s="27"/>
      <c r="Y836" s="27"/>
      <c r="AE836" s="27"/>
      <c r="BD836" s="132"/>
      <c r="BE836" s="133"/>
      <c r="BF836" s="133"/>
      <c r="BG836" s="132"/>
      <c r="BH836" s="132"/>
      <c r="BI836" s="132"/>
      <c r="BJ836" s="132"/>
      <c r="BK836" s="124"/>
      <c r="BL836" s="132"/>
      <c r="BM836" s="132"/>
      <c r="BN836" s="132"/>
    </row>
    <row r="837" spans="1:66" x14ac:dyDescent="0.3">
      <c r="A837" s="27"/>
      <c r="B837" s="27"/>
      <c r="C837" s="27"/>
      <c r="D837" s="27"/>
      <c r="E837" s="27"/>
      <c r="F837" s="27"/>
      <c r="G837" s="27"/>
      <c r="H837" s="27"/>
      <c r="I837" s="27"/>
      <c r="J837" s="27"/>
      <c r="K837" s="27"/>
      <c r="L837" s="27"/>
      <c r="N837" s="27"/>
      <c r="O837" s="27"/>
      <c r="P837" s="27"/>
      <c r="Q837" s="117" t="s">
        <v>1399</v>
      </c>
      <c r="R837" s="27"/>
      <c r="S837" s="27"/>
      <c r="T837" s="27"/>
      <c r="U837" s="27"/>
      <c r="V837" s="27"/>
      <c r="W837" s="27"/>
      <c r="X837" s="27"/>
      <c r="Y837" s="27"/>
      <c r="AE837" s="27"/>
      <c r="BD837" s="132"/>
      <c r="BE837" s="133"/>
      <c r="BF837" s="133"/>
      <c r="BG837" s="132"/>
      <c r="BH837" s="132"/>
      <c r="BI837" s="132"/>
      <c r="BJ837" s="132"/>
      <c r="BK837" s="124"/>
      <c r="BL837" s="132"/>
      <c r="BM837" s="132"/>
      <c r="BN837" s="132"/>
    </row>
    <row r="838" spans="1:66" x14ac:dyDescent="0.3">
      <c r="A838" s="27"/>
      <c r="B838" s="27"/>
      <c r="C838" s="27"/>
      <c r="D838" s="27"/>
      <c r="E838" s="27"/>
      <c r="F838" s="27"/>
      <c r="G838" s="27"/>
      <c r="H838" s="27"/>
      <c r="I838" s="27"/>
      <c r="J838" s="27"/>
      <c r="K838" s="27"/>
      <c r="L838" s="27"/>
      <c r="N838" s="27"/>
      <c r="O838" s="27"/>
      <c r="P838" s="27"/>
      <c r="Q838" s="117" t="s">
        <v>1400</v>
      </c>
      <c r="R838" s="27"/>
      <c r="S838" s="27"/>
      <c r="T838" s="27"/>
      <c r="U838" s="27"/>
      <c r="V838" s="27"/>
      <c r="W838" s="27"/>
      <c r="X838" s="27"/>
      <c r="Y838" s="27"/>
      <c r="AE838" s="27"/>
      <c r="BD838" s="132"/>
      <c r="BE838" s="133"/>
      <c r="BF838" s="133"/>
      <c r="BG838" s="132"/>
      <c r="BH838" s="132"/>
      <c r="BI838" s="132"/>
      <c r="BJ838" s="132"/>
      <c r="BK838" s="124"/>
      <c r="BL838" s="132"/>
      <c r="BM838" s="132"/>
      <c r="BN838" s="132"/>
    </row>
    <row r="839" spans="1:66" x14ac:dyDescent="0.3">
      <c r="A839" s="27"/>
      <c r="B839" s="27"/>
      <c r="C839" s="27"/>
      <c r="D839" s="27"/>
      <c r="E839" s="27"/>
      <c r="F839" s="27"/>
      <c r="G839" s="27"/>
      <c r="H839" s="27"/>
      <c r="I839" s="27"/>
      <c r="J839" s="27"/>
      <c r="K839" s="27"/>
      <c r="L839" s="27"/>
      <c r="N839" s="27"/>
      <c r="O839" s="27"/>
      <c r="P839" s="27"/>
      <c r="Q839" s="117" t="s">
        <v>1401</v>
      </c>
      <c r="R839" s="27"/>
      <c r="S839" s="27"/>
      <c r="T839" s="27"/>
      <c r="U839" s="27"/>
      <c r="V839" s="27"/>
      <c r="W839" s="27"/>
      <c r="X839" s="27"/>
      <c r="Y839" s="27"/>
      <c r="AE839" s="27"/>
      <c r="BD839" s="132"/>
      <c r="BE839" s="133"/>
      <c r="BF839" s="133"/>
      <c r="BG839" s="132"/>
      <c r="BH839" s="132"/>
      <c r="BI839" s="132"/>
      <c r="BJ839" s="132"/>
      <c r="BK839" s="124"/>
      <c r="BL839" s="132"/>
      <c r="BM839" s="132"/>
      <c r="BN839" s="132"/>
    </row>
    <row r="840" spans="1:66" x14ac:dyDescent="0.3">
      <c r="A840" s="27"/>
      <c r="B840" s="27"/>
      <c r="C840" s="27"/>
      <c r="D840" s="27"/>
      <c r="E840" s="27"/>
      <c r="F840" s="27"/>
      <c r="G840" s="27"/>
      <c r="H840" s="27"/>
      <c r="I840" s="27"/>
      <c r="J840" s="27"/>
      <c r="K840" s="27"/>
      <c r="L840" s="27"/>
      <c r="N840" s="27"/>
      <c r="O840" s="27"/>
      <c r="P840" s="27"/>
      <c r="Q840" s="117" t="s">
        <v>1402</v>
      </c>
      <c r="R840" s="27"/>
      <c r="S840" s="27"/>
      <c r="T840" s="27"/>
      <c r="U840" s="27"/>
      <c r="V840" s="27"/>
      <c r="W840" s="27"/>
      <c r="X840" s="27"/>
      <c r="Y840" s="27"/>
      <c r="AE840" s="27"/>
      <c r="BD840" s="132"/>
      <c r="BE840" s="133"/>
      <c r="BF840" s="133"/>
      <c r="BG840" s="132"/>
      <c r="BH840" s="132"/>
      <c r="BI840" s="132"/>
      <c r="BJ840" s="132"/>
      <c r="BK840" s="124"/>
      <c r="BL840" s="132"/>
      <c r="BM840" s="132"/>
      <c r="BN840" s="132"/>
    </row>
    <row r="841" spans="1:66" x14ac:dyDescent="0.3">
      <c r="A841" s="27"/>
      <c r="B841" s="27"/>
      <c r="C841" s="27"/>
      <c r="D841" s="27"/>
      <c r="E841" s="27"/>
      <c r="F841" s="27"/>
      <c r="G841" s="27"/>
      <c r="H841" s="27"/>
      <c r="I841" s="27"/>
      <c r="J841" s="27"/>
      <c r="K841" s="27"/>
      <c r="L841" s="27"/>
      <c r="N841" s="27"/>
      <c r="O841" s="27"/>
      <c r="P841" s="27"/>
      <c r="Q841" s="117" t="s">
        <v>1403</v>
      </c>
      <c r="R841" s="27"/>
      <c r="S841" s="27"/>
      <c r="T841" s="27"/>
      <c r="U841" s="27"/>
      <c r="V841" s="27"/>
      <c r="W841" s="27"/>
      <c r="X841" s="27"/>
      <c r="Y841" s="27"/>
      <c r="AE841" s="27"/>
      <c r="BD841" s="132"/>
      <c r="BE841" s="133"/>
      <c r="BF841" s="133"/>
      <c r="BG841" s="132"/>
      <c r="BH841" s="132"/>
      <c r="BI841" s="132"/>
      <c r="BJ841" s="132"/>
      <c r="BK841" s="124"/>
      <c r="BL841" s="132"/>
      <c r="BM841" s="132"/>
      <c r="BN841" s="132"/>
    </row>
    <row r="842" spans="1:66" x14ac:dyDescent="0.3">
      <c r="A842" s="27"/>
      <c r="B842" s="27"/>
      <c r="C842" s="27"/>
      <c r="D842" s="27"/>
      <c r="E842" s="27"/>
      <c r="F842" s="27"/>
      <c r="G842" s="27"/>
      <c r="H842" s="27"/>
      <c r="I842" s="27"/>
      <c r="J842" s="27"/>
      <c r="K842" s="27"/>
      <c r="L842" s="27"/>
      <c r="N842" s="27"/>
      <c r="O842" s="27"/>
      <c r="P842" s="27"/>
      <c r="Q842" s="117" t="s">
        <v>1404</v>
      </c>
      <c r="R842" s="27"/>
      <c r="S842" s="27"/>
      <c r="T842" s="27"/>
      <c r="U842" s="27"/>
      <c r="V842" s="27"/>
      <c r="W842" s="27"/>
      <c r="X842" s="27"/>
      <c r="Y842" s="27"/>
      <c r="AE842" s="27"/>
      <c r="BD842" s="132"/>
      <c r="BE842" s="133"/>
      <c r="BF842" s="133"/>
      <c r="BG842" s="132"/>
      <c r="BH842" s="132"/>
      <c r="BI842" s="132"/>
      <c r="BJ842" s="132"/>
      <c r="BK842" s="124"/>
      <c r="BL842" s="132"/>
      <c r="BM842" s="132"/>
      <c r="BN842" s="132"/>
    </row>
    <row r="843" spans="1:66" x14ac:dyDescent="0.3">
      <c r="A843" s="27"/>
      <c r="B843" s="27"/>
      <c r="C843" s="27"/>
      <c r="D843" s="27"/>
      <c r="E843" s="27"/>
      <c r="F843" s="27"/>
      <c r="G843" s="27"/>
      <c r="H843" s="27"/>
      <c r="I843" s="27"/>
      <c r="J843" s="27"/>
      <c r="K843" s="27"/>
      <c r="L843" s="27"/>
      <c r="N843" s="27"/>
      <c r="O843" s="27"/>
      <c r="P843" s="27"/>
      <c r="Q843" s="117" t="s">
        <v>1405</v>
      </c>
      <c r="R843" s="27"/>
      <c r="S843" s="27"/>
      <c r="T843" s="27"/>
      <c r="U843" s="27"/>
      <c r="V843" s="27"/>
      <c r="W843" s="27"/>
      <c r="X843" s="27"/>
      <c r="Y843" s="27"/>
      <c r="AE843" s="27"/>
      <c r="BD843" s="132"/>
      <c r="BE843" s="133"/>
      <c r="BF843" s="133"/>
      <c r="BG843" s="132"/>
      <c r="BH843" s="132"/>
      <c r="BI843" s="132"/>
      <c r="BJ843" s="132"/>
      <c r="BK843" s="124"/>
      <c r="BL843" s="132"/>
      <c r="BM843" s="132"/>
      <c r="BN843" s="132"/>
    </row>
    <row r="844" spans="1:66" x14ac:dyDescent="0.3">
      <c r="A844" s="27"/>
      <c r="B844" s="27"/>
      <c r="C844" s="27"/>
      <c r="D844" s="27"/>
      <c r="E844" s="27"/>
      <c r="F844" s="27"/>
      <c r="G844" s="27"/>
      <c r="H844" s="27"/>
      <c r="I844" s="27"/>
      <c r="J844" s="27"/>
      <c r="K844" s="27"/>
      <c r="L844" s="27"/>
      <c r="N844" s="27"/>
      <c r="O844" s="27"/>
      <c r="P844" s="27"/>
      <c r="Q844" s="117" t="s">
        <v>1406</v>
      </c>
      <c r="R844" s="27"/>
      <c r="S844" s="27"/>
      <c r="T844" s="27"/>
      <c r="U844" s="27"/>
      <c r="V844" s="27"/>
      <c r="W844" s="27"/>
      <c r="X844" s="27"/>
      <c r="Y844" s="27"/>
      <c r="AE844" s="27"/>
      <c r="BD844" s="132"/>
      <c r="BE844" s="133"/>
      <c r="BF844" s="133"/>
      <c r="BG844" s="132"/>
      <c r="BH844" s="132"/>
      <c r="BI844" s="132"/>
      <c r="BJ844" s="132"/>
      <c r="BK844" s="124"/>
      <c r="BL844" s="132"/>
      <c r="BM844" s="132"/>
      <c r="BN844" s="132"/>
    </row>
    <row r="845" spans="1:66" x14ac:dyDescent="0.3">
      <c r="A845" s="27"/>
      <c r="B845" s="27"/>
      <c r="C845" s="27"/>
      <c r="D845" s="27"/>
      <c r="E845" s="27"/>
      <c r="F845" s="27"/>
      <c r="G845" s="27"/>
      <c r="H845" s="27"/>
      <c r="I845" s="27"/>
      <c r="J845" s="27"/>
      <c r="K845" s="27"/>
      <c r="L845" s="27"/>
      <c r="N845" s="27"/>
      <c r="O845" s="27"/>
      <c r="P845" s="27"/>
      <c r="Q845" s="117" t="s">
        <v>580</v>
      </c>
      <c r="R845" s="27"/>
      <c r="S845" s="27"/>
      <c r="T845" s="27"/>
      <c r="U845" s="27"/>
      <c r="V845" s="27"/>
      <c r="W845" s="27"/>
      <c r="X845" s="27"/>
      <c r="Y845" s="27"/>
      <c r="AE845" s="27"/>
      <c r="BD845" s="132"/>
      <c r="BE845" s="133"/>
      <c r="BF845" s="133"/>
      <c r="BG845" s="132"/>
      <c r="BH845" s="132"/>
      <c r="BI845" s="132"/>
      <c r="BJ845" s="132"/>
      <c r="BK845" s="124"/>
      <c r="BL845" s="132"/>
      <c r="BM845" s="132"/>
      <c r="BN845" s="132"/>
    </row>
    <row r="846" spans="1:66" x14ac:dyDescent="0.3">
      <c r="A846" s="27"/>
      <c r="B846" s="27"/>
      <c r="C846" s="27"/>
      <c r="D846" s="27"/>
      <c r="E846" s="27"/>
      <c r="F846" s="27"/>
      <c r="G846" s="27"/>
      <c r="H846" s="27"/>
      <c r="I846" s="27"/>
      <c r="J846" s="27"/>
      <c r="K846" s="27"/>
      <c r="L846" s="27"/>
      <c r="N846" s="27"/>
      <c r="O846" s="27"/>
      <c r="P846" s="27"/>
      <c r="Q846" s="117" t="s">
        <v>1407</v>
      </c>
      <c r="R846" s="27"/>
      <c r="S846" s="27"/>
      <c r="T846" s="27"/>
      <c r="U846" s="27"/>
      <c r="V846" s="27"/>
      <c r="W846" s="27"/>
      <c r="X846" s="27"/>
      <c r="Y846" s="27"/>
      <c r="AE846" s="27"/>
      <c r="BD846" s="132"/>
      <c r="BE846" s="133"/>
      <c r="BF846" s="133"/>
      <c r="BG846" s="132"/>
      <c r="BH846" s="132"/>
      <c r="BI846" s="132"/>
      <c r="BJ846" s="132"/>
      <c r="BK846" s="124"/>
      <c r="BL846" s="132"/>
      <c r="BM846" s="132"/>
      <c r="BN846" s="132"/>
    </row>
    <row r="847" spans="1:66" x14ac:dyDescent="0.3">
      <c r="A847" s="27"/>
      <c r="B847" s="27"/>
      <c r="C847" s="27"/>
      <c r="D847" s="27"/>
      <c r="E847" s="27"/>
      <c r="F847" s="27"/>
      <c r="G847" s="27"/>
      <c r="H847" s="27"/>
      <c r="I847" s="27"/>
      <c r="J847" s="27"/>
      <c r="K847" s="27"/>
      <c r="L847" s="27"/>
      <c r="N847" s="27"/>
      <c r="O847" s="27"/>
      <c r="P847" s="27"/>
      <c r="Q847" s="117" t="s">
        <v>1408</v>
      </c>
      <c r="R847" s="27"/>
      <c r="S847" s="27"/>
      <c r="T847" s="27"/>
      <c r="U847" s="27"/>
      <c r="V847" s="27"/>
      <c r="W847" s="27"/>
      <c r="X847" s="27"/>
      <c r="Y847" s="27"/>
      <c r="AE847" s="27"/>
      <c r="BD847" s="132"/>
      <c r="BE847" s="133"/>
      <c r="BF847" s="133"/>
      <c r="BG847" s="132"/>
      <c r="BH847" s="132"/>
      <c r="BI847" s="132"/>
      <c r="BJ847" s="132"/>
      <c r="BK847" s="124"/>
      <c r="BL847" s="132"/>
      <c r="BM847" s="132"/>
      <c r="BN847" s="132"/>
    </row>
    <row r="848" spans="1:66" x14ac:dyDescent="0.3">
      <c r="A848" s="27"/>
      <c r="B848" s="27"/>
      <c r="C848" s="27"/>
      <c r="D848" s="27"/>
      <c r="E848" s="27"/>
      <c r="F848" s="27"/>
      <c r="G848" s="27"/>
      <c r="H848" s="27"/>
      <c r="I848" s="27"/>
      <c r="J848" s="27"/>
      <c r="K848" s="27"/>
      <c r="L848" s="27"/>
      <c r="N848" s="27"/>
      <c r="O848" s="27"/>
      <c r="P848" s="27"/>
      <c r="Q848" s="117" t="s">
        <v>1409</v>
      </c>
      <c r="R848" s="27"/>
      <c r="S848" s="27"/>
      <c r="T848" s="27"/>
      <c r="U848" s="27"/>
      <c r="V848" s="27"/>
      <c r="W848" s="27"/>
      <c r="X848" s="27"/>
      <c r="Y848" s="27"/>
      <c r="AE848" s="27"/>
      <c r="BD848" s="132"/>
      <c r="BE848" s="133"/>
      <c r="BF848" s="133"/>
      <c r="BG848" s="132"/>
      <c r="BH848" s="132"/>
      <c r="BI848" s="132"/>
      <c r="BJ848" s="132"/>
      <c r="BK848" s="124"/>
      <c r="BL848" s="132"/>
      <c r="BM848" s="132"/>
      <c r="BN848" s="132"/>
    </row>
    <row r="849" spans="1:66" x14ac:dyDescent="0.3">
      <c r="A849" s="27"/>
      <c r="B849" s="27"/>
      <c r="C849" s="27"/>
      <c r="D849" s="27"/>
      <c r="E849" s="27"/>
      <c r="F849" s="27"/>
      <c r="G849" s="27"/>
      <c r="H849" s="27"/>
      <c r="I849" s="27"/>
      <c r="J849" s="27"/>
      <c r="K849" s="27"/>
      <c r="L849" s="27"/>
      <c r="N849" s="27"/>
      <c r="O849" s="27"/>
      <c r="P849" s="27"/>
      <c r="Q849" s="117" t="s">
        <v>1410</v>
      </c>
      <c r="R849" s="27"/>
      <c r="S849" s="27"/>
      <c r="T849" s="27"/>
      <c r="U849" s="27"/>
      <c r="V849" s="27"/>
      <c r="W849" s="27"/>
      <c r="X849" s="27"/>
      <c r="Y849" s="27"/>
      <c r="AE849" s="27"/>
      <c r="BD849" s="132"/>
      <c r="BE849" s="133"/>
      <c r="BF849" s="133"/>
      <c r="BG849" s="132"/>
      <c r="BH849" s="132"/>
      <c r="BI849" s="132"/>
      <c r="BJ849" s="132"/>
      <c r="BK849" s="124"/>
      <c r="BL849" s="132"/>
      <c r="BM849" s="132"/>
      <c r="BN849" s="132"/>
    </row>
    <row r="850" spans="1:66" x14ac:dyDescent="0.3">
      <c r="A850" s="27"/>
      <c r="B850" s="27"/>
      <c r="C850" s="27"/>
      <c r="D850" s="27"/>
      <c r="E850" s="27"/>
      <c r="F850" s="27"/>
      <c r="G850" s="27"/>
      <c r="H850" s="27"/>
      <c r="I850" s="27"/>
      <c r="J850" s="27"/>
      <c r="K850" s="27"/>
      <c r="L850" s="27"/>
      <c r="N850" s="27"/>
      <c r="O850" s="27"/>
      <c r="P850" s="27"/>
      <c r="Q850" s="117" t="s">
        <v>1411</v>
      </c>
      <c r="R850" s="27"/>
      <c r="S850" s="27"/>
      <c r="T850" s="27"/>
      <c r="U850" s="27"/>
      <c r="V850" s="27"/>
      <c r="W850" s="27"/>
      <c r="X850" s="27"/>
      <c r="Y850" s="27"/>
      <c r="AE850" s="27"/>
      <c r="BD850" s="132"/>
      <c r="BE850" s="133"/>
      <c r="BF850" s="133"/>
      <c r="BG850" s="132"/>
      <c r="BH850" s="132"/>
      <c r="BI850" s="132"/>
      <c r="BJ850" s="132"/>
      <c r="BK850" s="124"/>
      <c r="BL850" s="132"/>
      <c r="BM850" s="132"/>
      <c r="BN850" s="132"/>
    </row>
    <row r="851" spans="1:66" x14ac:dyDescent="0.3">
      <c r="A851" s="27"/>
      <c r="B851" s="27"/>
      <c r="C851" s="27"/>
      <c r="D851" s="27"/>
      <c r="E851" s="27"/>
      <c r="F851" s="27"/>
      <c r="G851" s="27"/>
      <c r="H851" s="27"/>
      <c r="I851" s="27"/>
      <c r="J851" s="27"/>
      <c r="K851" s="27"/>
      <c r="L851" s="27"/>
      <c r="N851" s="27"/>
      <c r="O851" s="27"/>
      <c r="P851" s="27"/>
      <c r="Q851" s="117" t="s">
        <v>1412</v>
      </c>
      <c r="R851" s="27"/>
      <c r="S851" s="27"/>
      <c r="T851" s="27"/>
      <c r="U851" s="27"/>
      <c r="V851" s="27"/>
      <c r="W851" s="27"/>
      <c r="X851" s="27"/>
      <c r="Y851" s="27"/>
      <c r="AE851" s="27"/>
      <c r="BD851" s="132"/>
      <c r="BE851" s="133"/>
      <c r="BF851" s="133"/>
      <c r="BG851" s="132"/>
      <c r="BH851" s="132"/>
      <c r="BI851" s="132"/>
      <c r="BJ851" s="132"/>
      <c r="BK851" s="124"/>
      <c r="BL851" s="132"/>
      <c r="BM851" s="132"/>
      <c r="BN851" s="132"/>
    </row>
    <row r="852" spans="1:66" x14ac:dyDescent="0.3">
      <c r="A852" s="27"/>
      <c r="B852" s="27"/>
      <c r="C852" s="27"/>
      <c r="D852" s="27"/>
      <c r="E852" s="27"/>
      <c r="F852" s="27"/>
      <c r="G852" s="27"/>
      <c r="H852" s="27"/>
      <c r="I852" s="27"/>
      <c r="J852" s="27"/>
      <c r="K852" s="27"/>
      <c r="L852" s="27"/>
      <c r="N852" s="27"/>
      <c r="O852" s="27"/>
      <c r="P852" s="27"/>
      <c r="Q852" s="117" t="s">
        <v>1413</v>
      </c>
      <c r="R852" s="27"/>
      <c r="S852" s="27"/>
      <c r="T852" s="27"/>
      <c r="U852" s="27"/>
      <c r="V852" s="27"/>
      <c r="W852" s="27"/>
      <c r="X852" s="27"/>
      <c r="Y852" s="27"/>
      <c r="AE852" s="27"/>
      <c r="BD852" s="132"/>
      <c r="BE852" s="133"/>
      <c r="BF852" s="133"/>
      <c r="BG852" s="132"/>
      <c r="BH852" s="132"/>
      <c r="BI852" s="132"/>
      <c r="BJ852" s="132"/>
      <c r="BK852" s="124"/>
      <c r="BL852" s="132"/>
      <c r="BM852" s="132"/>
      <c r="BN852" s="132"/>
    </row>
    <row r="853" spans="1:66" x14ac:dyDescent="0.3">
      <c r="A853" s="27"/>
      <c r="B853" s="27"/>
      <c r="C853" s="27"/>
      <c r="D853" s="27"/>
      <c r="E853" s="27"/>
      <c r="F853" s="27"/>
      <c r="G853" s="27"/>
      <c r="H853" s="27"/>
      <c r="I853" s="27"/>
      <c r="J853" s="27"/>
      <c r="K853" s="27"/>
      <c r="L853" s="27"/>
      <c r="N853" s="27"/>
      <c r="O853" s="27"/>
      <c r="P853" s="27"/>
      <c r="Q853" s="117" t="s">
        <v>1414</v>
      </c>
      <c r="R853" s="27"/>
      <c r="S853" s="27"/>
      <c r="T853" s="27"/>
      <c r="U853" s="27"/>
      <c r="V853" s="27"/>
      <c r="W853" s="27"/>
      <c r="X853" s="27"/>
      <c r="Y853" s="27"/>
      <c r="AE853" s="27"/>
      <c r="BD853" s="132"/>
      <c r="BE853" s="133"/>
      <c r="BF853" s="133"/>
      <c r="BG853" s="132"/>
      <c r="BH853" s="132"/>
      <c r="BI853" s="132"/>
      <c r="BJ853" s="132"/>
      <c r="BK853" s="124"/>
      <c r="BL853" s="132"/>
      <c r="BM853" s="132"/>
      <c r="BN853" s="132"/>
    </row>
    <row r="854" spans="1:66" x14ac:dyDescent="0.3">
      <c r="A854" s="27"/>
      <c r="B854" s="27"/>
      <c r="C854" s="27"/>
      <c r="D854" s="27"/>
      <c r="E854" s="27"/>
      <c r="F854" s="27"/>
      <c r="G854" s="27"/>
      <c r="H854" s="27"/>
      <c r="I854" s="27"/>
      <c r="J854" s="27"/>
      <c r="K854" s="27"/>
      <c r="L854" s="27"/>
      <c r="N854" s="27"/>
      <c r="O854" s="27"/>
      <c r="P854" s="27"/>
      <c r="Q854" s="117" t="s">
        <v>1415</v>
      </c>
      <c r="R854" s="27"/>
      <c r="S854" s="27"/>
      <c r="T854" s="27"/>
      <c r="U854" s="27"/>
      <c r="V854" s="27"/>
      <c r="W854" s="27"/>
      <c r="X854" s="27"/>
      <c r="Y854" s="27"/>
      <c r="AE854" s="27"/>
      <c r="BD854" s="132"/>
      <c r="BE854" s="133"/>
      <c r="BF854" s="133"/>
      <c r="BG854" s="132"/>
      <c r="BH854" s="132"/>
      <c r="BI854" s="132"/>
      <c r="BJ854" s="132"/>
      <c r="BK854" s="124"/>
      <c r="BL854" s="132"/>
      <c r="BM854" s="132"/>
      <c r="BN854" s="132"/>
    </row>
    <row r="855" spans="1:66" x14ac:dyDescent="0.3">
      <c r="A855" s="27"/>
      <c r="B855" s="27"/>
      <c r="C855" s="27"/>
      <c r="D855" s="27"/>
      <c r="E855" s="27"/>
      <c r="F855" s="27"/>
      <c r="G855" s="27"/>
      <c r="H855" s="27"/>
      <c r="I855" s="27"/>
      <c r="J855" s="27"/>
      <c r="K855" s="27"/>
      <c r="L855" s="27"/>
      <c r="N855" s="27"/>
      <c r="O855" s="27"/>
      <c r="P855" s="27"/>
      <c r="Q855" s="117" t="s">
        <v>1416</v>
      </c>
      <c r="R855" s="27"/>
      <c r="S855" s="27"/>
      <c r="T855" s="27"/>
      <c r="U855" s="27"/>
      <c r="V855" s="27"/>
      <c r="W855" s="27"/>
      <c r="X855" s="27"/>
      <c r="Y855" s="27"/>
      <c r="AE855" s="27"/>
      <c r="BD855" s="132"/>
      <c r="BE855" s="133"/>
      <c r="BF855" s="133"/>
      <c r="BG855" s="132"/>
      <c r="BH855" s="132"/>
      <c r="BI855" s="132"/>
      <c r="BJ855" s="132"/>
      <c r="BK855" s="124"/>
      <c r="BL855" s="132"/>
      <c r="BM855" s="132"/>
      <c r="BN855" s="132"/>
    </row>
    <row r="856" spans="1:66" x14ac:dyDescent="0.3">
      <c r="A856" s="27"/>
      <c r="B856" s="27"/>
      <c r="C856" s="27"/>
      <c r="D856" s="27"/>
      <c r="E856" s="27"/>
      <c r="F856" s="27"/>
      <c r="G856" s="27"/>
      <c r="H856" s="27"/>
      <c r="I856" s="27"/>
      <c r="J856" s="27"/>
      <c r="K856" s="27"/>
      <c r="L856" s="27"/>
      <c r="N856" s="27"/>
      <c r="O856" s="27"/>
      <c r="P856" s="27"/>
      <c r="Q856" s="117" t="s">
        <v>1417</v>
      </c>
      <c r="R856" s="27"/>
      <c r="S856" s="27"/>
      <c r="T856" s="27"/>
      <c r="U856" s="27"/>
      <c r="V856" s="27"/>
      <c r="W856" s="27"/>
      <c r="X856" s="27"/>
      <c r="Y856" s="27"/>
      <c r="AE856" s="27"/>
      <c r="BD856" s="132"/>
      <c r="BE856" s="133"/>
      <c r="BF856" s="133"/>
      <c r="BG856" s="132"/>
      <c r="BH856" s="132"/>
      <c r="BI856" s="132"/>
      <c r="BJ856" s="132"/>
      <c r="BK856" s="124"/>
      <c r="BL856" s="132"/>
      <c r="BM856" s="132"/>
      <c r="BN856" s="132"/>
    </row>
    <row r="857" spans="1:66" x14ac:dyDescent="0.3">
      <c r="A857" s="27"/>
      <c r="B857" s="27"/>
      <c r="C857" s="27"/>
      <c r="D857" s="27"/>
      <c r="E857" s="27"/>
      <c r="F857" s="27"/>
      <c r="G857" s="27"/>
      <c r="H857" s="27"/>
      <c r="I857" s="27"/>
      <c r="J857" s="27"/>
      <c r="K857" s="27"/>
      <c r="L857" s="27"/>
      <c r="N857" s="27"/>
      <c r="O857" s="27"/>
      <c r="P857" s="27"/>
      <c r="Q857" s="117" t="s">
        <v>583</v>
      </c>
      <c r="R857" s="27"/>
      <c r="S857" s="27"/>
      <c r="T857" s="27"/>
      <c r="U857" s="27"/>
      <c r="V857" s="27"/>
      <c r="W857" s="27"/>
      <c r="X857" s="27"/>
      <c r="Y857" s="27"/>
      <c r="AE857" s="27"/>
      <c r="BD857" s="132"/>
      <c r="BE857" s="133"/>
      <c r="BF857" s="133"/>
      <c r="BG857" s="132"/>
      <c r="BH857" s="132"/>
      <c r="BI857" s="132"/>
      <c r="BJ857" s="132"/>
      <c r="BK857" s="124"/>
      <c r="BL857" s="132"/>
      <c r="BM857" s="132"/>
      <c r="BN857" s="132"/>
    </row>
    <row r="858" spans="1:66" x14ac:dyDescent="0.3">
      <c r="A858" s="27"/>
      <c r="B858" s="27"/>
      <c r="C858" s="27"/>
      <c r="D858" s="27"/>
      <c r="E858" s="27"/>
      <c r="F858" s="27"/>
      <c r="G858" s="27"/>
      <c r="H858" s="27"/>
      <c r="I858" s="27"/>
      <c r="J858" s="27"/>
      <c r="K858" s="27"/>
      <c r="L858" s="27"/>
      <c r="N858" s="27"/>
      <c r="O858" s="27"/>
      <c r="P858" s="27"/>
      <c r="Q858" s="117" t="s">
        <v>1418</v>
      </c>
      <c r="R858" s="27"/>
      <c r="S858" s="27"/>
      <c r="T858" s="27"/>
      <c r="U858" s="27"/>
      <c r="V858" s="27"/>
      <c r="W858" s="27"/>
      <c r="X858" s="27"/>
      <c r="Y858" s="27"/>
      <c r="AE858" s="27"/>
      <c r="BD858" s="132"/>
      <c r="BE858" s="133"/>
      <c r="BF858" s="133"/>
      <c r="BG858" s="132"/>
      <c r="BH858" s="132"/>
      <c r="BI858" s="132"/>
      <c r="BJ858" s="132"/>
      <c r="BK858" s="124"/>
      <c r="BL858" s="132"/>
      <c r="BM858" s="132"/>
      <c r="BN858" s="132"/>
    </row>
    <row r="859" spans="1:66" x14ac:dyDescent="0.3">
      <c r="A859" s="27"/>
      <c r="B859" s="27"/>
      <c r="C859" s="27"/>
      <c r="D859" s="27"/>
      <c r="E859" s="27"/>
      <c r="F859" s="27"/>
      <c r="G859" s="27"/>
      <c r="H859" s="27"/>
      <c r="I859" s="27"/>
      <c r="J859" s="27"/>
      <c r="K859" s="27"/>
      <c r="L859" s="27"/>
      <c r="N859" s="27"/>
      <c r="O859" s="27"/>
      <c r="P859" s="27"/>
      <c r="Q859" s="117" t="s">
        <v>1419</v>
      </c>
      <c r="R859" s="27"/>
      <c r="S859" s="27"/>
      <c r="T859" s="27"/>
      <c r="U859" s="27"/>
      <c r="V859" s="27"/>
      <c r="W859" s="27"/>
      <c r="X859" s="27"/>
      <c r="Y859" s="27"/>
      <c r="AE859" s="27"/>
      <c r="BD859" s="132"/>
      <c r="BE859" s="133"/>
      <c r="BF859" s="133"/>
      <c r="BG859" s="132"/>
      <c r="BH859" s="132"/>
      <c r="BI859" s="132"/>
      <c r="BJ859" s="132"/>
      <c r="BK859" s="124"/>
      <c r="BL859" s="132"/>
      <c r="BM859" s="132"/>
      <c r="BN859" s="132"/>
    </row>
    <row r="860" spans="1:66" x14ac:dyDescent="0.3">
      <c r="A860" s="27"/>
      <c r="B860" s="27"/>
      <c r="C860" s="27"/>
      <c r="D860" s="27"/>
      <c r="E860" s="27"/>
      <c r="F860" s="27"/>
      <c r="G860" s="27"/>
      <c r="H860" s="27"/>
      <c r="I860" s="27"/>
      <c r="J860" s="27"/>
      <c r="K860" s="27"/>
      <c r="L860" s="27"/>
      <c r="N860" s="27"/>
      <c r="O860" s="27"/>
      <c r="P860" s="27"/>
      <c r="Q860" s="117" t="s">
        <v>1420</v>
      </c>
      <c r="R860" s="27"/>
      <c r="S860" s="27"/>
      <c r="T860" s="27"/>
      <c r="U860" s="27"/>
      <c r="V860" s="27"/>
      <c r="X860" s="27"/>
      <c r="Y860" s="27"/>
      <c r="AE860" s="27"/>
      <c r="BD860" s="132"/>
      <c r="BE860" s="133"/>
      <c r="BF860" s="133"/>
      <c r="BG860" s="132"/>
      <c r="BH860" s="132"/>
      <c r="BI860" s="132"/>
      <c r="BJ860" s="132"/>
      <c r="BK860" s="124"/>
      <c r="BL860" s="132"/>
      <c r="BM860" s="132"/>
      <c r="BN860" s="132"/>
    </row>
    <row r="861" spans="1:66" x14ac:dyDescent="0.3">
      <c r="A861" s="27"/>
      <c r="B861" s="27"/>
      <c r="C861" s="27"/>
      <c r="D861" s="27"/>
      <c r="E861" s="27"/>
      <c r="F861" s="27"/>
      <c r="G861" s="27"/>
      <c r="H861" s="27"/>
      <c r="I861" s="27"/>
      <c r="J861" s="27"/>
      <c r="K861" s="27"/>
      <c r="L861" s="27"/>
      <c r="N861" s="27"/>
      <c r="O861" s="27"/>
      <c r="P861" s="27"/>
      <c r="Q861" s="117" t="s">
        <v>1421</v>
      </c>
      <c r="R861" s="27"/>
      <c r="S861" s="27"/>
      <c r="T861" s="27"/>
      <c r="U861" s="27"/>
      <c r="V861" s="27"/>
      <c r="X861" s="27"/>
      <c r="Y861" s="27"/>
      <c r="AE861" s="27"/>
      <c r="BD861" s="132"/>
      <c r="BE861" s="133"/>
      <c r="BF861" s="133"/>
      <c r="BG861" s="132"/>
      <c r="BH861" s="132"/>
      <c r="BI861" s="132"/>
      <c r="BJ861" s="132"/>
      <c r="BK861" s="124"/>
      <c r="BL861" s="132"/>
      <c r="BM861" s="132"/>
      <c r="BN861" s="132"/>
    </row>
    <row r="862" spans="1:66" x14ac:dyDescent="0.3">
      <c r="A862" s="27"/>
      <c r="B862" s="27"/>
      <c r="C862" s="27"/>
      <c r="D862" s="27"/>
      <c r="E862" s="27"/>
      <c r="F862" s="27"/>
      <c r="G862" s="27"/>
      <c r="H862" s="27"/>
      <c r="I862" s="27"/>
      <c r="J862" s="27"/>
      <c r="K862" s="27"/>
      <c r="L862" s="27"/>
      <c r="N862" s="27"/>
      <c r="O862" s="27"/>
      <c r="P862" s="27"/>
      <c r="Q862" s="117" t="s">
        <v>1422</v>
      </c>
      <c r="R862" s="27"/>
      <c r="S862" s="27"/>
      <c r="T862" s="27"/>
      <c r="U862" s="27"/>
      <c r="V862" s="27"/>
      <c r="X862" s="27"/>
      <c r="Y862" s="27"/>
      <c r="AE862" s="27"/>
      <c r="BD862" s="132"/>
      <c r="BE862" s="133"/>
      <c r="BF862" s="133"/>
      <c r="BG862" s="132"/>
      <c r="BH862" s="132"/>
      <c r="BI862" s="132"/>
      <c r="BJ862" s="132"/>
      <c r="BK862" s="124"/>
      <c r="BL862" s="132"/>
      <c r="BM862" s="132"/>
      <c r="BN862" s="132"/>
    </row>
    <row r="863" spans="1:66" x14ac:dyDescent="0.3">
      <c r="A863" s="27"/>
      <c r="B863" s="27"/>
      <c r="C863" s="27"/>
      <c r="D863" s="27"/>
      <c r="E863" s="27"/>
      <c r="F863" s="27"/>
      <c r="G863" s="27"/>
      <c r="H863" s="27"/>
      <c r="I863" s="27"/>
      <c r="J863" s="27"/>
      <c r="K863" s="27"/>
      <c r="L863" s="27"/>
      <c r="N863" s="27"/>
      <c r="O863" s="27"/>
      <c r="P863" s="27"/>
      <c r="Q863" s="117" t="s">
        <v>1423</v>
      </c>
      <c r="R863" s="27"/>
      <c r="S863" s="27"/>
      <c r="T863" s="27"/>
      <c r="U863" s="27"/>
      <c r="V863" s="27"/>
      <c r="X863" s="27"/>
      <c r="Y863" s="27"/>
      <c r="AE863" s="27"/>
      <c r="BD863" s="132"/>
      <c r="BE863" s="133"/>
      <c r="BF863" s="133"/>
      <c r="BG863" s="132"/>
      <c r="BH863" s="132"/>
      <c r="BI863" s="132"/>
      <c r="BJ863" s="132"/>
      <c r="BK863" s="124"/>
      <c r="BL863" s="132"/>
      <c r="BM863" s="132"/>
      <c r="BN863" s="132"/>
    </row>
    <row r="864" spans="1:66" x14ac:dyDescent="0.3">
      <c r="A864" s="27"/>
      <c r="B864" s="27"/>
      <c r="C864" s="27"/>
      <c r="D864" s="27"/>
      <c r="E864" s="27"/>
      <c r="F864" s="27"/>
      <c r="G864" s="27"/>
      <c r="H864" s="27"/>
      <c r="I864" s="27"/>
      <c r="J864" s="27"/>
      <c r="K864" s="27"/>
      <c r="L864" s="27"/>
      <c r="N864" s="27"/>
      <c r="O864" s="27"/>
      <c r="P864" s="27"/>
      <c r="Q864" s="117"/>
      <c r="R864" s="27"/>
      <c r="S864" s="27"/>
      <c r="T864" s="27"/>
      <c r="U864" s="27"/>
      <c r="V864" s="27"/>
      <c r="X864" s="27"/>
      <c r="Y864" s="27"/>
      <c r="AE864" s="27"/>
      <c r="BB864" s="136"/>
      <c r="BD864" s="132"/>
      <c r="BE864" s="133"/>
      <c r="BF864" s="133"/>
      <c r="BG864" s="132"/>
      <c r="BH864" s="132"/>
      <c r="BI864" s="132"/>
      <c r="BJ864" s="132"/>
      <c r="BK864" s="124"/>
      <c r="BL864" s="132"/>
      <c r="BM864" s="132"/>
      <c r="BN864" s="132"/>
    </row>
    <row r="865" spans="1:66" x14ac:dyDescent="0.3">
      <c r="A865" s="27"/>
      <c r="B865" s="27"/>
      <c r="C865" s="27"/>
      <c r="D865" s="27"/>
      <c r="E865" s="27"/>
      <c r="F865" s="27"/>
      <c r="G865" s="27"/>
      <c r="H865" s="27"/>
      <c r="I865" s="27"/>
      <c r="J865" s="27"/>
      <c r="K865" s="27"/>
      <c r="L865" s="27"/>
      <c r="N865" s="27"/>
      <c r="O865" s="27"/>
      <c r="P865" s="27"/>
      <c r="Q865" s="117"/>
      <c r="R865" s="27"/>
      <c r="S865" s="27"/>
      <c r="T865" s="27"/>
      <c r="U865" s="27"/>
      <c r="V865" s="27"/>
      <c r="X865" s="27"/>
      <c r="Y865" s="27"/>
      <c r="AE865" s="27"/>
      <c r="BB865" s="137"/>
      <c r="BD865" s="132"/>
      <c r="BE865" s="133"/>
      <c r="BF865" s="133"/>
      <c r="BG865" s="132"/>
      <c r="BH865" s="132"/>
      <c r="BI865" s="132"/>
      <c r="BJ865" s="132"/>
      <c r="BK865" s="124"/>
      <c r="BL865" s="132"/>
      <c r="BM865" s="132"/>
      <c r="BN865" s="132"/>
    </row>
    <row r="866" spans="1:66" x14ac:dyDescent="0.3">
      <c r="A866" s="27"/>
      <c r="B866" s="27"/>
      <c r="C866" s="27"/>
      <c r="D866" s="27"/>
      <c r="E866" s="27"/>
      <c r="F866" s="27"/>
      <c r="G866" s="27"/>
      <c r="H866" s="27"/>
      <c r="I866" s="27"/>
      <c r="J866" s="27"/>
      <c r="K866" s="27"/>
      <c r="L866" s="27"/>
      <c r="N866" s="27"/>
      <c r="O866" s="27"/>
      <c r="P866" s="27"/>
      <c r="Q866" s="117"/>
      <c r="R866" s="27"/>
      <c r="S866" s="27"/>
      <c r="T866" s="27"/>
      <c r="U866" s="27"/>
      <c r="V866" s="27"/>
      <c r="X866" s="27"/>
      <c r="Y866" s="27"/>
      <c r="AE866" s="27"/>
      <c r="BB866" s="137"/>
      <c r="BD866" s="132"/>
      <c r="BE866" s="133"/>
      <c r="BF866" s="133"/>
      <c r="BG866" s="132"/>
      <c r="BH866" s="132"/>
      <c r="BI866" s="132"/>
      <c r="BJ866" s="132"/>
      <c r="BK866" s="124"/>
      <c r="BL866" s="132"/>
      <c r="BM866" s="132"/>
      <c r="BN866" s="132"/>
    </row>
    <row r="867" spans="1:66" x14ac:dyDescent="0.3">
      <c r="A867" s="27"/>
      <c r="B867" s="27"/>
      <c r="C867" s="27"/>
      <c r="D867" s="27"/>
      <c r="E867" s="27"/>
      <c r="F867" s="27"/>
      <c r="G867" s="27"/>
      <c r="H867" s="27"/>
      <c r="I867" s="27"/>
      <c r="J867" s="27"/>
      <c r="K867" s="27"/>
      <c r="L867" s="27"/>
      <c r="N867" s="27"/>
      <c r="O867" s="27"/>
      <c r="P867" s="27"/>
      <c r="Q867" s="117"/>
      <c r="R867" s="27"/>
      <c r="S867" s="27"/>
      <c r="T867" s="27"/>
      <c r="U867" s="27"/>
      <c r="V867" s="27"/>
      <c r="X867" s="27"/>
      <c r="Y867" s="27"/>
      <c r="AE867" s="27"/>
      <c r="BB867" s="137"/>
      <c r="BD867" s="132"/>
      <c r="BE867" s="133"/>
      <c r="BF867" s="133"/>
      <c r="BG867" s="132"/>
      <c r="BH867" s="132"/>
      <c r="BI867" s="132"/>
      <c r="BJ867" s="132"/>
      <c r="BK867" s="124"/>
      <c r="BL867" s="132"/>
      <c r="BM867" s="132"/>
      <c r="BN867" s="132"/>
    </row>
    <row r="868" spans="1:66" x14ac:dyDescent="0.3">
      <c r="A868" s="27"/>
      <c r="B868" s="27"/>
      <c r="C868" s="27"/>
      <c r="D868" s="27"/>
      <c r="E868" s="27"/>
      <c r="F868" s="27"/>
      <c r="G868" s="27"/>
      <c r="H868" s="27"/>
      <c r="I868" s="27"/>
      <c r="J868" s="27"/>
      <c r="K868" s="27"/>
      <c r="L868" s="27"/>
      <c r="N868" s="27"/>
      <c r="O868" s="27"/>
      <c r="P868" s="27"/>
      <c r="Q868" s="117"/>
      <c r="R868" s="27"/>
      <c r="S868" s="27"/>
      <c r="T868" s="27"/>
      <c r="U868" s="27"/>
      <c r="V868" s="27"/>
      <c r="X868" s="27"/>
      <c r="Y868" s="27"/>
      <c r="AE868" s="27"/>
      <c r="BB868" s="137"/>
      <c r="BD868" s="132"/>
      <c r="BE868" s="133"/>
      <c r="BF868" s="133"/>
      <c r="BG868" s="132"/>
      <c r="BH868" s="132"/>
      <c r="BI868" s="132"/>
      <c r="BJ868" s="132"/>
      <c r="BK868" s="124"/>
      <c r="BL868" s="132"/>
      <c r="BM868" s="132"/>
      <c r="BN868" s="132"/>
    </row>
    <row r="869" spans="1:66" x14ac:dyDescent="0.3">
      <c r="X869" s="27"/>
      <c r="Y869" s="27"/>
      <c r="BB869" s="137"/>
      <c r="BD869" s="132"/>
      <c r="BE869" s="133"/>
      <c r="BF869" s="133"/>
      <c r="BG869" s="132"/>
      <c r="BH869" s="132"/>
      <c r="BI869" s="132"/>
      <c r="BJ869" s="132"/>
      <c r="BK869" s="124"/>
      <c r="BL869" s="132"/>
      <c r="BM869" s="132"/>
      <c r="BN869" s="132"/>
    </row>
    <row r="870" spans="1:66" x14ac:dyDescent="0.3">
      <c r="Y870" s="27"/>
      <c r="BB870" s="137"/>
      <c r="BD870" s="132"/>
      <c r="BE870" s="133"/>
      <c r="BF870" s="133"/>
      <c r="BG870" s="132"/>
      <c r="BH870" s="132"/>
      <c r="BI870" s="132"/>
      <c r="BJ870" s="132"/>
      <c r="BK870" s="124"/>
      <c r="BL870" s="132"/>
      <c r="BM870" s="132"/>
      <c r="BN870" s="132"/>
    </row>
    <row r="871" spans="1:66" x14ac:dyDescent="0.3">
      <c r="BB871" s="137"/>
      <c r="BD871" s="132"/>
      <c r="BE871" s="133"/>
      <c r="BF871" s="133"/>
      <c r="BG871" s="132"/>
      <c r="BH871" s="132"/>
      <c r="BI871" s="132"/>
      <c r="BJ871" s="132"/>
      <c r="BK871" s="124"/>
      <c r="BL871" s="132"/>
      <c r="BM871" s="132"/>
      <c r="BN871" s="132"/>
    </row>
    <row r="872" spans="1:66" x14ac:dyDescent="0.3">
      <c r="BB872" s="137"/>
      <c r="BD872" s="132"/>
      <c r="BE872" s="133"/>
      <c r="BF872" s="133"/>
      <c r="BG872" s="132"/>
      <c r="BH872" s="132"/>
      <c r="BI872" s="132"/>
      <c r="BJ872" s="132"/>
      <c r="BK872" s="124"/>
      <c r="BL872" s="132"/>
      <c r="BM872" s="132"/>
      <c r="BN872" s="132"/>
    </row>
    <row r="873" spans="1:66" x14ac:dyDescent="0.3">
      <c r="BB873" s="137"/>
      <c r="BD873" s="132"/>
      <c r="BE873" s="133"/>
      <c r="BF873" s="133"/>
      <c r="BG873" s="132"/>
      <c r="BH873" s="132"/>
      <c r="BI873" s="132"/>
      <c r="BJ873" s="132"/>
      <c r="BK873" s="124"/>
      <c r="BL873" s="132"/>
      <c r="BM873" s="132"/>
      <c r="BN873" s="132"/>
    </row>
    <row r="874" spans="1:66" x14ac:dyDescent="0.3">
      <c r="BB874" s="137"/>
      <c r="BD874" s="132"/>
      <c r="BE874" s="133"/>
      <c r="BF874" s="133"/>
      <c r="BG874" s="132"/>
      <c r="BH874" s="132"/>
      <c r="BI874" s="132"/>
      <c r="BJ874" s="132"/>
      <c r="BK874" s="124"/>
      <c r="BL874" s="132"/>
      <c r="BM874" s="132"/>
      <c r="BN874" s="132"/>
    </row>
    <row r="875" spans="1:66" x14ac:dyDescent="0.3">
      <c r="BB875" s="137"/>
      <c r="BD875" s="132"/>
      <c r="BE875" s="133"/>
      <c r="BF875" s="133"/>
      <c r="BG875" s="132"/>
      <c r="BH875" s="132"/>
      <c r="BI875" s="132"/>
      <c r="BJ875" s="132"/>
      <c r="BK875" s="124"/>
      <c r="BL875" s="132"/>
      <c r="BM875" s="132"/>
      <c r="BN875" s="132"/>
    </row>
    <row r="876" spans="1:66" x14ac:dyDescent="0.3">
      <c r="BB876" s="137"/>
      <c r="BD876" s="132"/>
      <c r="BE876" s="133"/>
      <c r="BF876" s="133"/>
      <c r="BG876" s="132"/>
      <c r="BH876" s="132"/>
      <c r="BI876" s="132"/>
      <c r="BJ876" s="132"/>
      <c r="BK876" s="124"/>
      <c r="BL876" s="132"/>
      <c r="BM876" s="132"/>
      <c r="BN876" s="132"/>
    </row>
    <row r="877" spans="1:66" x14ac:dyDescent="0.3">
      <c r="BB877" s="137"/>
      <c r="BD877" s="132"/>
      <c r="BE877" s="133"/>
      <c r="BF877" s="133"/>
      <c r="BG877" s="132"/>
      <c r="BH877" s="132"/>
      <c r="BI877" s="132"/>
      <c r="BJ877" s="132"/>
      <c r="BK877" s="124"/>
      <c r="BL877" s="132"/>
      <c r="BM877" s="132"/>
      <c r="BN877" s="132"/>
    </row>
    <row r="878" spans="1:66" x14ac:dyDescent="0.3">
      <c r="BB878" s="137"/>
      <c r="BD878" s="132"/>
      <c r="BE878" s="133"/>
      <c r="BF878" s="133"/>
      <c r="BG878" s="132"/>
      <c r="BH878" s="132"/>
      <c r="BI878" s="132"/>
      <c r="BJ878" s="132"/>
      <c r="BK878" s="124"/>
      <c r="BL878" s="132"/>
      <c r="BM878" s="132"/>
      <c r="BN878" s="132"/>
    </row>
    <row r="879" spans="1:66" x14ac:dyDescent="0.3">
      <c r="BB879" s="137"/>
      <c r="BD879" s="132"/>
      <c r="BE879" s="133"/>
      <c r="BF879" s="133"/>
      <c r="BG879" s="132"/>
      <c r="BH879" s="132"/>
      <c r="BI879" s="132"/>
      <c r="BJ879" s="132"/>
      <c r="BK879" s="124"/>
      <c r="BL879" s="132"/>
      <c r="BM879" s="132"/>
      <c r="BN879" s="132"/>
    </row>
    <row r="880" spans="1:66" x14ac:dyDescent="0.3">
      <c r="BB880" s="137"/>
      <c r="BD880" s="132"/>
      <c r="BE880" s="133"/>
      <c r="BF880" s="133"/>
      <c r="BG880" s="132"/>
      <c r="BH880" s="132"/>
      <c r="BI880" s="132"/>
      <c r="BJ880" s="132"/>
      <c r="BK880" s="124"/>
      <c r="BL880" s="132"/>
      <c r="BM880" s="132"/>
      <c r="BN880" s="132"/>
    </row>
    <row r="881" spans="54:66" x14ac:dyDescent="0.3">
      <c r="BB881" s="137"/>
      <c r="BD881" s="132"/>
      <c r="BE881" s="133"/>
      <c r="BF881" s="133"/>
      <c r="BG881" s="132"/>
      <c r="BH881" s="132"/>
      <c r="BI881" s="132"/>
      <c r="BJ881" s="132"/>
      <c r="BK881" s="124"/>
      <c r="BL881" s="132"/>
      <c r="BM881" s="132"/>
      <c r="BN881" s="132"/>
    </row>
    <row r="882" spans="54:66" x14ac:dyDescent="0.3">
      <c r="BB882" s="137"/>
      <c r="BD882" s="132"/>
      <c r="BE882" s="133"/>
      <c r="BF882" s="133"/>
      <c r="BG882" s="132"/>
      <c r="BH882" s="132"/>
      <c r="BI882" s="132"/>
      <c r="BJ882" s="132"/>
      <c r="BK882" s="124"/>
      <c r="BL882" s="132"/>
      <c r="BM882" s="132"/>
      <c r="BN882" s="132"/>
    </row>
    <row r="883" spans="54:66" x14ac:dyDescent="0.3">
      <c r="BB883" s="137"/>
      <c r="BD883" s="132"/>
      <c r="BE883" s="133"/>
      <c r="BF883" s="133"/>
      <c r="BG883" s="132"/>
      <c r="BH883" s="132"/>
      <c r="BI883" s="132"/>
      <c r="BJ883" s="132"/>
      <c r="BK883" s="124"/>
      <c r="BL883" s="132"/>
      <c r="BM883" s="132"/>
      <c r="BN883" s="132"/>
    </row>
    <row r="884" spans="54:66" x14ac:dyDescent="0.3">
      <c r="BB884" s="137"/>
      <c r="BD884" s="132"/>
      <c r="BE884" s="133"/>
      <c r="BF884" s="133"/>
      <c r="BG884" s="132"/>
      <c r="BH884" s="132"/>
      <c r="BI884" s="132"/>
      <c r="BJ884" s="132"/>
      <c r="BK884" s="124"/>
      <c r="BL884" s="132"/>
      <c r="BM884" s="132"/>
      <c r="BN884" s="132"/>
    </row>
    <row r="885" spans="54:66" x14ac:dyDescent="0.3">
      <c r="BB885" s="137"/>
      <c r="BD885" s="132"/>
      <c r="BE885" s="133"/>
      <c r="BF885" s="133"/>
      <c r="BG885" s="132"/>
      <c r="BH885" s="132"/>
      <c r="BI885" s="132"/>
      <c r="BJ885" s="132"/>
      <c r="BK885" s="124"/>
      <c r="BL885" s="132"/>
      <c r="BM885" s="132"/>
      <c r="BN885" s="132"/>
    </row>
    <row r="886" spans="54:66" x14ac:dyDescent="0.3">
      <c r="BB886" s="137"/>
      <c r="BD886" s="132"/>
      <c r="BE886" s="133"/>
      <c r="BF886" s="133"/>
      <c r="BG886" s="132"/>
      <c r="BH886" s="132"/>
      <c r="BI886" s="132"/>
      <c r="BJ886" s="132"/>
      <c r="BK886" s="124"/>
      <c r="BL886" s="132"/>
      <c r="BM886" s="132"/>
      <c r="BN886" s="132"/>
    </row>
    <row r="887" spans="54:66" x14ac:dyDescent="0.3">
      <c r="BB887" s="137"/>
      <c r="BD887" s="132"/>
      <c r="BE887" s="133"/>
      <c r="BF887" s="133"/>
      <c r="BG887" s="132"/>
      <c r="BH887" s="132"/>
      <c r="BI887" s="132"/>
      <c r="BJ887" s="132"/>
      <c r="BK887" s="124"/>
      <c r="BL887" s="132"/>
      <c r="BM887" s="132"/>
      <c r="BN887" s="132"/>
    </row>
    <row r="888" spans="54:66" x14ac:dyDescent="0.3">
      <c r="BB888" s="137"/>
      <c r="BD888" s="132"/>
      <c r="BE888" s="133"/>
      <c r="BF888" s="133"/>
      <c r="BG888" s="132"/>
      <c r="BH888" s="132"/>
      <c r="BI888" s="132"/>
      <c r="BJ888" s="132"/>
      <c r="BK888" s="124"/>
      <c r="BL888" s="132"/>
      <c r="BM888" s="132"/>
      <c r="BN888" s="132"/>
    </row>
    <row r="889" spans="54:66" x14ac:dyDescent="0.3">
      <c r="BB889" s="137"/>
      <c r="BD889" s="132"/>
      <c r="BE889" s="133"/>
      <c r="BF889" s="133"/>
      <c r="BG889" s="132"/>
      <c r="BH889" s="132"/>
      <c r="BI889" s="132"/>
      <c r="BJ889" s="132"/>
      <c r="BK889" s="124"/>
      <c r="BL889" s="132"/>
      <c r="BM889" s="132"/>
      <c r="BN889" s="132"/>
    </row>
    <row r="890" spans="54:66" x14ac:dyDescent="0.3">
      <c r="BB890" s="137"/>
      <c r="BD890" s="132"/>
      <c r="BE890" s="133"/>
      <c r="BF890" s="133"/>
      <c r="BG890" s="132"/>
      <c r="BH890" s="132"/>
      <c r="BI890" s="132"/>
      <c r="BJ890" s="132"/>
      <c r="BK890" s="124"/>
      <c r="BL890" s="132"/>
      <c r="BM890" s="132"/>
      <c r="BN890" s="132"/>
    </row>
    <row r="891" spans="54:66" x14ac:dyDescent="0.3">
      <c r="BB891" s="137"/>
      <c r="BD891" s="132"/>
      <c r="BE891" s="133"/>
      <c r="BF891" s="133"/>
      <c r="BG891" s="132"/>
      <c r="BH891" s="132"/>
      <c r="BI891" s="132"/>
      <c r="BJ891" s="132"/>
      <c r="BK891" s="124"/>
      <c r="BL891" s="132"/>
      <c r="BM891" s="132"/>
      <c r="BN891" s="132"/>
    </row>
    <row r="892" spans="54:66" x14ac:dyDescent="0.3">
      <c r="BB892" s="137"/>
      <c r="BD892" s="132"/>
      <c r="BE892" s="133"/>
      <c r="BF892" s="133"/>
      <c r="BG892" s="132"/>
      <c r="BH892" s="132"/>
      <c r="BI892" s="132"/>
      <c r="BJ892" s="132"/>
      <c r="BK892" s="124"/>
      <c r="BL892" s="132"/>
      <c r="BM892" s="132"/>
      <c r="BN892" s="132"/>
    </row>
    <row r="893" spans="54:66" x14ac:dyDescent="0.3">
      <c r="BB893" s="137"/>
      <c r="BD893" s="132"/>
      <c r="BE893" s="133"/>
      <c r="BF893" s="133"/>
      <c r="BG893" s="132"/>
      <c r="BH893" s="132"/>
      <c r="BI893" s="132"/>
      <c r="BJ893" s="132"/>
      <c r="BK893" s="124"/>
      <c r="BL893" s="132"/>
      <c r="BM893" s="132"/>
      <c r="BN893" s="132"/>
    </row>
    <row r="894" spans="54:66" x14ac:dyDescent="0.3">
      <c r="BB894" s="137"/>
      <c r="BD894" s="132"/>
      <c r="BE894" s="133"/>
      <c r="BF894" s="133"/>
      <c r="BG894" s="132"/>
      <c r="BH894" s="132"/>
      <c r="BI894" s="132"/>
      <c r="BJ894" s="132"/>
      <c r="BK894" s="124"/>
      <c r="BL894" s="132"/>
      <c r="BM894" s="132"/>
      <c r="BN894" s="132"/>
    </row>
    <row r="895" spans="54:66" x14ac:dyDescent="0.3">
      <c r="BB895" s="137"/>
      <c r="BD895" s="132"/>
      <c r="BE895" s="133"/>
      <c r="BF895" s="133"/>
      <c r="BG895" s="132"/>
      <c r="BH895" s="132"/>
      <c r="BI895" s="132"/>
      <c r="BJ895" s="132"/>
      <c r="BK895" s="124"/>
      <c r="BL895" s="132"/>
      <c r="BM895" s="132"/>
      <c r="BN895" s="132"/>
    </row>
    <row r="896" spans="54:66" x14ac:dyDescent="0.3">
      <c r="BB896" s="137"/>
      <c r="BD896" s="132"/>
      <c r="BE896" s="133"/>
      <c r="BF896" s="133"/>
      <c r="BG896" s="132"/>
      <c r="BH896" s="132"/>
      <c r="BI896" s="132"/>
      <c r="BJ896" s="132"/>
      <c r="BK896" s="124"/>
      <c r="BL896" s="132"/>
      <c r="BM896" s="132"/>
      <c r="BN896" s="132"/>
    </row>
    <row r="897" spans="54:66" x14ac:dyDescent="0.3">
      <c r="BB897" s="137"/>
      <c r="BD897" s="132"/>
      <c r="BE897" s="133"/>
      <c r="BF897" s="133"/>
      <c r="BG897" s="132"/>
      <c r="BH897" s="132"/>
      <c r="BI897" s="132"/>
      <c r="BJ897" s="132"/>
      <c r="BK897" s="124"/>
      <c r="BL897" s="132"/>
      <c r="BM897" s="132"/>
      <c r="BN897" s="132"/>
    </row>
    <row r="898" spans="54:66" x14ac:dyDescent="0.3">
      <c r="BB898" s="137"/>
      <c r="BD898" s="132"/>
      <c r="BE898" s="133"/>
      <c r="BF898" s="133"/>
      <c r="BG898" s="132"/>
      <c r="BH898" s="132"/>
      <c r="BI898" s="132"/>
      <c r="BJ898" s="132"/>
      <c r="BK898" s="124"/>
      <c r="BL898" s="132"/>
      <c r="BM898" s="132"/>
      <c r="BN898" s="132"/>
    </row>
    <row r="899" spans="54:66" x14ac:dyDescent="0.3">
      <c r="BB899" s="137"/>
      <c r="BD899" s="132"/>
      <c r="BE899" s="133"/>
      <c r="BF899" s="133"/>
      <c r="BG899" s="132"/>
      <c r="BH899" s="132"/>
      <c r="BI899" s="132"/>
      <c r="BJ899" s="132"/>
      <c r="BK899" s="124"/>
      <c r="BL899" s="132"/>
      <c r="BM899" s="132"/>
      <c r="BN899" s="132"/>
    </row>
    <row r="900" spans="54:66" x14ac:dyDescent="0.3">
      <c r="BB900" s="137"/>
      <c r="BD900" s="132"/>
      <c r="BE900" s="133"/>
      <c r="BF900" s="133"/>
      <c r="BG900" s="132"/>
      <c r="BH900" s="132"/>
      <c r="BI900" s="132"/>
      <c r="BJ900" s="132"/>
      <c r="BK900" s="124"/>
      <c r="BL900" s="132"/>
      <c r="BM900" s="132"/>
      <c r="BN900" s="132"/>
    </row>
    <row r="901" spans="54:66" x14ac:dyDescent="0.3">
      <c r="BB901" s="137"/>
      <c r="BD901" s="132"/>
      <c r="BE901" s="133"/>
      <c r="BF901" s="133"/>
      <c r="BG901" s="132"/>
      <c r="BH901" s="132"/>
      <c r="BI901" s="132"/>
      <c r="BJ901" s="132"/>
      <c r="BK901" s="124"/>
      <c r="BL901" s="132"/>
      <c r="BM901" s="132"/>
      <c r="BN901" s="132"/>
    </row>
    <row r="902" spans="54:66" x14ac:dyDescent="0.3">
      <c r="BB902" s="137"/>
      <c r="BD902" s="132"/>
      <c r="BE902" s="133"/>
      <c r="BF902" s="133"/>
      <c r="BG902" s="132"/>
      <c r="BH902" s="132"/>
      <c r="BI902" s="132"/>
      <c r="BJ902" s="132"/>
      <c r="BK902" s="124"/>
      <c r="BL902" s="132"/>
      <c r="BM902" s="132"/>
      <c r="BN902" s="132"/>
    </row>
    <row r="903" spans="54:66" x14ac:dyDescent="0.3">
      <c r="BB903" s="137"/>
      <c r="BD903" s="132"/>
      <c r="BE903" s="133"/>
      <c r="BF903" s="133"/>
      <c r="BG903" s="132"/>
      <c r="BH903" s="132"/>
      <c r="BI903" s="132"/>
      <c r="BJ903" s="132"/>
      <c r="BK903" s="124"/>
      <c r="BL903" s="132"/>
      <c r="BM903" s="132"/>
      <c r="BN903" s="132"/>
    </row>
    <row r="904" spans="54:66" x14ac:dyDescent="0.3">
      <c r="BB904" s="137"/>
      <c r="BD904" s="132"/>
      <c r="BE904" s="133"/>
      <c r="BF904" s="133"/>
      <c r="BG904" s="132"/>
      <c r="BH904" s="132"/>
      <c r="BI904" s="132"/>
      <c r="BJ904" s="132"/>
      <c r="BK904" s="124"/>
      <c r="BL904" s="132"/>
      <c r="BM904" s="132"/>
      <c r="BN904" s="132"/>
    </row>
    <row r="905" spans="54:66" x14ac:dyDescent="0.3">
      <c r="BB905" s="137"/>
      <c r="BD905" s="132"/>
      <c r="BE905" s="133"/>
      <c r="BF905" s="133"/>
      <c r="BG905" s="132"/>
      <c r="BH905" s="132"/>
      <c r="BI905" s="132"/>
      <c r="BJ905" s="132"/>
      <c r="BK905" s="124"/>
      <c r="BL905" s="132"/>
      <c r="BM905" s="132"/>
      <c r="BN905" s="132"/>
    </row>
    <row r="906" spans="54:66" x14ac:dyDescent="0.3">
      <c r="BB906" s="137"/>
      <c r="BD906" s="132"/>
      <c r="BE906" s="133"/>
      <c r="BF906" s="133"/>
      <c r="BG906" s="132"/>
      <c r="BH906" s="132"/>
      <c r="BI906" s="132"/>
      <c r="BJ906" s="132"/>
      <c r="BK906" s="124"/>
      <c r="BL906" s="132"/>
      <c r="BM906" s="132"/>
      <c r="BN906" s="132"/>
    </row>
    <row r="907" spans="54:66" x14ac:dyDescent="0.3">
      <c r="BB907" s="137"/>
      <c r="BD907" s="132"/>
      <c r="BE907" s="133"/>
      <c r="BF907" s="133"/>
      <c r="BG907" s="132"/>
      <c r="BH907" s="132"/>
      <c r="BI907" s="132"/>
      <c r="BJ907" s="132"/>
      <c r="BK907" s="124"/>
      <c r="BL907" s="132"/>
      <c r="BM907" s="132"/>
      <c r="BN907" s="132"/>
    </row>
    <row r="908" spans="54:66" x14ac:dyDescent="0.3">
      <c r="BB908" s="137"/>
      <c r="BD908" s="132"/>
      <c r="BE908" s="133"/>
      <c r="BF908" s="133"/>
      <c r="BG908" s="132"/>
      <c r="BH908" s="132"/>
      <c r="BI908" s="132"/>
      <c r="BJ908" s="132"/>
      <c r="BK908" s="124"/>
      <c r="BL908" s="132"/>
      <c r="BM908" s="132"/>
      <c r="BN908" s="132"/>
    </row>
    <row r="909" spans="54:66" x14ac:dyDescent="0.3">
      <c r="BB909" s="137"/>
      <c r="BD909" s="132"/>
      <c r="BE909" s="133"/>
      <c r="BF909" s="133"/>
      <c r="BG909" s="132"/>
      <c r="BH909" s="132"/>
      <c r="BI909" s="132"/>
      <c r="BJ909" s="132"/>
      <c r="BK909" s="124"/>
      <c r="BL909" s="132"/>
      <c r="BM909" s="132"/>
      <c r="BN909" s="132"/>
    </row>
    <row r="910" spans="54:66" x14ac:dyDescent="0.3">
      <c r="BB910" s="137"/>
      <c r="BD910" s="132"/>
      <c r="BE910" s="133"/>
      <c r="BF910" s="133"/>
      <c r="BG910" s="132"/>
      <c r="BH910" s="132"/>
      <c r="BI910" s="132"/>
      <c r="BJ910" s="132"/>
      <c r="BK910" s="124"/>
      <c r="BL910" s="132"/>
      <c r="BM910" s="132"/>
      <c r="BN910" s="132"/>
    </row>
    <row r="911" spans="54:66" x14ac:dyDescent="0.3">
      <c r="BB911" s="137"/>
      <c r="BD911" s="132"/>
      <c r="BE911" s="133"/>
      <c r="BF911" s="133"/>
      <c r="BG911" s="132"/>
      <c r="BH911" s="132"/>
      <c r="BI911" s="132"/>
      <c r="BJ911" s="132"/>
      <c r="BK911" s="124"/>
      <c r="BL911" s="132"/>
      <c r="BM911" s="132"/>
      <c r="BN911" s="132"/>
    </row>
    <row r="912" spans="54:66" x14ac:dyDescent="0.3">
      <c r="BB912" s="137"/>
      <c r="BD912" s="132"/>
      <c r="BE912" s="133"/>
      <c r="BF912" s="133"/>
      <c r="BG912" s="132"/>
      <c r="BH912" s="132"/>
      <c r="BI912" s="132"/>
      <c r="BJ912" s="132"/>
      <c r="BK912" s="124"/>
      <c r="BL912" s="132"/>
      <c r="BM912" s="132"/>
      <c r="BN912" s="132"/>
    </row>
    <row r="913" spans="54:66" x14ac:dyDescent="0.3">
      <c r="BB913" s="137"/>
      <c r="BD913" s="132"/>
      <c r="BE913" s="133"/>
      <c r="BF913" s="133"/>
      <c r="BG913" s="132"/>
      <c r="BH913" s="132"/>
      <c r="BI913" s="132"/>
      <c r="BJ913" s="132"/>
      <c r="BK913" s="124"/>
      <c r="BL913" s="132"/>
      <c r="BM913" s="132"/>
      <c r="BN913" s="132"/>
    </row>
    <row r="914" spans="54:66" x14ac:dyDescent="0.3">
      <c r="BB914" s="137"/>
      <c r="BD914" s="132"/>
      <c r="BE914" s="133"/>
      <c r="BF914" s="133"/>
      <c r="BG914" s="132"/>
      <c r="BH914" s="132"/>
      <c r="BI914" s="132"/>
      <c r="BJ914" s="132"/>
      <c r="BK914" s="124"/>
      <c r="BL914" s="132"/>
      <c r="BM914" s="132"/>
      <c r="BN914" s="132"/>
    </row>
    <row r="915" spans="54:66" x14ac:dyDescent="0.3">
      <c r="BB915" s="137"/>
      <c r="BD915" s="132"/>
      <c r="BE915" s="133"/>
      <c r="BF915" s="133"/>
      <c r="BG915" s="132"/>
      <c r="BH915" s="132"/>
      <c r="BI915" s="132"/>
      <c r="BJ915" s="132"/>
      <c r="BK915" s="124"/>
      <c r="BL915" s="132"/>
      <c r="BM915" s="132"/>
      <c r="BN915" s="132"/>
    </row>
    <row r="916" spans="54:66" x14ac:dyDescent="0.3">
      <c r="BB916" s="137"/>
      <c r="BD916" s="132"/>
      <c r="BE916" s="133"/>
      <c r="BF916" s="133"/>
      <c r="BG916" s="132"/>
      <c r="BH916" s="132"/>
      <c r="BI916" s="132"/>
      <c r="BJ916" s="132"/>
      <c r="BK916" s="124"/>
      <c r="BL916" s="132"/>
      <c r="BM916" s="132"/>
      <c r="BN916" s="132"/>
    </row>
    <row r="917" spans="54:66" x14ac:dyDescent="0.3">
      <c r="BB917" s="137"/>
      <c r="BD917" s="132"/>
      <c r="BE917" s="133"/>
      <c r="BF917" s="133"/>
      <c r="BG917" s="132"/>
      <c r="BH917" s="132"/>
      <c r="BI917" s="132"/>
      <c r="BJ917" s="132"/>
      <c r="BK917" s="124"/>
      <c r="BL917" s="132"/>
      <c r="BM917" s="132"/>
      <c r="BN917" s="132"/>
    </row>
    <row r="918" spans="54:66" x14ac:dyDescent="0.3">
      <c r="BB918" s="137"/>
      <c r="BD918" s="132"/>
      <c r="BE918" s="133"/>
      <c r="BF918" s="133"/>
      <c r="BG918" s="132"/>
      <c r="BH918" s="132"/>
      <c r="BI918" s="132"/>
      <c r="BJ918" s="132"/>
      <c r="BK918" s="124"/>
      <c r="BL918" s="132"/>
      <c r="BM918" s="132"/>
      <c r="BN918" s="132"/>
    </row>
    <row r="919" spans="54:66" x14ac:dyDescent="0.3">
      <c r="BB919" s="137"/>
      <c r="BD919" s="132"/>
      <c r="BE919" s="133"/>
      <c r="BF919" s="133"/>
      <c r="BG919" s="132"/>
      <c r="BH919" s="132"/>
      <c r="BI919" s="132"/>
      <c r="BJ919" s="132"/>
      <c r="BK919" s="124"/>
      <c r="BL919" s="132"/>
      <c r="BM919" s="132"/>
      <c r="BN919" s="132"/>
    </row>
    <row r="920" spans="54:66" x14ac:dyDescent="0.3">
      <c r="BB920" s="137"/>
      <c r="BD920" s="132"/>
      <c r="BE920" s="133"/>
      <c r="BF920" s="133"/>
      <c r="BG920" s="132"/>
      <c r="BH920" s="132"/>
      <c r="BI920" s="132"/>
      <c r="BJ920" s="132"/>
      <c r="BK920" s="124"/>
      <c r="BL920" s="132"/>
      <c r="BM920" s="132"/>
      <c r="BN920" s="132"/>
    </row>
    <row r="921" spans="54:66" x14ac:dyDescent="0.3">
      <c r="BB921" s="137"/>
      <c r="BD921" s="132"/>
      <c r="BE921" s="133"/>
      <c r="BF921" s="133"/>
      <c r="BG921" s="132"/>
      <c r="BH921" s="132"/>
      <c r="BI921" s="132"/>
      <c r="BJ921" s="132"/>
      <c r="BK921" s="124"/>
      <c r="BL921" s="132"/>
      <c r="BM921" s="132"/>
      <c r="BN921" s="132"/>
    </row>
    <row r="922" spans="54:66" x14ac:dyDescent="0.3">
      <c r="BB922" s="137"/>
      <c r="BD922" s="132"/>
      <c r="BE922" s="133"/>
      <c r="BF922" s="133"/>
      <c r="BG922" s="132"/>
      <c r="BH922" s="132"/>
      <c r="BI922" s="132"/>
      <c r="BJ922" s="132"/>
      <c r="BK922" s="124"/>
      <c r="BL922" s="132"/>
      <c r="BM922" s="132"/>
      <c r="BN922" s="132"/>
    </row>
    <row r="923" spans="54:66" x14ac:dyDescent="0.3">
      <c r="BB923" s="137"/>
      <c r="BD923" s="132"/>
      <c r="BE923" s="133"/>
      <c r="BF923" s="133"/>
      <c r="BG923" s="132"/>
      <c r="BH923" s="132"/>
      <c r="BI923" s="132"/>
      <c r="BJ923" s="132"/>
      <c r="BK923" s="124"/>
      <c r="BL923" s="132"/>
      <c r="BM923" s="132"/>
      <c r="BN923" s="132"/>
    </row>
    <row r="924" spans="54:66" x14ac:dyDescent="0.3">
      <c r="BB924" s="137"/>
      <c r="BD924" s="132"/>
      <c r="BE924" s="133"/>
      <c r="BF924" s="133"/>
      <c r="BG924" s="132"/>
      <c r="BH924" s="132"/>
      <c r="BI924" s="132"/>
      <c r="BJ924" s="132"/>
      <c r="BK924" s="124"/>
      <c r="BL924" s="132"/>
      <c r="BM924" s="132"/>
      <c r="BN924" s="132"/>
    </row>
    <row r="925" spans="54:66" x14ac:dyDescent="0.3">
      <c r="BB925" s="137"/>
      <c r="BD925" s="132"/>
      <c r="BE925" s="133"/>
      <c r="BF925" s="133"/>
      <c r="BG925" s="132"/>
      <c r="BH925" s="132"/>
      <c r="BI925" s="132"/>
      <c r="BJ925" s="132"/>
      <c r="BK925" s="124"/>
      <c r="BL925" s="132"/>
      <c r="BM925" s="132"/>
      <c r="BN925" s="132"/>
    </row>
    <row r="926" spans="54:66" x14ac:dyDescent="0.3">
      <c r="BB926" s="137"/>
      <c r="BD926" s="132"/>
      <c r="BE926" s="133"/>
      <c r="BF926" s="133"/>
      <c r="BG926" s="132"/>
      <c r="BH926" s="132"/>
      <c r="BI926" s="132"/>
      <c r="BJ926" s="132"/>
      <c r="BK926" s="124"/>
      <c r="BL926" s="132"/>
      <c r="BM926" s="132"/>
      <c r="BN926" s="132"/>
    </row>
    <row r="927" spans="54:66" x14ac:dyDescent="0.3">
      <c r="BB927" s="137"/>
      <c r="BD927" s="132"/>
      <c r="BE927" s="133"/>
      <c r="BF927" s="133"/>
      <c r="BG927" s="132"/>
      <c r="BH927" s="132"/>
      <c r="BI927" s="132"/>
      <c r="BJ927" s="132"/>
      <c r="BK927" s="124"/>
      <c r="BL927" s="132"/>
      <c r="BM927" s="132"/>
      <c r="BN927" s="132"/>
    </row>
    <row r="928" spans="54:66" x14ac:dyDescent="0.3">
      <c r="BB928" s="137"/>
      <c r="BD928" s="132"/>
      <c r="BE928" s="133"/>
      <c r="BF928" s="133"/>
      <c r="BG928" s="132"/>
      <c r="BH928" s="132"/>
      <c r="BI928" s="132"/>
      <c r="BJ928" s="132"/>
      <c r="BK928" s="124"/>
      <c r="BL928" s="132"/>
      <c r="BM928" s="132"/>
      <c r="BN928" s="132"/>
    </row>
    <row r="929" spans="54:66" x14ac:dyDescent="0.3">
      <c r="BB929" s="137"/>
      <c r="BD929" s="132"/>
      <c r="BE929" s="133"/>
      <c r="BF929" s="133"/>
      <c r="BG929" s="132"/>
      <c r="BH929" s="132"/>
      <c r="BI929" s="132"/>
      <c r="BJ929" s="132"/>
      <c r="BK929" s="124"/>
      <c r="BL929" s="132"/>
      <c r="BM929" s="132"/>
      <c r="BN929" s="132"/>
    </row>
    <row r="930" spans="54:66" x14ac:dyDescent="0.3">
      <c r="BB930" s="137"/>
      <c r="BD930" s="132"/>
      <c r="BE930" s="133"/>
      <c r="BF930" s="133"/>
      <c r="BG930" s="132"/>
      <c r="BH930" s="132"/>
      <c r="BI930" s="132"/>
      <c r="BJ930" s="132"/>
      <c r="BK930" s="124"/>
      <c r="BL930" s="132"/>
      <c r="BM930" s="132"/>
      <c r="BN930" s="132"/>
    </row>
    <row r="931" spans="54:66" x14ac:dyDescent="0.3">
      <c r="BB931" s="137"/>
      <c r="BD931" s="132"/>
      <c r="BE931" s="133"/>
      <c r="BF931" s="133"/>
      <c r="BG931" s="132"/>
      <c r="BH931" s="132"/>
      <c r="BI931" s="132"/>
      <c r="BJ931" s="132"/>
      <c r="BK931" s="124"/>
      <c r="BL931" s="132"/>
      <c r="BM931" s="132"/>
      <c r="BN931" s="132"/>
    </row>
    <row r="932" spans="54:66" x14ac:dyDescent="0.3">
      <c r="BB932" s="137"/>
      <c r="BD932" s="132"/>
      <c r="BE932" s="133"/>
      <c r="BF932" s="133"/>
      <c r="BG932" s="132"/>
      <c r="BH932" s="132"/>
      <c r="BI932" s="132"/>
      <c r="BJ932" s="132"/>
      <c r="BK932" s="124"/>
      <c r="BL932" s="132"/>
      <c r="BM932" s="132"/>
      <c r="BN932" s="132"/>
    </row>
    <row r="933" spans="54:66" x14ac:dyDescent="0.3">
      <c r="BB933" s="137"/>
      <c r="BD933" s="132"/>
      <c r="BE933" s="133"/>
      <c r="BF933" s="133"/>
      <c r="BG933" s="132"/>
      <c r="BH933" s="132"/>
      <c r="BI933" s="132"/>
      <c r="BJ933" s="132"/>
      <c r="BK933" s="124"/>
      <c r="BL933" s="132"/>
      <c r="BM933" s="132"/>
      <c r="BN933" s="132"/>
    </row>
    <row r="934" spans="54:66" x14ac:dyDescent="0.3">
      <c r="BB934" s="137"/>
      <c r="BD934" s="132"/>
      <c r="BE934" s="133"/>
      <c r="BF934" s="133"/>
      <c r="BG934" s="132"/>
      <c r="BH934" s="132"/>
      <c r="BI934" s="132"/>
      <c r="BJ934" s="132"/>
      <c r="BK934" s="124"/>
      <c r="BL934" s="132"/>
      <c r="BM934" s="132"/>
      <c r="BN934" s="132"/>
    </row>
    <row r="935" spans="54:66" x14ac:dyDescent="0.3">
      <c r="BB935" s="137"/>
    </row>
    <row r="936" spans="54:66" x14ac:dyDescent="0.3">
      <c r="BB936" s="137"/>
    </row>
    <row r="937" spans="54:66" x14ac:dyDescent="0.3">
      <c r="BB937" s="137"/>
    </row>
    <row r="938" spans="54:66" x14ac:dyDescent="0.3">
      <c r="BB938" s="137"/>
    </row>
    <row r="939" spans="54:66" x14ac:dyDescent="0.3">
      <c r="BB939" s="137"/>
    </row>
    <row r="940" spans="54:66" x14ac:dyDescent="0.3">
      <c r="BB940" s="137"/>
    </row>
    <row r="941" spans="54:66" x14ac:dyDescent="0.3">
      <c r="BB941" s="137"/>
    </row>
    <row r="942" spans="54:66" x14ac:dyDescent="0.3">
      <c r="BB942" s="137"/>
    </row>
    <row r="943" spans="54:66" x14ac:dyDescent="0.3">
      <c r="BB943" s="137"/>
    </row>
    <row r="944" spans="54:66" x14ac:dyDescent="0.3">
      <c r="BB944" s="137"/>
    </row>
    <row r="945" spans="54:54" x14ac:dyDescent="0.3">
      <c r="BB945" s="137"/>
    </row>
    <row r="946" spans="54:54" x14ac:dyDescent="0.3">
      <c r="BB946" s="137"/>
    </row>
    <row r="947" spans="54:54" x14ac:dyDescent="0.3">
      <c r="BB947" s="137"/>
    </row>
    <row r="948" spans="54:54" x14ac:dyDescent="0.3">
      <c r="BB948" s="137"/>
    </row>
    <row r="949" spans="54:54" x14ac:dyDescent="0.3">
      <c r="BB949" s="137"/>
    </row>
    <row r="950" spans="54:54" x14ac:dyDescent="0.3">
      <c r="BB950" s="137"/>
    </row>
    <row r="951" spans="54:54" x14ac:dyDescent="0.3">
      <c r="BB951" s="137"/>
    </row>
    <row r="952" spans="54:54" x14ac:dyDescent="0.3">
      <c r="BB952" s="137"/>
    </row>
    <row r="953" spans="54:54" x14ac:dyDescent="0.3">
      <c r="BB953" s="137"/>
    </row>
    <row r="954" spans="54:54" x14ac:dyDescent="0.3">
      <c r="BB954" s="137"/>
    </row>
    <row r="955" spans="54:54" x14ac:dyDescent="0.3">
      <c r="BB955" s="137"/>
    </row>
    <row r="956" spans="54:54" x14ac:dyDescent="0.3">
      <c r="BB956" s="137"/>
    </row>
    <row r="957" spans="54:54" x14ac:dyDescent="0.3">
      <c r="BB957" s="137"/>
    </row>
    <row r="958" spans="54:54" x14ac:dyDescent="0.3">
      <c r="BB958" s="137"/>
    </row>
    <row r="959" spans="54:54" x14ac:dyDescent="0.3">
      <c r="BB959" s="137"/>
    </row>
    <row r="960" spans="54:54" x14ac:dyDescent="0.3">
      <c r="BB960" s="137"/>
    </row>
    <row r="961" spans="54:54" x14ac:dyDescent="0.3">
      <c r="BB961" s="137"/>
    </row>
    <row r="962" spans="54:54" x14ac:dyDescent="0.3">
      <c r="BB962" s="137"/>
    </row>
    <row r="963" spans="54:54" x14ac:dyDescent="0.3">
      <c r="BB963" s="137"/>
    </row>
    <row r="964" spans="54:54" x14ac:dyDescent="0.3">
      <c r="BB964" s="137"/>
    </row>
    <row r="965" spans="54:54" x14ac:dyDescent="0.3">
      <c r="BB965" s="137"/>
    </row>
    <row r="966" spans="54:54" x14ac:dyDescent="0.3">
      <c r="BB966" s="137"/>
    </row>
    <row r="967" spans="54:54" x14ac:dyDescent="0.3">
      <c r="BB967" s="137"/>
    </row>
    <row r="968" spans="54:54" x14ac:dyDescent="0.3">
      <c r="BB968" s="137"/>
    </row>
    <row r="969" spans="54:54" x14ac:dyDescent="0.3">
      <c r="BB969" s="137"/>
    </row>
    <row r="970" spans="54:54" x14ac:dyDescent="0.3">
      <c r="BB970" s="137"/>
    </row>
    <row r="971" spans="54:54" x14ac:dyDescent="0.3">
      <c r="BB971" s="137"/>
    </row>
    <row r="972" spans="54:54" x14ac:dyDescent="0.3">
      <c r="BB972" s="137"/>
    </row>
    <row r="973" spans="54:54" x14ac:dyDescent="0.3">
      <c r="BB973" s="137"/>
    </row>
    <row r="974" spans="54:54" x14ac:dyDescent="0.3">
      <c r="BB974" s="137"/>
    </row>
    <row r="975" spans="54:54" x14ac:dyDescent="0.3">
      <c r="BB975" s="137"/>
    </row>
    <row r="976" spans="54:54" x14ac:dyDescent="0.3">
      <c r="BB976" s="137"/>
    </row>
    <row r="977" spans="54:54" x14ac:dyDescent="0.3">
      <c r="BB977" s="137"/>
    </row>
    <row r="978" spans="54:54" x14ac:dyDescent="0.3">
      <c r="BB978" s="137"/>
    </row>
    <row r="979" spans="54:54" x14ac:dyDescent="0.3">
      <c r="BB979" s="137"/>
    </row>
    <row r="980" spans="54:54" x14ac:dyDescent="0.3">
      <c r="BB980" s="137"/>
    </row>
    <row r="981" spans="54:54" x14ac:dyDescent="0.3">
      <c r="BB981" s="137"/>
    </row>
    <row r="982" spans="54:54" x14ac:dyDescent="0.3">
      <c r="BB982" s="137"/>
    </row>
    <row r="983" spans="54:54" x14ac:dyDescent="0.3">
      <c r="BB983" s="137"/>
    </row>
    <row r="984" spans="54:54" x14ac:dyDescent="0.3">
      <c r="BB984" s="137"/>
    </row>
    <row r="985" spans="54:54" x14ac:dyDescent="0.3">
      <c r="BB985" s="137"/>
    </row>
    <row r="986" spans="54:54" x14ac:dyDescent="0.3">
      <c r="BB986" s="137"/>
    </row>
    <row r="987" spans="54:54" x14ac:dyDescent="0.3">
      <c r="BB987" s="137"/>
    </row>
    <row r="988" spans="54:54" x14ac:dyDescent="0.3">
      <c r="BB988" s="137"/>
    </row>
    <row r="989" spans="54:54" x14ac:dyDescent="0.3">
      <c r="BB989" s="137"/>
    </row>
    <row r="990" spans="54:54" x14ac:dyDescent="0.3">
      <c r="BB990" s="137"/>
    </row>
    <row r="991" spans="54:54" x14ac:dyDescent="0.3">
      <c r="BB991" s="137"/>
    </row>
    <row r="992" spans="54:54" x14ac:dyDescent="0.3">
      <c r="BB992" s="137"/>
    </row>
    <row r="993" spans="54:54" x14ac:dyDescent="0.3">
      <c r="BB993" s="137"/>
    </row>
    <row r="994" spans="54:54" x14ac:dyDescent="0.3">
      <c r="BB994" s="137"/>
    </row>
    <row r="995" spans="54:54" x14ac:dyDescent="0.3">
      <c r="BB995" s="137"/>
    </row>
    <row r="996" spans="54:54" x14ac:dyDescent="0.3">
      <c r="BB996" s="137"/>
    </row>
    <row r="997" spans="54:54" x14ac:dyDescent="0.3">
      <c r="BB997" s="137"/>
    </row>
    <row r="998" spans="54:54" x14ac:dyDescent="0.3">
      <c r="BB998" s="137"/>
    </row>
    <row r="999" spans="54:54" x14ac:dyDescent="0.3">
      <c r="BB999" s="137"/>
    </row>
    <row r="1000" spans="54:54" x14ac:dyDescent="0.3">
      <c r="BB1000" s="137"/>
    </row>
    <row r="1001" spans="54:54" x14ac:dyDescent="0.3">
      <c r="BB1001" s="137"/>
    </row>
    <row r="1002" spans="54:54" x14ac:dyDescent="0.3">
      <c r="BB1002" s="137"/>
    </row>
    <row r="1003" spans="54:54" x14ac:dyDescent="0.3">
      <c r="BB1003" s="137"/>
    </row>
    <row r="1004" spans="54:54" x14ac:dyDescent="0.3">
      <c r="BB1004" s="137"/>
    </row>
    <row r="1005" spans="54:54" x14ac:dyDescent="0.3">
      <c r="BB1005" s="137"/>
    </row>
    <row r="1006" spans="54:54" x14ac:dyDescent="0.3">
      <c r="BB1006" s="137"/>
    </row>
    <row r="1007" spans="54:54" x14ac:dyDescent="0.3">
      <c r="BB1007" s="137"/>
    </row>
    <row r="1008" spans="54:54" x14ac:dyDescent="0.3">
      <c r="BB1008" s="137"/>
    </row>
    <row r="1009" spans="54:54" x14ac:dyDescent="0.3">
      <c r="BB1009" s="137"/>
    </row>
    <row r="1010" spans="54:54" x14ac:dyDescent="0.3">
      <c r="BB1010" s="137"/>
    </row>
    <row r="1011" spans="54:54" x14ac:dyDescent="0.3">
      <c r="BB1011" s="137"/>
    </row>
    <row r="1012" spans="54:54" x14ac:dyDescent="0.3">
      <c r="BB1012" s="137"/>
    </row>
    <row r="1013" spans="54:54" x14ac:dyDescent="0.3">
      <c r="BB1013" s="137"/>
    </row>
    <row r="1014" spans="54:54" x14ac:dyDescent="0.3">
      <c r="BB1014" s="137"/>
    </row>
    <row r="1015" spans="54:54" x14ac:dyDescent="0.3">
      <c r="BB1015" s="137"/>
    </row>
    <row r="1016" spans="54:54" x14ac:dyDescent="0.3">
      <c r="BB1016" s="137"/>
    </row>
    <row r="1017" spans="54:54" x14ac:dyDescent="0.3">
      <c r="BB1017" s="137"/>
    </row>
    <row r="1018" spans="54:54" x14ac:dyDescent="0.3">
      <c r="BB1018" s="137"/>
    </row>
    <row r="1019" spans="54:54" x14ac:dyDescent="0.3">
      <c r="BB1019" s="137"/>
    </row>
    <row r="1020" spans="54:54" x14ac:dyDescent="0.3">
      <c r="BB1020" s="137"/>
    </row>
    <row r="1021" spans="54:54" x14ac:dyDescent="0.3">
      <c r="BB1021" s="137"/>
    </row>
    <row r="1022" spans="54:54" x14ac:dyDescent="0.3">
      <c r="BB1022" s="137"/>
    </row>
    <row r="1023" spans="54:54" x14ac:dyDescent="0.3">
      <c r="BB1023" s="137"/>
    </row>
    <row r="1024" spans="54:54" x14ac:dyDescent="0.3">
      <c r="BB1024" s="137"/>
    </row>
    <row r="1025" spans="54:54" x14ac:dyDescent="0.3">
      <c r="BB1025" s="137"/>
    </row>
    <row r="1026" spans="54:54" x14ac:dyDescent="0.3">
      <c r="BB1026" s="137"/>
    </row>
    <row r="1027" spans="54:54" x14ac:dyDescent="0.3">
      <c r="BB1027" s="137"/>
    </row>
    <row r="1028" spans="54:54" x14ac:dyDescent="0.3">
      <c r="BB1028" s="137"/>
    </row>
    <row r="1029" spans="54:54" x14ac:dyDescent="0.3">
      <c r="BB1029" s="137"/>
    </row>
    <row r="1030" spans="54:54" x14ac:dyDescent="0.3">
      <c r="BB1030" s="137"/>
    </row>
    <row r="1031" spans="54:54" x14ac:dyDescent="0.3">
      <c r="BB1031" s="137"/>
    </row>
    <row r="1032" spans="54:54" x14ac:dyDescent="0.3">
      <c r="BB1032" s="137"/>
    </row>
    <row r="1033" spans="54:54" x14ac:dyDescent="0.3">
      <c r="BB1033" s="137"/>
    </row>
    <row r="1034" spans="54:54" x14ac:dyDescent="0.3">
      <c r="BB1034" s="137"/>
    </row>
    <row r="1035" spans="54:54" x14ac:dyDescent="0.3">
      <c r="BB1035" s="137"/>
    </row>
    <row r="1036" spans="54:54" x14ac:dyDescent="0.3">
      <c r="BB1036" s="137"/>
    </row>
    <row r="1037" spans="54:54" x14ac:dyDescent="0.3">
      <c r="BB1037" s="137"/>
    </row>
    <row r="1038" spans="54:54" x14ac:dyDescent="0.3">
      <c r="BB1038" s="137"/>
    </row>
    <row r="1039" spans="54:54" x14ac:dyDescent="0.3">
      <c r="BB1039" s="137"/>
    </row>
    <row r="1040" spans="54:54" x14ac:dyDescent="0.3">
      <c r="BB1040" s="137"/>
    </row>
    <row r="1041" spans="54:54" x14ac:dyDescent="0.3">
      <c r="BB1041" s="137"/>
    </row>
    <row r="1042" spans="54:54" x14ac:dyDescent="0.3">
      <c r="BB1042" s="137"/>
    </row>
    <row r="1043" spans="54:54" x14ac:dyDescent="0.3">
      <c r="BB1043" s="137"/>
    </row>
    <row r="1044" spans="54:54" x14ac:dyDescent="0.3">
      <c r="BB1044" s="137"/>
    </row>
    <row r="1045" spans="54:54" x14ac:dyDescent="0.3">
      <c r="BB1045" s="137"/>
    </row>
    <row r="1046" spans="54:54" x14ac:dyDescent="0.3">
      <c r="BB1046" s="137"/>
    </row>
    <row r="1047" spans="54:54" x14ac:dyDescent="0.3">
      <c r="BB1047" s="137"/>
    </row>
    <row r="1048" spans="54:54" x14ac:dyDescent="0.3">
      <c r="BB1048" s="137"/>
    </row>
    <row r="1049" spans="54:54" x14ac:dyDescent="0.3">
      <c r="BB1049" s="137"/>
    </row>
    <row r="1050" spans="54:54" x14ac:dyDescent="0.3">
      <c r="BB1050" s="137"/>
    </row>
    <row r="1051" spans="54:54" x14ac:dyDescent="0.3">
      <c r="BB1051" s="137"/>
    </row>
    <row r="1052" spans="54:54" x14ac:dyDescent="0.3">
      <c r="BB1052" s="137"/>
    </row>
    <row r="1053" spans="54:54" x14ac:dyDescent="0.3">
      <c r="BB1053" s="137"/>
    </row>
    <row r="1054" spans="54:54" x14ac:dyDescent="0.3">
      <c r="BB1054" s="137"/>
    </row>
    <row r="1055" spans="54:54" x14ac:dyDescent="0.3">
      <c r="BB1055" s="137"/>
    </row>
    <row r="1056" spans="54:54" x14ac:dyDescent="0.3">
      <c r="BB1056" s="137"/>
    </row>
    <row r="1057" spans="54:54" x14ac:dyDescent="0.3">
      <c r="BB1057" s="137"/>
    </row>
    <row r="1058" spans="54:54" x14ac:dyDescent="0.3">
      <c r="BB1058" s="137"/>
    </row>
    <row r="1059" spans="54:54" x14ac:dyDescent="0.3">
      <c r="BB1059" s="137"/>
    </row>
    <row r="1060" spans="54:54" x14ac:dyDescent="0.3">
      <c r="BB1060" s="137"/>
    </row>
    <row r="1061" spans="54:54" x14ac:dyDescent="0.3">
      <c r="BB1061" s="137"/>
    </row>
    <row r="1062" spans="54:54" x14ac:dyDescent="0.3">
      <c r="BB1062" s="137"/>
    </row>
    <row r="1063" spans="54:54" x14ac:dyDescent="0.3">
      <c r="BB1063" s="137"/>
    </row>
    <row r="1064" spans="54:54" x14ac:dyDescent="0.3">
      <c r="BB1064" s="137"/>
    </row>
    <row r="1065" spans="54:54" x14ac:dyDescent="0.3">
      <c r="BB1065" s="137"/>
    </row>
    <row r="1066" spans="54:54" x14ac:dyDescent="0.3">
      <c r="BB1066" s="137"/>
    </row>
    <row r="1067" spans="54:54" x14ac:dyDescent="0.3">
      <c r="BB1067" s="137"/>
    </row>
    <row r="1068" spans="54:54" x14ac:dyDescent="0.3">
      <c r="BB1068" s="137"/>
    </row>
    <row r="1069" spans="54:54" x14ac:dyDescent="0.3">
      <c r="BB1069" s="137"/>
    </row>
    <row r="1070" spans="54:54" x14ac:dyDescent="0.3">
      <c r="BB1070" s="137"/>
    </row>
    <row r="1071" spans="54:54" x14ac:dyDescent="0.3">
      <c r="BB1071" s="137"/>
    </row>
    <row r="1072" spans="54:54" x14ac:dyDescent="0.3">
      <c r="BB1072" s="137"/>
    </row>
    <row r="1073" spans="54:54" x14ac:dyDescent="0.3">
      <c r="BB1073" s="137"/>
    </row>
    <row r="1074" spans="54:54" x14ac:dyDescent="0.3">
      <c r="BB1074" s="137"/>
    </row>
    <row r="1075" spans="54:54" x14ac:dyDescent="0.3">
      <c r="BB1075" s="137"/>
    </row>
    <row r="1076" spans="54:54" x14ac:dyDescent="0.3">
      <c r="BB1076" s="137"/>
    </row>
    <row r="1077" spans="54:54" x14ac:dyDescent="0.3">
      <c r="BB1077" s="137"/>
    </row>
    <row r="1078" spans="54:54" x14ac:dyDescent="0.3">
      <c r="BB1078" s="137"/>
    </row>
    <row r="1079" spans="54:54" x14ac:dyDescent="0.3">
      <c r="BB1079" s="137"/>
    </row>
    <row r="1080" spans="54:54" x14ac:dyDescent="0.3">
      <c r="BB1080" s="137"/>
    </row>
    <row r="1081" spans="54:54" x14ac:dyDescent="0.3">
      <c r="BB1081" s="137"/>
    </row>
    <row r="1082" spans="54:54" x14ac:dyDescent="0.3">
      <c r="BB1082" s="137"/>
    </row>
    <row r="1083" spans="54:54" x14ac:dyDescent="0.3">
      <c r="BB1083" s="137"/>
    </row>
    <row r="1084" spans="54:54" x14ac:dyDescent="0.3">
      <c r="BB1084" s="137"/>
    </row>
    <row r="1085" spans="54:54" x14ac:dyDescent="0.3">
      <c r="BB1085" s="137"/>
    </row>
    <row r="1086" spans="54:54" x14ac:dyDescent="0.3">
      <c r="BB1086" s="137"/>
    </row>
    <row r="1087" spans="54:54" x14ac:dyDescent="0.3">
      <c r="BB1087" s="137"/>
    </row>
    <row r="1088" spans="54:54" x14ac:dyDescent="0.3">
      <c r="BB1088" s="137"/>
    </row>
    <row r="1089" spans="54:54" x14ac:dyDescent="0.3">
      <c r="BB1089" s="137"/>
    </row>
    <row r="1090" spans="54:54" x14ac:dyDescent="0.3">
      <c r="BB1090" s="137"/>
    </row>
    <row r="1091" spans="54:54" x14ac:dyDescent="0.3">
      <c r="BB1091" s="137"/>
    </row>
    <row r="1092" spans="54:54" x14ac:dyDescent="0.3">
      <c r="BB1092" s="137"/>
    </row>
    <row r="1093" spans="54:54" x14ac:dyDescent="0.3">
      <c r="BB1093" s="137"/>
    </row>
    <row r="1094" spans="54:54" x14ac:dyDescent="0.3">
      <c r="BB1094" s="137"/>
    </row>
    <row r="1095" spans="54:54" x14ac:dyDescent="0.3">
      <c r="BB1095" s="137"/>
    </row>
    <row r="1096" spans="54:54" x14ac:dyDescent="0.3">
      <c r="BB1096" s="137"/>
    </row>
    <row r="1097" spans="54:54" x14ac:dyDescent="0.3">
      <c r="BB1097" s="137"/>
    </row>
    <row r="1098" spans="54:54" x14ac:dyDescent="0.3">
      <c r="BB1098" s="137"/>
    </row>
    <row r="1099" spans="54:54" x14ac:dyDescent="0.3">
      <c r="BB1099" s="137"/>
    </row>
    <row r="1100" spans="54:54" x14ac:dyDescent="0.3">
      <c r="BB1100" s="137"/>
    </row>
    <row r="1101" spans="54:54" x14ac:dyDescent="0.3">
      <c r="BB1101" s="137"/>
    </row>
    <row r="1102" spans="54:54" x14ac:dyDescent="0.3">
      <c r="BB1102" s="137"/>
    </row>
    <row r="1103" spans="54:54" x14ac:dyDescent="0.3">
      <c r="BB1103" s="137"/>
    </row>
    <row r="1104" spans="54:54" x14ac:dyDescent="0.3">
      <c r="BB1104" s="137"/>
    </row>
    <row r="1105" spans="54:54" x14ac:dyDescent="0.3">
      <c r="BB1105" s="137"/>
    </row>
    <row r="1106" spans="54:54" x14ac:dyDescent="0.3">
      <c r="BB1106" s="137"/>
    </row>
    <row r="1107" spans="54:54" x14ac:dyDescent="0.3">
      <c r="BB1107" s="137"/>
    </row>
    <row r="1108" spans="54:54" x14ac:dyDescent="0.3">
      <c r="BB1108" s="137"/>
    </row>
    <row r="1109" spans="54:54" x14ac:dyDescent="0.3">
      <c r="BB1109" s="137"/>
    </row>
    <row r="1110" spans="54:54" x14ac:dyDescent="0.3">
      <c r="BB1110" s="137"/>
    </row>
    <row r="1111" spans="54:54" x14ac:dyDescent="0.3">
      <c r="BB1111" s="137"/>
    </row>
    <row r="1112" spans="54:54" x14ac:dyDescent="0.3">
      <c r="BB1112" s="137"/>
    </row>
    <row r="1113" spans="54:54" x14ac:dyDescent="0.3">
      <c r="BB1113" s="137"/>
    </row>
    <row r="1114" spans="54:54" x14ac:dyDescent="0.3">
      <c r="BB1114" s="137"/>
    </row>
    <row r="1115" spans="54:54" x14ac:dyDescent="0.3">
      <c r="BB1115" s="137"/>
    </row>
    <row r="1116" spans="54:54" x14ac:dyDescent="0.3">
      <c r="BB1116" s="137"/>
    </row>
    <row r="1117" spans="54:54" x14ac:dyDescent="0.3">
      <c r="BB1117" s="137"/>
    </row>
    <row r="1118" spans="54:54" x14ac:dyDescent="0.3">
      <c r="BB1118" s="137"/>
    </row>
    <row r="1119" spans="54:54" x14ac:dyDescent="0.3">
      <c r="BB1119" s="137"/>
    </row>
    <row r="1120" spans="54:54" x14ac:dyDescent="0.3">
      <c r="BB1120" s="137"/>
    </row>
    <row r="1121" spans="54:54" x14ac:dyDescent="0.3">
      <c r="BB1121" s="137"/>
    </row>
    <row r="1122" spans="54:54" x14ac:dyDescent="0.3">
      <c r="BB1122" s="137"/>
    </row>
    <row r="1123" spans="54:54" x14ac:dyDescent="0.3">
      <c r="BB1123" s="137"/>
    </row>
    <row r="1124" spans="54:54" x14ac:dyDescent="0.3">
      <c r="BB1124" s="137"/>
    </row>
    <row r="1125" spans="54:54" x14ac:dyDescent="0.3">
      <c r="BB1125" s="137"/>
    </row>
    <row r="1126" spans="54:54" x14ac:dyDescent="0.3">
      <c r="BB1126" s="137"/>
    </row>
    <row r="1127" spans="54:54" x14ac:dyDescent="0.3">
      <c r="BB1127" s="137"/>
    </row>
    <row r="1128" spans="54:54" x14ac:dyDescent="0.3">
      <c r="BB1128" s="137"/>
    </row>
    <row r="1129" spans="54:54" x14ac:dyDescent="0.3">
      <c r="BB1129" s="137"/>
    </row>
    <row r="1130" spans="54:54" x14ac:dyDescent="0.3">
      <c r="BB1130" s="137"/>
    </row>
    <row r="1131" spans="54:54" x14ac:dyDescent="0.3">
      <c r="BB1131" s="137"/>
    </row>
    <row r="1132" spans="54:54" x14ac:dyDescent="0.3">
      <c r="BB1132" s="137"/>
    </row>
    <row r="1133" spans="54:54" x14ac:dyDescent="0.3">
      <c r="BB1133" s="137"/>
    </row>
    <row r="1134" spans="54:54" x14ac:dyDescent="0.3">
      <c r="BB1134" s="137"/>
    </row>
    <row r="1135" spans="54:54" x14ac:dyDescent="0.3">
      <c r="BB1135" s="137"/>
    </row>
    <row r="1136" spans="54:54" x14ac:dyDescent="0.3">
      <c r="BB1136" s="137"/>
    </row>
    <row r="1137" spans="54:54" x14ac:dyDescent="0.3">
      <c r="BB1137" s="137"/>
    </row>
    <row r="1138" spans="54:54" x14ac:dyDescent="0.3">
      <c r="BB1138" s="137"/>
    </row>
    <row r="1139" spans="54:54" x14ac:dyDescent="0.3">
      <c r="BB1139" s="137"/>
    </row>
    <row r="1140" spans="54:54" x14ac:dyDescent="0.3">
      <c r="BB1140" s="137"/>
    </row>
    <row r="1141" spans="54:54" x14ac:dyDescent="0.3">
      <c r="BB1141" s="137"/>
    </row>
    <row r="1142" spans="54:54" x14ac:dyDescent="0.3">
      <c r="BB1142" s="137"/>
    </row>
    <row r="1143" spans="54:54" x14ac:dyDescent="0.3">
      <c r="BB1143" s="137"/>
    </row>
    <row r="1144" spans="54:54" x14ac:dyDescent="0.3">
      <c r="BB1144" s="137"/>
    </row>
    <row r="1145" spans="54:54" x14ac:dyDescent="0.3">
      <c r="BB1145" s="137"/>
    </row>
    <row r="1146" spans="54:54" x14ac:dyDescent="0.3">
      <c r="BB1146" s="137"/>
    </row>
    <row r="1147" spans="54:54" x14ac:dyDescent="0.3">
      <c r="BB1147" s="137"/>
    </row>
    <row r="1148" spans="54:54" x14ac:dyDescent="0.3">
      <c r="BB1148" s="137"/>
    </row>
    <row r="1149" spans="54:54" x14ac:dyDescent="0.3">
      <c r="BB1149" s="137"/>
    </row>
    <row r="1150" spans="54:54" x14ac:dyDescent="0.3">
      <c r="BB1150" s="137"/>
    </row>
    <row r="1151" spans="54:54" x14ac:dyDescent="0.3">
      <c r="BB1151" s="137"/>
    </row>
    <row r="1152" spans="54:54" x14ac:dyDescent="0.3">
      <c r="BB1152" s="137"/>
    </row>
    <row r="1153" spans="54:54" x14ac:dyDescent="0.3">
      <c r="BB1153" s="137"/>
    </row>
    <row r="1154" spans="54:54" x14ac:dyDescent="0.3">
      <c r="BB1154" s="137"/>
    </row>
    <row r="1155" spans="54:54" x14ac:dyDescent="0.3">
      <c r="BB1155" s="137"/>
    </row>
    <row r="1156" spans="54:54" x14ac:dyDescent="0.3">
      <c r="BB1156" s="137"/>
    </row>
    <row r="1157" spans="54:54" x14ac:dyDescent="0.3">
      <c r="BB1157" s="137"/>
    </row>
    <row r="1158" spans="54:54" x14ac:dyDescent="0.3">
      <c r="BB1158" s="137"/>
    </row>
    <row r="1159" spans="54:54" x14ac:dyDescent="0.3">
      <c r="BB1159" s="137"/>
    </row>
    <row r="1160" spans="54:54" x14ac:dyDescent="0.3">
      <c r="BB1160" s="137"/>
    </row>
    <row r="1161" spans="54:54" x14ac:dyDescent="0.3">
      <c r="BB1161" s="137"/>
    </row>
    <row r="1162" spans="54:54" x14ac:dyDescent="0.3">
      <c r="BB1162" s="137"/>
    </row>
    <row r="1163" spans="54:54" x14ac:dyDescent="0.3">
      <c r="BB1163" s="137"/>
    </row>
    <row r="1164" spans="54:54" x14ac:dyDescent="0.3">
      <c r="BB1164" s="137"/>
    </row>
    <row r="1165" spans="54:54" x14ac:dyDescent="0.3">
      <c r="BB1165" s="137"/>
    </row>
    <row r="1166" spans="54:54" x14ac:dyDescent="0.3">
      <c r="BB1166" s="137"/>
    </row>
    <row r="1167" spans="54:54" x14ac:dyDescent="0.3">
      <c r="BB1167" s="137"/>
    </row>
    <row r="1168" spans="54:54" x14ac:dyDescent="0.3">
      <c r="BB1168" s="137"/>
    </row>
    <row r="1169" spans="54:54" x14ac:dyDescent="0.3">
      <c r="BB1169" s="137"/>
    </row>
    <row r="1170" spans="54:54" x14ac:dyDescent="0.3">
      <c r="BB1170" s="137"/>
    </row>
    <row r="1171" spans="54:54" x14ac:dyDescent="0.3">
      <c r="BB1171" s="137"/>
    </row>
    <row r="1172" spans="54:54" x14ac:dyDescent="0.3">
      <c r="BB1172" s="137"/>
    </row>
    <row r="1173" spans="54:54" x14ac:dyDescent="0.3">
      <c r="BB1173" s="137"/>
    </row>
    <row r="1174" spans="54:54" x14ac:dyDescent="0.3">
      <c r="BB1174" s="137"/>
    </row>
    <row r="1175" spans="54:54" x14ac:dyDescent="0.3">
      <c r="BB1175" s="137"/>
    </row>
    <row r="1176" spans="54:54" x14ac:dyDescent="0.3">
      <c r="BB1176" s="137"/>
    </row>
    <row r="1177" spans="54:54" x14ac:dyDescent="0.3">
      <c r="BB1177" s="137"/>
    </row>
    <row r="1178" spans="54:54" x14ac:dyDescent="0.3">
      <c r="BB1178" s="137"/>
    </row>
    <row r="1179" spans="54:54" x14ac:dyDescent="0.3">
      <c r="BB1179" s="137"/>
    </row>
    <row r="1180" spans="54:54" x14ac:dyDescent="0.3">
      <c r="BB1180" s="137"/>
    </row>
    <row r="1181" spans="54:54" x14ac:dyDescent="0.3">
      <c r="BB1181" s="137"/>
    </row>
    <row r="1182" spans="54:54" x14ac:dyDescent="0.3">
      <c r="BB1182" s="137"/>
    </row>
    <row r="1183" spans="54:54" x14ac:dyDescent="0.3">
      <c r="BB1183" s="137"/>
    </row>
    <row r="1184" spans="54:54" x14ac:dyDescent="0.3">
      <c r="BB1184" s="137"/>
    </row>
    <row r="1185" spans="54:54" x14ac:dyDescent="0.3">
      <c r="BB1185" s="137"/>
    </row>
    <row r="1186" spans="54:54" x14ac:dyDescent="0.3">
      <c r="BB1186" s="137"/>
    </row>
    <row r="1187" spans="54:54" x14ac:dyDescent="0.3">
      <c r="BB1187" s="137"/>
    </row>
    <row r="1188" spans="54:54" x14ac:dyDescent="0.3">
      <c r="BB1188" s="137"/>
    </row>
    <row r="1189" spans="54:54" x14ac:dyDescent="0.3">
      <c r="BB1189" s="137"/>
    </row>
    <row r="1190" spans="54:54" x14ac:dyDescent="0.3">
      <c r="BB1190" s="137"/>
    </row>
    <row r="1191" spans="54:54" x14ac:dyDescent="0.3">
      <c r="BB1191" s="137"/>
    </row>
    <row r="1192" spans="54:54" x14ac:dyDescent="0.3">
      <c r="BB1192" s="137"/>
    </row>
    <row r="1193" spans="54:54" x14ac:dyDescent="0.3">
      <c r="BB1193" s="137"/>
    </row>
    <row r="1194" spans="54:54" x14ac:dyDescent="0.3">
      <c r="BB1194" s="137"/>
    </row>
    <row r="1195" spans="54:54" x14ac:dyDescent="0.3">
      <c r="BB1195" s="137"/>
    </row>
    <row r="1196" spans="54:54" x14ac:dyDescent="0.3">
      <c r="BB1196" s="137"/>
    </row>
    <row r="1197" spans="54:54" x14ac:dyDescent="0.3">
      <c r="BB1197" s="137"/>
    </row>
    <row r="1198" spans="54:54" x14ac:dyDescent="0.3">
      <c r="BB1198" s="137"/>
    </row>
    <row r="1199" spans="54:54" x14ac:dyDescent="0.3">
      <c r="BB1199" s="137"/>
    </row>
    <row r="1200" spans="54:54" x14ac:dyDescent="0.3">
      <c r="BB1200" s="137"/>
    </row>
    <row r="1201" spans="54:54" x14ac:dyDescent="0.3">
      <c r="BB1201" s="137"/>
    </row>
    <row r="1202" spans="54:54" x14ac:dyDescent="0.3">
      <c r="BB1202" s="137"/>
    </row>
    <row r="1203" spans="54:54" x14ac:dyDescent="0.3">
      <c r="BB1203" s="137"/>
    </row>
    <row r="1204" spans="54:54" x14ac:dyDescent="0.3">
      <c r="BB1204" s="137"/>
    </row>
    <row r="1205" spans="54:54" x14ac:dyDescent="0.3">
      <c r="BB1205" s="137"/>
    </row>
    <row r="1206" spans="54:54" x14ac:dyDescent="0.3">
      <c r="BB1206" s="137"/>
    </row>
    <row r="1207" spans="54:54" x14ac:dyDescent="0.3">
      <c r="BB1207" s="137"/>
    </row>
    <row r="1208" spans="54:54" x14ac:dyDescent="0.3">
      <c r="BB1208" s="137"/>
    </row>
    <row r="1209" spans="54:54" x14ac:dyDescent="0.3">
      <c r="BB1209" s="137"/>
    </row>
    <row r="1210" spans="54:54" x14ac:dyDescent="0.3">
      <c r="BB1210" s="137"/>
    </row>
    <row r="1211" spans="54:54" x14ac:dyDescent="0.3">
      <c r="BB1211" s="137"/>
    </row>
    <row r="1212" spans="54:54" x14ac:dyDescent="0.3">
      <c r="BB1212" s="137"/>
    </row>
    <row r="1213" spans="54:54" x14ac:dyDescent="0.3">
      <c r="BB1213" s="137"/>
    </row>
    <row r="1214" spans="54:54" x14ac:dyDescent="0.3">
      <c r="BB1214" s="137"/>
    </row>
  </sheetData>
  <mergeCells count="12">
    <mergeCell ref="CI7:CJ7"/>
    <mergeCell ref="B1:J6"/>
    <mergeCell ref="BY7:BZ7"/>
    <mergeCell ref="CA7:CB7"/>
    <mergeCell ref="CC7:CD7"/>
    <mergeCell ref="CE7:CF7"/>
    <mergeCell ref="CG7:CH7"/>
    <mergeCell ref="BW7:BX7"/>
    <mergeCell ref="BU7:BV7"/>
    <mergeCell ref="BS7:BT7"/>
    <mergeCell ref="BQ7:BR7"/>
    <mergeCell ref="BO7:BP7"/>
  </mergeCells>
  <dataValidations count="15">
    <dataValidation type="list" allowBlank="1" showInputMessage="1" showErrorMessage="1" sqref="D9:D11 IZ9:IZ11 SV9:SV11 ACR9:ACR11 AMN9:AMN11 AWJ9:AWJ11 BGF9:BGF11 BQB9:BQB11 BZX9:BZX11 CJT9:CJT11 CTP9:CTP11 DDL9:DDL11 DNH9:DNH11 DXD9:DXD11 EGZ9:EGZ11 EQV9:EQV11 FAR9:FAR11 FKN9:FKN11 FUJ9:FUJ11 GEF9:GEF11 GOB9:GOB11 GXX9:GXX11 HHT9:HHT11 HRP9:HRP11 IBL9:IBL11 ILH9:ILH11 IVD9:IVD11 JEZ9:JEZ11 JOV9:JOV11 JYR9:JYR11 KIN9:KIN11 KSJ9:KSJ11 LCF9:LCF11 LMB9:LMB11 LVX9:LVX11 MFT9:MFT11 MPP9:MPP11 MZL9:MZL11 NJH9:NJH11 NTD9:NTD11 OCZ9:OCZ11 OMV9:OMV11 OWR9:OWR11 PGN9:PGN11 PQJ9:PQJ11 QAF9:QAF11 QKB9:QKB11 QTX9:QTX11 RDT9:RDT11 RNP9:RNP11 RXL9:RXL11 SHH9:SHH11 SRD9:SRD11 TAZ9:TAZ11 TKV9:TKV11 TUR9:TUR11 UEN9:UEN11 UOJ9:UOJ11 UYF9:UYF11 VIB9:VIB11 VRX9:VRX11 WBT9:WBT11 WLP9:WLP11 WVL9:WVL11 D65545:D65547 IZ65545:IZ65547 SV65545:SV65547 ACR65545:ACR65547 AMN65545:AMN65547 AWJ65545:AWJ65547 BGF65545:BGF65547 BQB65545:BQB65547 BZX65545:BZX65547 CJT65545:CJT65547 CTP65545:CTP65547 DDL65545:DDL65547 DNH65545:DNH65547 DXD65545:DXD65547 EGZ65545:EGZ65547 EQV65545:EQV65547 FAR65545:FAR65547 FKN65545:FKN65547 FUJ65545:FUJ65547 GEF65545:GEF65547 GOB65545:GOB65547 GXX65545:GXX65547 HHT65545:HHT65547 HRP65545:HRP65547 IBL65545:IBL65547 ILH65545:ILH65547 IVD65545:IVD65547 JEZ65545:JEZ65547 JOV65545:JOV65547 JYR65545:JYR65547 KIN65545:KIN65547 KSJ65545:KSJ65547 LCF65545:LCF65547 LMB65545:LMB65547 LVX65545:LVX65547 MFT65545:MFT65547 MPP65545:MPP65547 MZL65545:MZL65547 NJH65545:NJH65547 NTD65545:NTD65547 OCZ65545:OCZ65547 OMV65545:OMV65547 OWR65545:OWR65547 PGN65545:PGN65547 PQJ65545:PQJ65547 QAF65545:QAF65547 QKB65545:QKB65547 QTX65545:QTX65547 RDT65545:RDT65547 RNP65545:RNP65547 RXL65545:RXL65547 SHH65545:SHH65547 SRD65545:SRD65547 TAZ65545:TAZ65547 TKV65545:TKV65547 TUR65545:TUR65547 UEN65545:UEN65547 UOJ65545:UOJ65547 UYF65545:UYF65547 VIB65545:VIB65547 VRX65545:VRX65547 WBT65545:WBT65547 WLP65545:WLP65547 WVL65545:WVL65547 D131081:D131083 IZ131081:IZ131083 SV131081:SV131083 ACR131081:ACR131083 AMN131081:AMN131083 AWJ131081:AWJ131083 BGF131081:BGF131083 BQB131081:BQB131083 BZX131081:BZX131083 CJT131081:CJT131083 CTP131081:CTP131083 DDL131081:DDL131083 DNH131081:DNH131083 DXD131081:DXD131083 EGZ131081:EGZ131083 EQV131081:EQV131083 FAR131081:FAR131083 FKN131081:FKN131083 FUJ131081:FUJ131083 GEF131081:GEF131083 GOB131081:GOB131083 GXX131081:GXX131083 HHT131081:HHT131083 HRP131081:HRP131083 IBL131081:IBL131083 ILH131081:ILH131083 IVD131081:IVD131083 JEZ131081:JEZ131083 JOV131081:JOV131083 JYR131081:JYR131083 KIN131081:KIN131083 KSJ131081:KSJ131083 LCF131081:LCF131083 LMB131081:LMB131083 LVX131081:LVX131083 MFT131081:MFT131083 MPP131081:MPP131083 MZL131081:MZL131083 NJH131081:NJH131083 NTD131081:NTD131083 OCZ131081:OCZ131083 OMV131081:OMV131083 OWR131081:OWR131083 PGN131081:PGN131083 PQJ131081:PQJ131083 QAF131081:QAF131083 QKB131081:QKB131083 QTX131081:QTX131083 RDT131081:RDT131083 RNP131081:RNP131083 RXL131081:RXL131083 SHH131081:SHH131083 SRD131081:SRD131083 TAZ131081:TAZ131083 TKV131081:TKV131083 TUR131081:TUR131083 UEN131081:UEN131083 UOJ131081:UOJ131083 UYF131081:UYF131083 VIB131081:VIB131083 VRX131081:VRX131083 WBT131081:WBT131083 WLP131081:WLP131083 WVL131081:WVL131083 D196617:D196619 IZ196617:IZ196619 SV196617:SV196619 ACR196617:ACR196619 AMN196617:AMN196619 AWJ196617:AWJ196619 BGF196617:BGF196619 BQB196617:BQB196619 BZX196617:BZX196619 CJT196617:CJT196619 CTP196617:CTP196619 DDL196617:DDL196619 DNH196617:DNH196619 DXD196617:DXD196619 EGZ196617:EGZ196619 EQV196617:EQV196619 FAR196617:FAR196619 FKN196617:FKN196619 FUJ196617:FUJ196619 GEF196617:GEF196619 GOB196617:GOB196619 GXX196617:GXX196619 HHT196617:HHT196619 HRP196617:HRP196619 IBL196617:IBL196619 ILH196617:ILH196619 IVD196617:IVD196619 JEZ196617:JEZ196619 JOV196617:JOV196619 JYR196617:JYR196619 KIN196617:KIN196619 KSJ196617:KSJ196619 LCF196617:LCF196619 LMB196617:LMB196619 LVX196617:LVX196619 MFT196617:MFT196619 MPP196617:MPP196619 MZL196617:MZL196619 NJH196617:NJH196619 NTD196617:NTD196619 OCZ196617:OCZ196619 OMV196617:OMV196619 OWR196617:OWR196619 PGN196617:PGN196619 PQJ196617:PQJ196619 QAF196617:QAF196619 QKB196617:QKB196619 QTX196617:QTX196619 RDT196617:RDT196619 RNP196617:RNP196619 RXL196617:RXL196619 SHH196617:SHH196619 SRD196617:SRD196619 TAZ196617:TAZ196619 TKV196617:TKV196619 TUR196617:TUR196619 UEN196617:UEN196619 UOJ196617:UOJ196619 UYF196617:UYF196619 VIB196617:VIB196619 VRX196617:VRX196619 WBT196617:WBT196619 WLP196617:WLP196619 WVL196617:WVL196619 D262153:D262155 IZ262153:IZ262155 SV262153:SV262155 ACR262153:ACR262155 AMN262153:AMN262155 AWJ262153:AWJ262155 BGF262153:BGF262155 BQB262153:BQB262155 BZX262153:BZX262155 CJT262153:CJT262155 CTP262153:CTP262155 DDL262153:DDL262155 DNH262153:DNH262155 DXD262153:DXD262155 EGZ262153:EGZ262155 EQV262153:EQV262155 FAR262153:FAR262155 FKN262153:FKN262155 FUJ262153:FUJ262155 GEF262153:GEF262155 GOB262153:GOB262155 GXX262153:GXX262155 HHT262153:HHT262155 HRP262153:HRP262155 IBL262153:IBL262155 ILH262153:ILH262155 IVD262153:IVD262155 JEZ262153:JEZ262155 JOV262153:JOV262155 JYR262153:JYR262155 KIN262153:KIN262155 KSJ262153:KSJ262155 LCF262153:LCF262155 LMB262153:LMB262155 LVX262153:LVX262155 MFT262153:MFT262155 MPP262153:MPP262155 MZL262153:MZL262155 NJH262153:NJH262155 NTD262153:NTD262155 OCZ262153:OCZ262155 OMV262153:OMV262155 OWR262153:OWR262155 PGN262153:PGN262155 PQJ262153:PQJ262155 QAF262153:QAF262155 QKB262153:QKB262155 QTX262153:QTX262155 RDT262153:RDT262155 RNP262153:RNP262155 RXL262153:RXL262155 SHH262153:SHH262155 SRD262153:SRD262155 TAZ262153:TAZ262155 TKV262153:TKV262155 TUR262153:TUR262155 UEN262153:UEN262155 UOJ262153:UOJ262155 UYF262153:UYF262155 VIB262153:VIB262155 VRX262153:VRX262155 WBT262153:WBT262155 WLP262153:WLP262155 WVL262153:WVL262155 D327689:D327691 IZ327689:IZ327691 SV327689:SV327691 ACR327689:ACR327691 AMN327689:AMN327691 AWJ327689:AWJ327691 BGF327689:BGF327691 BQB327689:BQB327691 BZX327689:BZX327691 CJT327689:CJT327691 CTP327689:CTP327691 DDL327689:DDL327691 DNH327689:DNH327691 DXD327689:DXD327691 EGZ327689:EGZ327691 EQV327689:EQV327691 FAR327689:FAR327691 FKN327689:FKN327691 FUJ327689:FUJ327691 GEF327689:GEF327691 GOB327689:GOB327691 GXX327689:GXX327691 HHT327689:HHT327691 HRP327689:HRP327691 IBL327689:IBL327691 ILH327689:ILH327691 IVD327689:IVD327691 JEZ327689:JEZ327691 JOV327689:JOV327691 JYR327689:JYR327691 KIN327689:KIN327691 KSJ327689:KSJ327691 LCF327689:LCF327691 LMB327689:LMB327691 LVX327689:LVX327691 MFT327689:MFT327691 MPP327689:MPP327691 MZL327689:MZL327691 NJH327689:NJH327691 NTD327689:NTD327691 OCZ327689:OCZ327691 OMV327689:OMV327691 OWR327689:OWR327691 PGN327689:PGN327691 PQJ327689:PQJ327691 QAF327689:QAF327691 QKB327689:QKB327691 QTX327689:QTX327691 RDT327689:RDT327691 RNP327689:RNP327691 RXL327689:RXL327691 SHH327689:SHH327691 SRD327689:SRD327691 TAZ327689:TAZ327691 TKV327689:TKV327691 TUR327689:TUR327691 UEN327689:UEN327691 UOJ327689:UOJ327691 UYF327689:UYF327691 VIB327689:VIB327691 VRX327689:VRX327691 WBT327689:WBT327691 WLP327689:WLP327691 WVL327689:WVL327691 D393225:D393227 IZ393225:IZ393227 SV393225:SV393227 ACR393225:ACR393227 AMN393225:AMN393227 AWJ393225:AWJ393227 BGF393225:BGF393227 BQB393225:BQB393227 BZX393225:BZX393227 CJT393225:CJT393227 CTP393225:CTP393227 DDL393225:DDL393227 DNH393225:DNH393227 DXD393225:DXD393227 EGZ393225:EGZ393227 EQV393225:EQV393227 FAR393225:FAR393227 FKN393225:FKN393227 FUJ393225:FUJ393227 GEF393225:GEF393227 GOB393225:GOB393227 GXX393225:GXX393227 HHT393225:HHT393227 HRP393225:HRP393227 IBL393225:IBL393227 ILH393225:ILH393227 IVD393225:IVD393227 JEZ393225:JEZ393227 JOV393225:JOV393227 JYR393225:JYR393227 KIN393225:KIN393227 KSJ393225:KSJ393227 LCF393225:LCF393227 LMB393225:LMB393227 LVX393225:LVX393227 MFT393225:MFT393227 MPP393225:MPP393227 MZL393225:MZL393227 NJH393225:NJH393227 NTD393225:NTD393227 OCZ393225:OCZ393227 OMV393225:OMV393227 OWR393225:OWR393227 PGN393225:PGN393227 PQJ393225:PQJ393227 QAF393225:QAF393227 QKB393225:QKB393227 QTX393225:QTX393227 RDT393225:RDT393227 RNP393225:RNP393227 RXL393225:RXL393227 SHH393225:SHH393227 SRD393225:SRD393227 TAZ393225:TAZ393227 TKV393225:TKV393227 TUR393225:TUR393227 UEN393225:UEN393227 UOJ393225:UOJ393227 UYF393225:UYF393227 VIB393225:VIB393227 VRX393225:VRX393227 WBT393225:WBT393227 WLP393225:WLP393227 WVL393225:WVL393227 D458761:D458763 IZ458761:IZ458763 SV458761:SV458763 ACR458761:ACR458763 AMN458761:AMN458763 AWJ458761:AWJ458763 BGF458761:BGF458763 BQB458761:BQB458763 BZX458761:BZX458763 CJT458761:CJT458763 CTP458761:CTP458763 DDL458761:DDL458763 DNH458761:DNH458763 DXD458761:DXD458763 EGZ458761:EGZ458763 EQV458761:EQV458763 FAR458761:FAR458763 FKN458761:FKN458763 FUJ458761:FUJ458763 GEF458761:GEF458763 GOB458761:GOB458763 GXX458761:GXX458763 HHT458761:HHT458763 HRP458761:HRP458763 IBL458761:IBL458763 ILH458761:ILH458763 IVD458761:IVD458763 JEZ458761:JEZ458763 JOV458761:JOV458763 JYR458761:JYR458763 KIN458761:KIN458763 KSJ458761:KSJ458763 LCF458761:LCF458763 LMB458761:LMB458763 LVX458761:LVX458763 MFT458761:MFT458763 MPP458761:MPP458763 MZL458761:MZL458763 NJH458761:NJH458763 NTD458761:NTD458763 OCZ458761:OCZ458763 OMV458761:OMV458763 OWR458761:OWR458763 PGN458761:PGN458763 PQJ458761:PQJ458763 QAF458761:QAF458763 QKB458761:QKB458763 QTX458761:QTX458763 RDT458761:RDT458763 RNP458761:RNP458763 RXL458761:RXL458763 SHH458761:SHH458763 SRD458761:SRD458763 TAZ458761:TAZ458763 TKV458761:TKV458763 TUR458761:TUR458763 UEN458761:UEN458763 UOJ458761:UOJ458763 UYF458761:UYF458763 VIB458761:VIB458763 VRX458761:VRX458763 WBT458761:WBT458763 WLP458761:WLP458763 WVL458761:WVL458763 D524297:D524299 IZ524297:IZ524299 SV524297:SV524299 ACR524297:ACR524299 AMN524297:AMN524299 AWJ524297:AWJ524299 BGF524297:BGF524299 BQB524297:BQB524299 BZX524297:BZX524299 CJT524297:CJT524299 CTP524297:CTP524299 DDL524297:DDL524299 DNH524297:DNH524299 DXD524297:DXD524299 EGZ524297:EGZ524299 EQV524297:EQV524299 FAR524297:FAR524299 FKN524297:FKN524299 FUJ524297:FUJ524299 GEF524297:GEF524299 GOB524297:GOB524299 GXX524297:GXX524299 HHT524297:HHT524299 HRP524297:HRP524299 IBL524297:IBL524299 ILH524297:ILH524299 IVD524297:IVD524299 JEZ524297:JEZ524299 JOV524297:JOV524299 JYR524297:JYR524299 KIN524297:KIN524299 KSJ524297:KSJ524299 LCF524297:LCF524299 LMB524297:LMB524299 LVX524297:LVX524299 MFT524297:MFT524299 MPP524297:MPP524299 MZL524297:MZL524299 NJH524297:NJH524299 NTD524297:NTD524299 OCZ524297:OCZ524299 OMV524297:OMV524299 OWR524297:OWR524299 PGN524297:PGN524299 PQJ524297:PQJ524299 QAF524297:QAF524299 QKB524297:QKB524299 QTX524297:QTX524299 RDT524297:RDT524299 RNP524297:RNP524299 RXL524297:RXL524299 SHH524297:SHH524299 SRD524297:SRD524299 TAZ524297:TAZ524299 TKV524297:TKV524299 TUR524297:TUR524299 UEN524297:UEN524299 UOJ524297:UOJ524299 UYF524297:UYF524299 VIB524297:VIB524299 VRX524297:VRX524299 WBT524297:WBT524299 WLP524297:WLP524299 WVL524297:WVL524299 D589833:D589835 IZ589833:IZ589835 SV589833:SV589835 ACR589833:ACR589835 AMN589833:AMN589835 AWJ589833:AWJ589835 BGF589833:BGF589835 BQB589833:BQB589835 BZX589833:BZX589835 CJT589833:CJT589835 CTP589833:CTP589835 DDL589833:DDL589835 DNH589833:DNH589835 DXD589833:DXD589835 EGZ589833:EGZ589835 EQV589833:EQV589835 FAR589833:FAR589835 FKN589833:FKN589835 FUJ589833:FUJ589835 GEF589833:GEF589835 GOB589833:GOB589835 GXX589833:GXX589835 HHT589833:HHT589835 HRP589833:HRP589835 IBL589833:IBL589835 ILH589833:ILH589835 IVD589833:IVD589835 JEZ589833:JEZ589835 JOV589833:JOV589835 JYR589833:JYR589835 KIN589833:KIN589835 KSJ589833:KSJ589835 LCF589833:LCF589835 LMB589833:LMB589835 LVX589833:LVX589835 MFT589833:MFT589835 MPP589833:MPP589835 MZL589833:MZL589835 NJH589833:NJH589835 NTD589833:NTD589835 OCZ589833:OCZ589835 OMV589833:OMV589835 OWR589833:OWR589835 PGN589833:PGN589835 PQJ589833:PQJ589835 QAF589833:QAF589835 QKB589833:QKB589835 QTX589833:QTX589835 RDT589833:RDT589835 RNP589833:RNP589835 RXL589833:RXL589835 SHH589833:SHH589835 SRD589833:SRD589835 TAZ589833:TAZ589835 TKV589833:TKV589835 TUR589833:TUR589835 UEN589833:UEN589835 UOJ589833:UOJ589835 UYF589833:UYF589835 VIB589833:VIB589835 VRX589833:VRX589835 WBT589833:WBT589835 WLP589833:WLP589835 WVL589833:WVL589835 D655369:D655371 IZ655369:IZ655371 SV655369:SV655371 ACR655369:ACR655371 AMN655369:AMN655371 AWJ655369:AWJ655371 BGF655369:BGF655371 BQB655369:BQB655371 BZX655369:BZX655371 CJT655369:CJT655371 CTP655369:CTP655371 DDL655369:DDL655371 DNH655369:DNH655371 DXD655369:DXD655371 EGZ655369:EGZ655371 EQV655369:EQV655371 FAR655369:FAR655371 FKN655369:FKN655371 FUJ655369:FUJ655371 GEF655369:GEF655371 GOB655369:GOB655371 GXX655369:GXX655371 HHT655369:HHT655371 HRP655369:HRP655371 IBL655369:IBL655371 ILH655369:ILH655371 IVD655369:IVD655371 JEZ655369:JEZ655371 JOV655369:JOV655371 JYR655369:JYR655371 KIN655369:KIN655371 KSJ655369:KSJ655371 LCF655369:LCF655371 LMB655369:LMB655371 LVX655369:LVX655371 MFT655369:MFT655371 MPP655369:MPP655371 MZL655369:MZL655371 NJH655369:NJH655371 NTD655369:NTD655371 OCZ655369:OCZ655371 OMV655369:OMV655371 OWR655369:OWR655371 PGN655369:PGN655371 PQJ655369:PQJ655371 QAF655369:QAF655371 QKB655369:QKB655371 QTX655369:QTX655371 RDT655369:RDT655371 RNP655369:RNP655371 RXL655369:RXL655371 SHH655369:SHH655371 SRD655369:SRD655371 TAZ655369:TAZ655371 TKV655369:TKV655371 TUR655369:TUR655371 UEN655369:UEN655371 UOJ655369:UOJ655371 UYF655369:UYF655371 VIB655369:VIB655371 VRX655369:VRX655371 WBT655369:WBT655371 WLP655369:WLP655371 WVL655369:WVL655371 D720905:D720907 IZ720905:IZ720907 SV720905:SV720907 ACR720905:ACR720907 AMN720905:AMN720907 AWJ720905:AWJ720907 BGF720905:BGF720907 BQB720905:BQB720907 BZX720905:BZX720907 CJT720905:CJT720907 CTP720905:CTP720907 DDL720905:DDL720907 DNH720905:DNH720907 DXD720905:DXD720907 EGZ720905:EGZ720907 EQV720905:EQV720907 FAR720905:FAR720907 FKN720905:FKN720907 FUJ720905:FUJ720907 GEF720905:GEF720907 GOB720905:GOB720907 GXX720905:GXX720907 HHT720905:HHT720907 HRP720905:HRP720907 IBL720905:IBL720907 ILH720905:ILH720907 IVD720905:IVD720907 JEZ720905:JEZ720907 JOV720905:JOV720907 JYR720905:JYR720907 KIN720905:KIN720907 KSJ720905:KSJ720907 LCF720905:LCF720907 LMB720905:LMB720907 LVX720905:LVX720907 MFT720905:MFT720907 MPP720905:MPP720907 MZL720905:MZL720907 NJH720905:NJH720907 NTD720905:NTD720907 OCZ720905:OCZ720907 OMV720905:OMV720907 OWR720905:OWR720907 PGN720905:PGN720907 PQJ720905:PQJ720907 QAF720905:QAF720907 QKB720905:QKB720907 QTX720905:QTX720907 RDT720905:RDT720907 RNP720905:RNP720907 RXL720905:RXL720907 SHH720905:SHH720907 SRD720905:SRD720907 TAZ720905:TAZ720907 TKV720905:TKV720907 TUR720905:TUR720907 UEN720905:UEN720907 UOJ720905:UOJ720907 UYF720905:UYF720907 VIB720905:VIB720907 VRX720905:VRX720907 WBT720905:WBT720907 WLP720905:WLP720907 WVL720905:WVL720907 D786441:D786443 IZ786441:IZ786443 SV786441:SV786443 ACR786441:ACR786443 AMN786441:AMN786443 AWJ786441:AWJ786443 BGF786441:BGF786443 BQB786441:BQB786443 BZX786441:BZX786443 CJT786441:CJT786443 CTP786441:CTP786443 DDL786441:DDL786443 DNH786441:DNH786443 DXD786441:DXD786443 EGZ786441:EGZ786443 EQV786441:EQV786443 FAR786441:FAR786443 FKN786441:FKN786443 FUJ786441:FUJ786443 GEF786441:GEF786443 GOB786441:GOB786443 GXX786441:GXX786443 HHT786441:HHT786443 HRP786441:HRP786443 IBL786441:IBL786443 ILH786441:ILH786443 IVD786441:IVD786443 JEZ786441:JEZ786443 JOV786441:JOV786443 JYR786441:JYR786443 KIN786441:KIN786443 KSJ786441:KSJ786443 LCF786441:LCF786443 LMB786441:LMB786443 LVX786441:LVX786443 MFT786441:MFT786443 MPP786441:MPP786443 MZL786441:MZL786443 NJH786441:NJH786443 NTD786441:NTD786443 OCZ786441:OCZ786443 OMV786441:OMV786443 OWR786441:OWR786443 PGN786441:PGN786443 PQJ786441:PQJ786443 QAF786441:QAF786443 QKB786441:QKB786443 QTX786441:QTX786443 RDT786441:RDT786443 RNP786441:RNP786443 RXL786441:RXL786443 SHH786441:SHH786443 SRD786441:SRD786443 TAZ786441:TAZ786443 TKV786441:TKV786443 TUR786441:TUR786443 UEN786441:UEN786443 UOJ786441:UOJ786443 UYF786441:UYF786443 VIB786441:VIB786443 VRX786441:VRX786443 WBT786441:WBT786443 WLP786441:WLP786443 WVL786441:WVL786443 D851977:D851979 IZ851977:IZ851979 SV851977:SV851979 ACR851977:ACR851979 AMN851977:AMN851979 AWJ851977:AWJ851979 BGF851977:BGF851979 BQB851977:BQB851979 BZX851977:BZX851979 CJT851977:CJT851979 CTP851977:CTP851979 DDL851977:DDL851979 DNH851977:DNH851979 DXD851977:DXD851979 EGZ851977:EGZ851979 EQV851977:EQV851979 FAR851977:FAR851979 FKN851977:FKN851979 FUJ851977:FUJ851979 GEF851977:GEF851979 GOB851977:GOB851979 GXX851977:GXX851979 HHT851977:HHT851979 HRP851977:HRP851979 IBL851977:IBL851979 ILH851977:ILH851979 IVD851977:IVD851979 JEZ851977:JEZ851979 JOV851977:JOV851979 JYR851977:JYR851979 KIN851977:KIN851979 KSJ851977:KSJ851979 LCF851977:LCF851979 LMB851977:LMB851979 LVX851977:LVX851979 MFT851977:MFT851979 MPP851977:MPP851979 MZL851977:MZL851979 NJH851977:NJH851979 NTD851977:NTD851979 OCZ851977:OCZ851979 OMV851977:OMV851979 OWR851977:OWR851979 PGN851977:PGN851979 PQJ851977:PQJ851979 QAF851977:QAF851979 QKB851977:QKB851979 QTX851977:QTX851979 RDT851977:RDT851979 RNP851977:RNP851979 RXL851977:RXL851979 SHH851977:SHH851979 SRD851977:SRD851979 TAZ851977:TAZ851979 TKV851977:TKV851979 TUR851977:TUR851979 UEN851977:UEN851979 UOJ851977:UOJ851979 UYF851977:UYF851979 VIB851977:VIB851979 VRX851977:VRX851979 WBT851977:WBT851979 WLP851977:WLP851979 WVL851977:WVL851979 D917513:D917515 IZ917513:IZ917515 SV917513:SV917515 ACR917513:ACR917515 AMN917513:AMN917515 AWJ917513:AWJ917515 BGF917513:BGF917515 BQB917513:BQB917515 BZX917513:BZX917515 CJT917513:CJT917515 CTP917513:CTP917515 DDL917513:DDL917515 DNH917513:DNH917515 DXD917513:DXD917515 EGZ917513:EGZ917515 EQV917513:EQV917515 FAR917513:FAR917515 FKN917513:FKN917515 FUJ917513:FUJ917515 GEF917513:GEF917515 GOB917513:GOB917515 GXX917513:GXX917515 HHT917513:HHT917515 HRP917513:HRP917515 IBL917513:IBL917515 ILH917513:ILH917515 IVD917513:IVD917515 JEZ917513:JEZ917515 JOV917513:JOV917515 JYR917513:JYR917515 KIN917513:KIN917515 KSJ917513:KSJ917515 LCF917513:LCF917515 LMB917513:LMB917515 LVX917513:LVX917515 MFT917513:MFT917515 MPP917513:MPP917515 MZL917513:MZL917515 NJH917513:NJH917515 NTD917513:NTD917515 OCZ917513:OCZ917515 OMV917513:OMV917515 OWR917513:OWR917515 PGN917513:PGN917515 PQJ917513:PQJ917515 QAF917513:QAF917515 QKB917513:QKB917515 QTX917513:QTX917515 RDT917513:RDT917515 RNP917513:RNP917515 RXL917513:RXL917515 SHH917513:SHH917515 SRD917513:SRD917515 TAZ917513:TAZ917515 TKV917513:TKV917515 TUR917513:TUR917515 UEN917513:UEN917515 UOJ917513:UOJ917515 UYF917513:UYF917515 VIB917513:VIB917515 VRX917513:VRX917515 WBT917513:WBT917515 WLP917513:WLP917515 WVL917513:WVL917515 D983049:D983051 IZ983049:IZ983051 SV983049:SV983051 ACR983049:ACR983051 AMN983049:AMN983051 AWJ983049:AWJ983051 BGF983049:BGF983051 BQB983049:BQB983051 BZX983049:BZX983051 CJT983049:CJT983051 CTP983049:CTP983051 DDL983049:DDL983051 DNH983049:DNH983051 DXD983049:DXD983051 EGZ983049:EGZ983051 EQV983049:EQV983051 FAR983049:FAR983051 FKN983049:FKN983051 FUJ983049:FUJ983051 GEF983049:GEF983051 GOB983049:GOB983051 GXX983049:GXX983051 HHT983049:HHT983051 HRP983049:HRP983051 IBL983049:IBL983051 ILH983049:ILH983051 IVD983049:IVD983051 JEZ983049:JEZ983051 JOV983049:JOV983051 JYR983049:JYR983051 KIN983049:KIN983051 KSJ983049:KSJ983051 LCF983049:LCF983051 LMB983049:LMB983051 LVX983049:LVX983051 MFT983049:MFT983051 MPP983049:MPP983051 MZL983049:MZL983051 NJH983049:NJH983051 NTD983049:NTD983051 OCZ983049:OCZ983051 OMV983049:OMV983051 OWR983049:OWR983051 PGN983049:PGN983051 PQJ983049:PQJ983051 QAF983049:QAF983051 QKB983049:QKB983051 QTX983049:QTX983051 RDT983049:RDT983051 RNP983049:RNP983051 RXL983049:RXL983051 SHH983049:SHH983051 SRD983049:SRD983051 TAZ983049:TAZ983051 TKV983049:TKV983051 TUR983049:TUR983051 UEN983049:UEN983051 UOJ983049:UOJ983051 UYF983049:UYF983051 VIB983049:VIB983051 VRX983049:VRX983051 WBT983049:WBT983051 WLP983049:WLP983051 WVL983049:WVL983051">
      <formula1>$D$12:$D$27</formula1>
    </dataValidation>
    <dataValidation type="list" allowBlank="1" showInputMessage="1" showErrorMessage="1" sqref="Z9:AB11 JV9:JX11 TR9:TT11 ADN9:ADP11 ANJ9:ANL11 AXF9:AXH11 BHB9:BHD11 BQX9:BQZ11 CAT9:CAV11 CKP9:CKR11 CUL9:CUN11 DEH9:DEJ11 DOD9:DOF11 DXZ9:DYB11 EHV9:EHX11 ERR9:ERT11 FBN9:FBP11 FLJ9:FLL11 FVF9:FVH11 GFB9:GFD11 GOX9:GOZ11 GYT9:GYV11 HIP9:HIR11 HSL9:HSN11 ICH9:ICJ11 IMD9:IMF11 IVZ9:IWB11 JFV9:JFX11 JPR9:JPT11 JZN9:JZP11 KJJ9:KJL11 KTF9:KTH11 LDB9:LDD11 LMX9:LMZ11 LWT9:LWV11 MGP9:MGR11 MQL9:MQN11 NAH9:NAJ11 NKD9:NKF11 NTZ9:NUB11 ODV9:ODX11 ONR9:ONT11 OXN9:OXP11 PHJ9:PHL11 PRF9:PRH11 QBB9:QBD11 QKX9:QKZ11 QUT9:QUV11 REP9:RER11 ROL9:RON11 RYH9:RYJ11 SID9:SIF11 SRZ9:SSB11 TBV9:TBX11 TLR9:TLT11 TVN9:TVP11 UFJ9:UFL11 UPF9:UPH11 UZB9:UZD11 VIX9:VIZ11 VST9:VSV11 WCP9:WCR11 WML9:WMN11 WWH9:WWJ11 Z65545:AB65547 JV65545:JX65547 TR65545:TT65547 ADN65545:ADP65547 ANJ65545:ANL65547 AXF65545:AXH65547 BHB65545:BHD65547 BQX65545:BQZ65547 CAT65545:CAV65547 CKP65545:CKR65547 CUL65545:CUN65547 DEH65545:DEJ65547 DOD65545:DOF65547 DXZ65545:DYB65547 EHV65545:EHX65547 ERR65545:ERT65547 FBN65545:FBP65547 FLJ65545:FLL65547 FVF65545:FVH65547 GFB65545:GFD65547 GOX65545:GOZ65547 GYT65545:GYV65547 HIP65545:HIR65547 HSL65545:HSN65547 ICH65545:ICJ65547 IMD65545:IMF65547 IVZ65545:IWB65547 JFV65545:JFX65547 JPR65545:JPT65547 JZN65545:JZP65547 KJJ65545:KJL65547 KTF65545:KTH65547 LDB65545:LDD65547 LMX65545:LMZ65547 LWT65545:LWV65547 MGP65545:MGR65547 MQL65545:MQN65547 NAH65545:NAJ65547 NKD65545:NKF65547 NTZ65545:NUB65547 ODV65545:ODX65547 ONR65545:ONT65547 OXN65545:OXP65547 PHJ65545:PHL65547 PRF65545:PRH65547 QBB65545:QBD65547 QKX65545:QKZ65547 QUT65545:QUV65547 REP65545:RER65547 ROL65545:RON65547 RYH65545:RYJ65547 SID65545:SIF65547 SRZ65545:SSB65547 TBV65545:TBX65547 TLR65545:TLT65547 TVN65545:TVP65547 UFJ65545:UFL65547 UPF65545:UPH65547 UZB65545:UZD65547 VIX65545:VIZ65547 VST65545:VSV65547 WCP65545:WCR65547 WML65545:WMN65547 WWH65545:WWJ65547 Z131081:AB131083 JV131081:JX131083 TR131081:TT131083 ADN131081:ADP131083 ANJ131081:ANL131083 AXF131081:AXH131083 BHB131081:BHD131083 BQX131081:BQZ131083 CAT131081:CAV131083 CKP131081:CKR131083 CUL131081:CUN131083 DEH131081:DEJ131083 DOD131081:DOF131083 DXZ131081:DYB131083 EHV131081:EHX131083 ERR131081:ERT131083 FBN131081:FBP131083 FLJ131081:FLL131083 FVF131081:FVH131083 GFB131081:GFD131083 GOX131081:GOZ131083 GYT131081:GYV131083 HIP131081:HIR131083 HSL131081:HSN131083 ICH131081:ICJ131083 IMD131081:IMF131083 IVZ131081:IWB131083 JFV131081:JFX131083 JPR131081:JPT131083 JZN131081:JZP131083 KJJ131081:KJL131083 KTF131081:KTH131083 LDB131081:LDD131083 LMX131081:LMZ131083 LWT131081:LWV131083 MGP131081:MGR131083 MQL131081:MQN131083 NAH131081:NAJ131083 NKD131081:NKF131083 NTZ131081:NUB131083 ODV131081:ODX131083 ONR131081:ONT131083 OXN131081:OXP131083 PHJ131081:PHL131083 PRF131081:PRH131083 QBB131081:QBD131083 QKX131081:QKZ131083 QUT131081:QUV131083 REP131081:RER131083 ROL131081:RON131083 RYH131081:RYJ131083 SID131081:SIF131083 SRZ131081:SSB131083 TBV131081:TBX131083 TLR131081:TLT131083 TVN131081:TVP131083 UFJ131081:UFL131083 UPF131081:UPH131083 UZB131081:UZD131083 VIX131081:VIZ131083 VST131081:VSV131083 WCP131081:WCR131083 WML131081:WMN131083 WWH131081:WWJ131083 Z196617:AB196619 JV196617:JX196619 TR196617:TT196619 ADN196617:ADP196619 ANJ196617:ANL196619 AXF196617:AXH196619 BHB196617:BHD196619 BQX196617:BQZ196619 CAT196617:CAV196619 CKP196617:CKR196619 CUL196617:CUN196619 DEH196617:DEJ196619 DOD196617:DOF196619 DXZ196617:DYB196619 EHV196617:EHX196619 ERR196617:ERT196619 FBN196617:FBP196619 FLJ196617:FLL196619 FVF196617:FVH196619 GFB196617:GFD196619 GOX196617:GOZ196619 GYT196617:GYV196619 HIP196617:HIR196619 HSL196617:HSN196619 ICH196617:ICJ196619 IMD196617:IMF196619 IVZ196617:IWB196619 JFV196617:JFX196619 JPR196617:JPT196619 JZN196617:JZP196619 KJJ196617:KJL196619 KTF196617:KTH196619 LDB196617:LDD196619 LMX196617:LMZ196619 LWT196617:LWV196619 MGP196617:MGR196619 MQL196617:MQN196619 NAH196617:NAJ196619 NKD196617:NKF196619 NTZ196617:NUB196619 ODV196617:ODX196619 ONR196617:ONT196619 OXN196617:OXP196619 PHJ196617:PHL196619 PRF196617:PRH196619 QBB196617:QBD196619 QKX196617:QKZ196619 QUT196617:QUV196619 REP196617:RER196619 ROL196617:RON196619 RYH196617:RYJ196619 SID196617:SIF196619 SRZ196617:SSB196619 TBV196617:TBX196619 TLR196617:TLT196619 TVN196617:TVP196619 UFJ196617:UFL196619 UPF196617:UPH196619 UZB196617:UZD196619 VIX196617:VIZ196619 VST196617:VSV196619 WCP196617:WCR196619 WML196617:WMN196619 WWH196617:WWJ196619 Z262153:AB262155 JV262153:JX262155 TR262153:TT262155 ADN262153:ADP262155 ANJ262153:ANL262155 AXF262153:AXH262155 BHB262153:BHD262155 BQX262153:BQZ262155 CAT262153:CAV262155 CKP262153:CKR262155 CUL262153:CUN262155 DEH262153:DEJ262155 DOD262153:DOF262155 DXZ262153:DYB262155 EHV262153:EHX262155 ERR262153:ERT262155 FBN262153:FBP262155 FLJ262153:FLL262155 FVF262153:FVH262155 GFB262153:GFD262155 GOX262153:GOZ262155 GYT262153:GYV262155 HIP262153:HIR262155 HSL262153:HSN262155 ICH262153:ICJ262155 IMD262153:IMF262155 IVZ262153:IWB262155 JFV262153:JFX262155 JPR262153:JPT262155 JZN262153:JZP262155 KJJ262153:KJL262155 KTF262153:KTH262155 LDB262153:LDD262155 LMX262153:LMZ262155 LWT262153:LWV262155 MGP262153:MGR262155 MQL262153:MQN262155 NAH262153:NAJ262155 NKD262153:NKF262155 NTZ262153:NUB262155 ODV262153:ODX262155 ONR262153:ONT262155 OXN262153:OXP262155 PHJ262153:PHL262155 PRF262153:PRH262155 QBB262153:QBD262155 QKX262153:QKZ262155 QUT262153:QUV262155 REP262153:RER262155 ROL262153:RON262155 RYH262153:RYJ262155 SID262153:SIF262155 SRZ262153:SSB262155 TBV262153:TBX262155 TLR262153:TLT262155 TVN262153:TVP262155 UFJ262153:UFL262155 UPF262153:UPH262155 UZB262153:UZD262155 VIX262153:VIZ262155 VST262153:VSV262155 WCP262153:WCR262155 WML262153:WMN262155 WWH262153:WWJ262155 Z327689:AB327691 JV327689:JX327691 TR327689:TT327691 ADN327689:ADP327691 ANJ327689:ANL327691 AXF327689:AXH327691 BHB327689:BHD327691 BQX327689:BQZ327691 CAT327689:CAV327691 CKP327689:CKR327691 CUL327689:CUN327691 DEH327689:DEJ327691 DOD327689:DOF327691 DXZ327689:DYB327691 EHV327689:EHX327691 ERR327689:ERT327691 FBN327689:FBP327691 FLJ327689:FLL327691 FVF327689:FVH327691 GFB327689:GFD327691 GOX327689:GOZ327691 GYT327689:GYV327691 HIP327689:HIR327691 HSL327689:HSN327691 ICH327689:ICJ327691 IMD327689:IMF327691 IVZ327689:IWB327691 JFV327689:JFX327691 JPR327689:JPT327691 JZN327689:JZP327691 KJJ327689:KJL327691 KTF327689:KTH327691 LDB327689:LDD327691 LMX327689:LMZ327691 LWT327689:LWV327691 MGP327689:MGR327691 MQL327689:MQN327691 NAH327689:NAJ327691 NKD327689:NKF327691 NTZ327689:NUB327691 ODV327689:ODX327691 ONR327689:ONT327691 OXN327689:OXP327691 PHJ327689:PHL327691 PRF327689:PRH327691 QBB327689:QBD327691 QKX327689:QKZ327691 QUT327689:QUV327691 REP327689:RER327691 ROL327689:RON327691 RYH327689:RYJ327691 SID327689:SIF327691 SRZ327689:SSB327691 TBV327689:TBX327691 TLR327689:TLT327691 TVN327689:TVP327691 UFJ327689:UFL327691 UPF327689:UPH327691 UZB327689:UZD327691 VIX327689:VIZ327691 VST327689:VSV327691 WCP327689:WCR327691 WML327689:WMN327691 WWH327689:WWJ327691 Z393225:AB393227 JV393225:JX393227 TR393225:TT393227 ADN393225:ADP393227 ANJ393225:ANL393227 AXF393225:AXH393227 BHB393225:BHD393227 BQX393225:BQZ393227 CAT393225:CAV393227 CKP393225:CKR393227 CUL393225:CUN393227 DEH393225:DEJ393227 DOD393225:DOF393227 DXZ393225:DYB393227 EHV393225:EHX393227 ERR393225:ERT393227 FBN393225:FBP393227 FLJ393225:FLL393227 FVF393225:FVH393227 GFB393225:GFD393227 GOX393225:GOZ393227 GYT393225:GYV393227 HIP393225:HIR393227 HSL393225:HSN393227 ICH393225:ICJ393227 IMD393225:IMF393227 IVZ393225:IWB393227 JFV393225:JFX393227 JPR393225:JPT393227 JZN393225:JZP393227 KJJ393225:KJL393227 KTF393225:KTH393227 LDB393225:LDD393227 LMX393225:LMZ393227 LWT393225:LWV393227 MGP393225:MGR393227 MQL393225:MQN393227 NAH393225:NAJ393227 NKD393225:NKF393227 NTZ393225:NUB393227 ODV393225:ODX393227 ONR393225:ONT393227 OXN393225:OXP393227 PHJ393225:PHL393227 PRF393225:PRH393227 QBB393225:QBD393227 QKX393225:QKZ393227 QUT393225:QUV393227 REP393225:RER393227 ROL393225:RON393227 RYH393225:RYJ393227 SID393225:SIF393227 SRZ393225:SSB393227 TBV393225:TBX393227 TLR393225:TLT393227 TVN393225:TVP393227 UFJ393225:UFL393227 UPF393225:UPH393227 UZB393225:UZD393227 VIX393225:VIZ393227 VST393225:VSV393227 WCP393225:WCR393227 WML393225:WMN393227 WWH393225:WWJ393227 Z458761:AB458763 JV458761:JX458763 TR458761:TT458763 ADN458761:ADP458763 ANJ458761:ANL458763 AXF458761:AXH458763 BHB458761:BHD458763 BQX458761:BQZ458763 CAT458761:CAV458763 CKP458761:CKR458763 CUL458761:CUN458763 DEH458761:DEJ458763 DOD458761:DOF458763 DXZ458761:DYB458763 EHV458761:EHX458763 ERR458761:ERT458763 FBN458761:FBP458763 FLJ458761:FLL458763 FVF458761:FVH458763 GFB458761:GFD458763 GOX458761:GOZ458763 GYT458761:GYV458763 HIP458761:HIR458763 HSL458761:HSN458763 ICH458761:ICJ458763 IMD458761:IMF458763 IVZ458761:IWB458763 JFV458761:JFX458763 JPR458761:JPT458763 JZN458761:JZP458763 KJJ458761:KJL458763 KTF458761:KTH458763 LDB458761:LDD458763 LMX458761:LMZ458763 LWT458761:LWV458763 MGP458761:MGR458763 MQL458761:MQN458763 NAH458761:NAJ458763 NKD458761:NKF458763 NTZ458761:NUB458763 ODV458761:ODX458763 ONR458761:ONT458763 OXN458761:OXP458763 PHJ458761:PHL458763 PRF458761:PRH458763 QBB458761:QBD458763 QKX458761:QKZ458763 QUT458761:QUV458763 REP458761:RER458763 ROL458761:RON458763 RYH458761:RYJ458763 SID458761:SIF458763 SRZ458761:SSB458763 TBV458761:TBX458763 TLR458761:TLT458763 TVN458761:TVP458763 UFJ458761:UFL458763 UPF458761:UPH458763 UZB458761:UZD458763 VIX458761:VIZ458763 VST458761:VSV458763 WCP458761:WCR458763 WML458761:WMN458763 WWH458761:WWJ458763 Z524297:AB524299 JV524297:JX524299 TR524297:TT524299 ADN524297:ADP524299 ANJ524297:ANL524299 AXF524297:AXH524299 BHB524297:BHD524299 BQX524297:BQZ524299 CAT524297:CAV524299 CKP524297:CKR524299 CUL524297:CUN524299 DEH524297:DEJ524299 DOD524297:DOF524299 DXZ524297:DYB524299 EHV524297:EHX524299 ERR524297:ERT524299 FBN524297:FBP524299 FLJ524297:FLL524299 FVF524297:FVH524299 GFB524297:GFD524299 GOX524297:GOZ524299 GYT524297:GYV524299 HIP524297:HIR524299 HSL524297:HSN524299 ICH524297:ICJ524299 IMD524297:IMF524299 IVZ524297:IWB524299 JFV524297:JFX524299 JPR524297:JPT524299 JZN524297:JZP524299 KJJ524297:KJL524299 KTF524297:KTH524299 LDB524297:LDD524299 LMX524297:LMZ524299 LWT524297:LWV524299 MGP524297:MGR524299 MQL524297:MQN524299 NAH524297:NAJ524299 NKD524297:NKF524299 NTZ524297:NUB524299 ODV524297:ODX524299 ONR524297:ONT524299 OXN524297:OXP524299 PHJ524297:PHL524299 PRF524297:PRH524299 QBB524297:QBD524299 QKX524297:QKZ524299 QUT524297:QUV524299 REP524297:RER524299 ROL524297:RON524299 RYH524297:RYJ524299 SID524297:SIF524299 SRZ524297:SSB524299 TBV524297:TBX524299 TLR524297:TLT524299 TVN524297:TVP524299 UFJ524297:UFL524299 UPF524297:UPH524299 UZB524297:UZD524299 VIX524297:VIZ524299 VST524297:VSV524299 WCP524297:WCR524299 WML524297:WMN524299 WWH524297:WWJ524299 Z589833:AB589835 JV589833:JX589835 TR589833:TT589835 ADN589833:ADP589835 ANJ589833:ANL589835 AXF589833:AXH589835 BHB589833:BHD589835 BQX589833:BQZ589835 CAT589833:CAV589835 CKP589833:CKR589835 CUL589833:CUN589835 DEH589833:DEJ589835 DOD589833:DOF589835 DXZ589833:DYB589835 EHV589833:EHX589835 ERR589833:ERT589835 FBN589833:FBP589835 FLJ589833:FLL589835 FVF589833:FVH589835 GFB589833:GFD589835 GOX589833:GOZ589835 GYT589833:GYV589835 HIP589833:HIR589835 HSL589833:HSN589835 ICH589833:ICJ589835 IMD589833:IMF589835 IVZ589833:IWB589835 JFV589833:JFX589835 JPR589833:JPT589835 JZN589833:JZP589835 KJJ589833:KJL589835 KTF589833:KTH589835 LDB589833:LDD589835 LMX589833:LMZ589835 LWT589833:LWV589835 MGP589833:MGR589835 MQL589833:MQN589835 NAH589833:NAJ589835 NKD589833:NKF589835 NTZ589833:NUB589835 ODV589833:ODX589835 ONR589833:ONT589835 OXN589833:OXP589835 PHJ589833:PHL589835 PRF589833:PRH589835 QBB589833:QBD589835 QKX589833:QKZ589835 QUT589833:QUV589835 REP589833:RER589835 ROL589833:RON589835 RYH589833:RYJ589835 SID589833:SIF589835 SRZ589833:SSB589835 TBV589833:TBX589835 TLR589833:TLT589835 TVN589833:TVP589835 UFJ589833:UFL589835 UPF589833:UPH589835 UZB589833:UZD589835 VIX589833:VIZ589835 VST589833:VSV589835 WCP589833:WCR589835 WML589833:WMN589835 WWH589833:WWJ589835 Z655369:AB655371 JV655369:JX655371 TR655369:TT655371 ADN655369:ADP655371 ANJ655369:ANL655371 AXF655369:AXH655371 BHB655369:BHD655371 BQX655369:BQZ655371 CAT655369:CAV655371 CKP655369:CKR655371 CUL655369:CUN655371 DEH655369:DEJ655371 DOD655369:DOF655371 DXZ655369:DYB655371 EHV655369:EHX655371 ERR655369:ERT655371 FBN655369:FBP655371 FLJ655369:FLL655371 FVF655369:FVH655371 GFB655369:GFD655371 GOX655369:GOZ655371 GYT655369:GYV655371 HIP655369:HIR655371 HSL655369:HSN655371 ICH655369:ICJ655371 IMD655369:IMF655371 IVZ655369:IWB655371 JFV655369:JFX655371 JPR655369:JPT655371 JZN655369:JZP655371 KJJ655369:KJL655371 KTF655369:KTH655371 LDB655369:LDD655371 LMX655369:LMZ655371 LWT655369:LWV655371 MGP655369:MGR655371 MQL655369:MQN655371 NAH655369:NAJ655371 NKD655369:NKF655371 NTZ655369:NUB655371 ODV655369:ODX655371 ONR655369:ONT655371 OXN655369:OXP655371 PHJ655369:PHL655371 PRF655369:PRH655371 QBB655369:QBD655371 QKX655369:QKZ655371 QUT655369:QUV655371 REP655369:RER655371 ROL655369:RON655371 RYH655369:RYJ655371 SID655369:SIF655371 SRZ655369:SSB655371 TBV655369:TBX655371 TLR655369:TLT655371 TVN655369:TVP655371 UFJ655369:UFL655371 UPF655369:UPH655371 UZB655369:UZD655371 VIX655369:VIZ655371 VST655369:VSV655371 WCP655369:WCR655371 WML655369:WMN655371 WWH655369:WWJ655371 Z720905:AB720907 JV720905:JX720907 TR720905:TT720907 ADN720905:ADP720907 ANJ720905:ANL720907 AXF720905:AXH720907 BHB720905:BHD720907 BQX720905:BQZ720907 CAT720905:CAV720907 CKP720905:CKR720907 CUL720905:CUN720907 DEH720905:DEJ720907 DOD720905:DOF720907 DXZ720905:DYB720907 EHV720905:EHX720907 ERR720905:ERT720907 FBN720905:FBP720907 FLJ720905:FLL720907 FVF720905:FVH720907 GFB720905:GFD720907 GOX720905:GOZ720907 GYT720905:GYV720907 HIP720905:HIR720907 HSL720905:HSN720907 ICH720905:ICJ720907 IMD720905:IMF720907 IVZ720905:IWB720907 JFV720905:JFX720907 JPR720905:JPT720907 JZN720905:JZP720907 KJJ720905:KJL720907 KTF720905:KTH720907 LDB720905:LDD720907 LMX720905:LMZ720907 LWT720905:LWV720907 MGP720905:MGR720907 MQL720905:MQN720907 NAH720905:NAJ720907 NKD720905:NKF720907 NTZ720905:NUB720907 ODV720905:ODX720907 ONR720905:ONT720907 OXN720905:OXP720907 PHJ720905:PHL720907 PRF720905:PRH720907 QBB720905:QBD720907 QKX720905:QKZ720907 QUT720905:QUV720907 REP720905:RER720907 ROL720905:RON720907 RYH720905:RYJ720907 SID720905:SIF720907 SRZ720905:SSB720907 TBV720905:TBX720907 TLR720905:TLT720907 TVN720905:TVP720907 UFJ720905:UFL720907 UPF720905:UPH720907 UZB720905:UZD720907 VIX720905:VIZ720907 VST720905:VSV720907 WCP720905:WCR720907 WML720905:WMN720907 WWH720905:WWJ720907 Z786441:AB786443 JV786441:JX786443 TR786441:TT786443 ADN786441:ADP786443 ANJ786441:ANL786443 AXF786441:AXH786443 BHB786441:BHD786443 BQX786441:BQZ786443 CAT786441:CAV786443 CKP786441:CKR786443 CUL786441:CUN786443 DEH786441:DEJ786443 DOD786441:DOF786443 DXZ786441:DYB786443 EHV786441:EHX786443 ERR786441:ERT786443 FBN786441:FBP786443 FLJ786441:FLL786443 FVF786441:FVH786443 GFB786441:GFD786443 GOX786441:GOZ786443 GYT786441:GYV786443 HIP786441:HIR786443 HSL786441:HSN786443 ICH786441:ICJ786443 IMD786441:IMF786443 IVZ786441:IWB786443 JFV786441:JFX786443 JPR786441:JPT786443 JZN786441:JZP786443 KJJ786441:KJL786443 KTF786441:KTH786443 LDB786441:LDD786443 LMX786441:LMZ786443 LWT786441:LWV786443 MGP786441:MGR786443 MQL786441:MQN786443 NAH786441:NAJ786443 NKD786441:NKF786443 NTZ786441:NUB786443 ODV786441:ODX786443 ONR786441:ONT786443 OXN786441:OXP786443 PHJ786441:PHL786443 PRF786441:PRH786443 QBB786441:QBD786443 QKX786441:QKZ786443 QUT786441:QUV786443 REP786441:RER786443 ROL786441:RON786443 RYH786441:RYJ786443 SID786441:SIF786443 SRZ786441:SSB786443 TBV786441:TBX786443 TLR786441:TLT786443 TVN786441:TVP786443 UFJ786441:UFL786443 UPF786441:UPH786443 UZB786441:UZD786443 VIX786441:VIZ786443 VST786441:VSV786443 WCP786441:WCR786443 WML786441:WMN786443 WWH786441:WWJ786443 Z851977:AB851979 JV851977:JX851979 TR851977:TT851979 ADN851977:ADP851979 ANJ851977:ANL851979 AXF851977:AXH851979 BHB851977:BHD851979 BQX851977:BQZ851979 CAT851977:CAV851979 CKP851977:CKR851979 CUL851977:CUN851979 DEH851977:DEJ851979 DOD851977:DOF851979 DXZ851977:DYB851979 EHV851977:EHX851979 ERR851977:ERT851979 FBN851977:FBP851979 FLJ851977:FLL851979 FVF851977:FVH851979 GFB851977:GFD851979 GOX851977:GOZ851979 GYT851977:GYV851979 HIP851977:HIR851979 HSL851977:HSN851979 ICH851977:ICJ851979 IMD851977:IMF851979 IVZ851977:IWB851979 JFV851977:JFX851979 JPR851977:JPT851979 JZN851977:JZP851979 KJJ851977:KJL851979 KTF851977:KTH851979 LDB851977:LDD851979 LMX851977:LMZ851979 LWT851977:LWV851979 MGP851977:MGR851979 MQL851977:MQN851979 NAH851977:NAJ851979 NKD851977:NKF851979 NTZ851977:NUB851979 ODV851977:ODX851979 ONR851977:ONT851979 OXN851977:OXP851979 PHJ851977:PHL851979 PRF851977:PRH851979 QBB851977:QBD851979 QKX851977:QKZ851979 QUT851977:QUV851979 REP851977:RER851979 ROL851977:RON851979 RYH851977:RYJ851979 SID851977:SIF851979 SRZ851977:SSB851979 TBV851977:TBX851979 TLR851977:TLT851979 TVN851977:TVP851979 UFJ851977:UFL851979 UPF851977:UPH851979 UZB851977:UZD851979 VIX851977:VIZ851979 VST851977:VSV851979 WCP851977:WCR851979 WML851977:WMN851979 WWH851977:WWJ851979 Z917513:AB917515 JV917513:JX917515 TR917513:TT917515 ADN917513:ADP917515 ANJ917513:ANL917515 AXF917513:AXH917515 BHB917513:BHD917515 BQX917513:BQZ917515 CAT917513:CAV917515 CKP917513:CKR917515 CUL917513:CUN917515 DEH917513:DEJ917515 DOD917513:DOF917515 DXZ917513:DYB917515 EHV917513:EHX917515 ERR917513:ERT917515 FBN917513:FBP917515 FLJ917513:FLL917515 FVF917513:FVH917515 GFB917513:GFD917515 GOX917513:GOZ917515 GYT917513:GYV917515 HIP917513:HIR917515 HSL917513:HSN917515 ICH917513:ICJ917515 IMD917513:IMF917515 IVZ917513:IWB917515 JFV917513:JFX917515 JPR917513:JPT917515 JZN917513:JZP917515 KJJ917513:KJL917515 KTF917513:KTH917515 LDB917513:LDD917515 LMX917513:LMZ917515 LWT917513:LWV917515 MGP917513:MGR917515 MQL917513:MQN917515 NAH917513:NAJ917515 NKD917513:NKF917515 NTZ917513:NUB917515 ODV917513:ODX917515 ONR917513:ONT917515 OXN917513:OXP917515 PHJ917513:PHL917515 PRF917513:PRH917515 QBB917513:QBD917515 QKX917513:QKZ917515 QUT917513:QUV917515 REP917513:RER917515 ROL917513:RON917515 RYH917513:RYJ917515 SID917513:SIF917515 SRZ917513:SSB917515 TBV917513:TBX917515 TLR917513:TLT917515 TVN917513:TVP917515 UFJ917513:UFL917515 UPF917513:UPH917515 UZB917513:UZD917515 VIX917513:VIZ917515 VST917513:VSV917515 WCP917513:WCR917515 WML917513:WMN917515 WWH917513:WWJ917515 Z983049:AB983051 JV983049:JX983051 TR983049:TT983051 ADN983049:ADP983051 ANJ983049:ANL983051 AXF983049:AXH983051 BHB983049:BHD983051 BQX983049:BQZ983051 CAT983049:CAV983051 CKP983049:CKR983051 CUL983049:CUN983051 DEH983049:DEJ983051 DOD983049:DOF983051 DXZ983049:DYB983051 EHV983049:EHX983051 ERR983049:ERT983051 FBN983049:FBP983051 FLJ983049:FLL983051 FVF983049:FVH983051 GFB983049:GFD983051 GOX983049:GOZ983051 GYT983049:GYV983051 HIP983049:HIR983051 HSL983049:HSN983051 ICH983049:ICJ983051 IMD983049:IMF983051 IVZ983049:IWB983051 JFV983049:JFX983051 JPR983049:JPT983051 JZN983049:JZP983051 KJJ983049:KJL983051 KTF983049:KTH983051 LDB983049:LDD983051 LMX983049:LMZ983051 LWT983049:LWV983051 MGP983049:MGR983051 MQL983049:MQN983051 NAH983049:NAJ983051 NKD983049:NKF983051 NTZ983049:NUB983051 ODV983049:ODX983051 ONR983049:ONT983051 OXN983049:OXP983051 PHJ983049:PHL983051 PRF983049:PRH983051 QBB983049:QBD983051 QKX983049:QKZ983051 QUT983049:QUV983051 REP983049:RER983051 ROL983049:RON983051 RYH983049:RYJ983051 SID983049:SIF983051 SRZ983049:SSB983051 TBV983049:TBX983051 TLR983049:TLT983051 TVN983049:TVP983051 UFJ983049:UFL983051 UPF983049:UPH983051 UZB983049:UZD983051 VIX983049:VIZ983051 VST983049:VSV983051 WCP983049:WCR983051 WML983049:WMN983051 WWH983049:WWJ983051">
      <formula1>$Y$12:$Y$44</formula1>
    </dataValidation>
    <dataValidation type="textLength" allowBlank="1" showInputMessage="1" showErrorMessage="1" sqref="Y37 JU37 TQ37 ADM37 ANI37 AXE37 BHA37 BQW37 CAS37 CKO37 CUK37 DEG37 DOC37 DXY37 EHU37 ERQ37 FBM37 FLI37 FVE37 GFA37 GOW37 GYS37 HIO37 HSK37 ICG37 IMC37 IVY37 JFU37 JPQ37 JZM37 KJI37 KTE37 LDA37 LMW37 LWS37 MGO37 MQK37 NAG37 NKC37 NTY37 ODU37 ONQ37 OXM37 PHI37 PRE37 QBA37 QKW37 QUS37 REO37 ROK37 RYG37 SIC37 SRY37 TBU37 TLQ37 TVM37 UFI37 UPE37 UZA37 VIW37 VSS37 WCO37 WMK37 WWG37 Y65573 JU65573 TQ65573 ADM65573 ANI65573 AXE65573 BHA65573 BQW65573 CAS65573 CKO65573 CUK65573 DEG65573 DOC65573 DXY65573 EHU65573 ERQ65573 FBM65573 FLI65573 FVE65573 GFA65573 GOW65573 GYS65573 HIO65573 HSK65573 ICG65573 IMC65573 IVY65573 JFU65573 JPQ65573 JZM65573 KJI65573 KTE65573 LDA65573 LMW65573 LWS65573 MGO65573 MQK65573 NAG65573 NKC65573 NTY65573 ODU65573 ONQ65573 OXM65573 PHI65573 PRE65573 QBA65573 QKW65573 QUS65573 REO65573 ROK65573 RYG65573 SIC65573 SRY65573 TBU65573 TLQ65573 TVM65573 UFI65573 UPE65573 UZA65573 VIW65573 VSS65573 WCO65573 WMK65573 WWG65573 Y131109 JU131109 TQ131109 ADM131109 ANI131109 AXE131109 BHA131109 BQW131109 CAS131109 CKO131109 CUK131109 DEG131109 DOC131109 DXY131109 EHU131109 ERQ131109 FBM131109 FLI131109 FVE131109 GFA131109 GOW131109 GYS131109 HIO131109 HSK131109 ICG131109 IMC131109 IVY131109 JFU131109 JPQ131109 JZM131109 KJI131109 KTE131109 LDA131109 LMW131109 LWS131109 MGO131109 MQK131109 NAG131109 NKC131109 NTY131109 ODU131109 ONQ131109 OXM131109 PHI131109 PRE131109 QBA131109 QKW131109 QUS131109 REO131109 ROK131109 RYG131109 SIC131109 SRY131109 TBU131109 TLQ131109 TVM131109 UFI131109 UPE131109 UZA131109 VIW131109 VSS131109 WCO131109 WMK131109 WWG131109 Y196645 JU196645 TQ196645 ADM196645 ANI196645 AXE196645 BHA196645 BQW196645 CAS196645 CKO196645 CUK196645 DEG196645 DOC196645 DXY196645 EHU196645 ERQ196645 FBM196645 FLI196645 FVE196645 GFA196645 GOW196645 GYS196645 HIO196645 HSK196645 ICG196645 IMC196645 IVY196645 JFU196645 JPQ196645 JZM196645 KJI196645 KTE196645 LDA196645 LMW196645 LWS196645 MGO196645 MQK196645 NAG196645 NKC196645 NTY196645 ODU196645 ONQ196645 OXM196645 PHI196645 PRE196645 QBA196645 QKW196645 QUS196645 REO196645 ROK196645 RYG196645 SIC196645 SRY196645 TBU196645 TLQ196645 TVM196645 UFI196645 UPE196645 UZA196645 VIW196645 VSS196645 WCO196645 WMK196645 WWG196645 Y262181 JU262181 TQ262181 ADM262181 ANI262181 AXE262181 BHA262181 BQW262181 CAS262181 CKO262181 CUK262181 DEG262181 DOC262181 DXY262181 EHU262181 ERQ262181 FBM262181 FLI262181 FVE262181 GFA262181 GOW262181 GYS262181 HIO262181 HSK262181 ICG262181 IMC262181 IVY262181 JFU262181 JPQ262181 JZM262181 KJI262181 KTE262181 LDA262181 LMW262181 LWS262181 MGO262181 MQK262181 NAG262181 NKC262181 NTY262181 ODU262181 ONQ262181 OXM262181 PHI262181 PRE262181 QBA262181 QKW262181 QUS262181 REO262181 ROK262181 RYG262181 SIC262181 SRY262181 TBU262181 TLQ262181 TVM262181 UFI262181 UPE262181 UZA262181 VIW262181 VSS262181 WCO262181 WMK262181 WWG262181 Y327717 JU327717 TQ327717 ADM327717 ANI327717 AXE327717 BHA327717 BQW327717 CAS327717 CKO327717 CUK327717 DEG327717 DOC327717 DXY327717 EHU327717 ERQ327717 FBM327717 FLI327717 FVE327717 GFA327717 GOW327717 GYS327717 HIO327717 HSK327717 ICG327717 IMC327717 IVY327717 JFU327717 JPQ327717 JZM327717 KJI327717 KTE327717 LDA327717 LMW327717 LWS327717 MGO327717 MQK327717 NAG327717 NKC327717 NTY327717 ODU327717 ONQ327717 OXM327717 PHI327717 PRE327717 QBA327717 QKW327717 QUS327717 REO327717 ROK327717 RYG327717 SIC327717 SRY327717 TBU327717 TLQ327717 TVM327717 UFI327717 UPE327717 UZA327717 VIW327717 VSS327717 WCO327717 WMK327717 WWG327717 Y393253 JU393253 TQ393253 ADM393253 ANI393253 AXE393253 BHA393253 BQW393253 CAS393253 CKO393253 CUK393253 DEG393253 DOC393253 DXY393253 EHU393253 ERQ393253 FBM393253 FLI393253 FVE393253 GFA393253 GOW393253 GYS393253 HIO393253 HSK393253 ICG393253 IMC393253 IVY393253 JFU393253 JPQ393253 JZM393253 KJI393253 KTE393253 LDA393253 LMW393253 LWS393253 MGO393253 MQK393253 NAG393253 NKC393253 NTY393253 ODU393253 ONQ393253 OXM393253 PHI393253 PRE393253 QBA393253 QKW393253 QUS393253 REO393253 ROK393253 RYG393253 SIC393253 SRY393253 TBU393253 TLQ393253 TVM393253 UFI393253 UPE393253 UZA393253 VIW393253 VSS393253 WCO393253 WMK393253 WWG393253 Y458789 JU458789 TQ458789 ADM458789 ANI458789 AXE458789 BHA458789 BQW458789 CAS458789 CKO458789 CUK458789 DEG458789 DOC458789 DXY458789 EHU458789 ERQ458789 FBM458789 FLI458789 FVE458789 GFA458789 GOW458789 GYS458789 HIO458789 HSK458789 ICG458789 IMC458789 IVY458789 JFU458789 JPQ458789 JZM458789 KJI458789 KTE458789 LDA458789 LMW458789 LWS458789 MGO458789 MQK458789 NAG458789 NKC458789 NTY458789 ODU458789 ONQ458789 OXM458789 PHI458789 PRE458789 QBA458789 QKW458789 QUS458789 REO458789 ROK458789 RYG458789 SIC458789 SRY458789 TBU458789 TLQ458789 TVM458789 UFI458789 UPE458789 UZA458789 VIW458789 VSS458789 WCO458789 WMK458789 WWG458789 Y524325 JU524325 TQ524325 ADM524325 ANI524325 AXE524325 BHA524325 BQW524325 CAS524325 CKO524325 CUK524325 DEG524325 DOC524325 DXY524325 EHU524325 ERQ524325 FBM524325 FLI524325 FVE524325 GFA524325 GOW524325 GYS524325 HIO524325 HSK524325 ICG524325 IMC524325 IVY524325 JFU524325 JPQ524325 JZM524325 KJI524325 KTE524325 LDA524325 LMW524325 LWS524325 MGO524325 MQK524325 NAG524325 NKC524325 NTY524325 ODU524325 ONQ524325 OXM524325 PHI524325 PRE524325 QBA524325 QKW524325 QUS524325 REO524325 ROK524325 RYG524325 SIC524325 SRY524325 TBU524325 TLQ524325 TVM524325 UFI524325 UPE524325 UZA524325 VIW524325 VSS524325 WCO524325 WMK524325 WWG524325 Y589861 JU589861 TQ589861 ADM589861 ANI589861 AXE589861 BHA589861 BQW589861 CAS589861 CKO589861 CUK589861 DEG589861 DOC589861 DXY589861 EHU589861 ERQ589861 FBM589861 FLI589861 FVE589861 GFA589861 GOW589861 GYS589861 HIO589861 HSK589861 ICG589861 IMC589861 IVY589861 JFU589861 JPQ589861 JZM589861 KJI589861 KTE589861 LDA589861 LMW589861 LWS589861 MGO589861 MQK589861 NAG589861 NKC589861 NTY589861 ODU589861 ONQ589861 OXM589861 PHI589861 PRE589861 QBA589861 QKW589861 QUS589861 REO589861 ROK589861 RYG589861 SIC589861 SRY589861 TBU589861 TLQ589861 TVM589861 UFI589861 UPE589861 UZA589861 VIW589861 VSS589861 WCO589861 WMK589861 WWG589861 Y655397 JU655397 TQ655397 ADM655397 ANI655397 AXE655397 BHA655397 BQW655397 CAS655397 CKO655397 CUK655397 DEG655397 DOC655397 DXY655397 EHU655397 ERQ655397 FBM655397 FLI655397 FVE655397 GFA655397 GOW655397 GYS655397 HIO655397 HSK655397 ICG655397 IMC655397 IVY655397 JFU655397 JPQ655397 JZM655397 KJI655397 KTE655397 LDA655397 LMW655397 LWS655397 MGO655397 MQK655397 NAG655397 NKC655397 NTY655397 ODU655397 ONQ655397 OXM655397 PHI655397 PRE655397 QBA655397 QKW655397 QUS655397 REO655397 ROK655397 RYG655397 SIC655397 SRY655397 TBU655397 TLQ655397 TVM655397 UFI655397 UPE655397 UZA655397 VIW655397 VSS655397 WCO655397 WMK655397 WWG655397 Y720933 JU720933 TQ720933 ADM720933 ANI720933 AXE720933 BHA720933 BQW720933 CAS720933 CKO720933 CUK720933 DEG720933 DOC720933 DXY720933 EHU720933 ERQ720933 FBM720933 FLI720933 FVE720933 GFA720933 GOW720933 GYS720933 HIO720933 HSK720933 ICG720933 IMC720933 IVY720933 JFU720933 JPQ720933 JZM720933 KJI720933 KTE720933 LDA720933 LMW720933 LWS720933 MGO720933 MQK720933 NAG720933 NKC720933 NTY720933 ODU720933 ONQ720933 OXM720933 PHI720933 PRE720933 QBA720933 QKW720933 QUS720933 REO720933 ROK720933 RYG720933 SIC720933 SRY720933 TBU720933 TLQ720933 TVM720933 UFI720933 UPE720933 UZA720933 VIW720933 VSS720933 WCO720933 WMK720933 WWG720933 Y786469 JU786469 TQ786469 ADM786469 ANI786469 AXE786469 BHA786469 BQW786469 CAS786469 CKO786469 CUK786469 DEG786469 DOC786469 DXY786469 EHU786469 ERQ786469 FBM786469 FLI786469 FVE786469 GFA786469 GOW786469 GYS786469 HIO786469 HSK786469 ICG786469 IMC786469 IVY786469 JFU786469 JPQ786469 JZM786469 KJI786469 KTE786469 LDA786469 LMW786469 LWS786469 MGO786469 MQK786469 NAG786469 NKC786469 NTY786469 ODU786469 ONQ786469 OXM786469 PHI786469 PRE786469 QBA786469 QKW786469 QUS786469 REO786469 ROK786469 RYG786469 SIC786469 SRY786469 TBU786469 TLQ786469 TVM786469 UFI786469 UPE786469 UZA786469 VIW786469 VSS786469 WCO786469 WMK786469 WWG786469 Y852005 JU852005 TQ852005 ADM852005 ANI852005 AXE852005 BHA852005 BQW852005 CAS852005 CKO852005 CUK852005 DEG852005 DOC852005 DXY852005 EHU852005 ERQ852005 FBM852005 FLI852005 FVE852005 GFA852005 GOW852005 GYS852005 HIO852005 HSK852005 ICG852005 IMC852005 IVY852005 JFU852005 JPQ852005 JZM852005 KJI852005 KTE852005 LDA852005 LMW852005 LWS852005 MGO852005 MQK852005 NAG852005 NKC852005 NTY852005 ODU852005 ONQ852005 OXM852005 PHI852005 PRE852005 QBA852005 QKW852005 QUS852005 REO852005 ROK852005 RYG852005 SIC852005 SRY852005 TBU852005 TLQ852005 TVM852005 UFI852005 UPE852005 UZA852005 VIW852005 VSS852005 WCO852005 WMK852005 WWG852005 Y917541 JU917541 TQ917541 ADM917541 ANI917541 AXE917541 BHA917541 BQW917541 CAS917541 CKO917541 CUK917541 DEG917541 DOC917541 DXY917541 EHU917541 ERQ917541 FBM917541 FLI917541 FVE917541 GFA917541 GOW917541 GYS917541 HIO917541 HSK917541 ICG917541 IMC917541 IVY917541 JFU917541 JPQ917541 JZM917541 KJI917541 KTE917541 LDA917541 LMW917541 LWS917541 MGO917541 MQK917541 NAG917541 NKC917541 NTY917541 ODU917541 ONQ917541 OXM917541 PHI917541 PRE917541 QBA917541 QKW917541 QUS917541 REO917541 ROK917541 RYG917541 SIC917541 SRY917541 TBU917541 TLQ917541 TVM917541 UFI917541 UPE917541 UZA917541 VIW917541 VSS917541 WCO917541 WMK917541 WWG917541 Y983077 JU983077 TQ983077 ADM983077 ANI983077 AXE983077 BHA983077 BQW983077 CAS983077 CKO983077 CUK983077 DEG983077 DOC983077 DXY983077 EHU983077 ERQ983077 FBM983077 FLI983077 FVE983077 GFA983077 GOW983077 GYS983077 HIO983077 HSK983077 ICG983077 IMC983077 IVY983077 JFU983077 JPQ983077 JZM983077 KJI983077 KTE983077 LDA983077 LMW983077 LWS983077 MGO983077 MQK983077 NAG983077 NKC983077 NTY983077 ODU983077 ONQ983077 OXM983077 PHI983077 PRE983077 QBA983077 QKW983077 QUS983077 REO983077 ROK983077 RYG983077 SIC983077 SRY983077 TBU983077 TLQ983077 TVM983077 UFI983077 UPE983077 UZA983077 VIW983077 VSS983077 WCO983077 WMK983077 WWG983077">
      <formula1>Y10</formula1>
      <formula2>Y46</formula2>
    </dataValidation>
    <dataValidation type="list" allowBlank="1" showInputMessage="1" showErrorMessage="1" sqref="W9:W11 JS9:JS11 TO9:TO11 ADK9:ADK11 ANG9:ANG11 AXC9:AXC11 BGY9:BGY11 BQU9:BQU11 CAQ9:CAQ11 CKM9:CKM11 CUI9:CUI11 DEE9:DEE11 DOA9:DOA11 DXW9:DXW11 EHS9:EHS11 ERO9:ERO11 FBK9:FBK11 FLG9:FLG11 FVC9:FVC11 GEY9:GEY11 GOU9:GOU11 GYQ9:GYQ11 HIM9:HIM11 HSI9:HSI11 ICE9:ICE11 IMA9:IMA11 IVW9:IVW11 JFS9:JFS11 JPO9:JPO11 JZK9:JZK11 KJG9:KJG11 KTC9:KTC11 LCY9:LCY11 LMU9:LMU11 LWQ9:LWQ11 MGM9:MGM11 MQI9:MQI11 NAE9:NAE11 NKA9:NKA11 NTW9:NTW11 ODS9:ODS11 ONO9:ONO11 OXK9:OXK11 PHG9:PHG11 PRC9:PRC11 QAY9:QAY11 QKU9:QKU11 QUQ9:QUQ11 REM9:REM11 ROI9:ROI11 RYE9:RYE11 SIA9:SIA11 SRW9:SRW11 TBS9:TBS11 TLO9:TLO11 TVK9:TVK11 UFG9:UFG11 UPC9:UPC11 UYY9:UYY11 VIU9:VIU11 VSQ9:VSQ11 WCM9:WCM11 WMI9:WMI11 WWE9:WWE11 W65545:W65547 JS65545:JS65547 TO65545:TO65547 ADK65545:ADK65547 ANG65545:ANG65547 AXC65545:AXC65547 BGY65545:BGY65547 BQU65545:BQU65547 CAQ65545:CAQ65547 CKM65545:CKM65547 CUI65545:CUI65547 DEE65545:DEE65547 DOA65545:DOA65547 DXW65545:DXW65547 EHS65545:EHS65547 ERO65545:ERO65547 FBK65545:FBK65547 FLG65545:FLG65547 FVC65545:FVC65547 GEY65545:GEY65547 GOU65545:GOU65547 GYQ65545:GYQ65547 HIM65545:HIM65547 HSI65545:HSI65547 ICE65545:ICE65547 IMA65545:IMA65547 IVW65545:IVW65547 JFS65545:JFS65547 JPO65545:JPO65547 JZK65545:JZK65547 KJG65545:KJG65547 KTC65545:KTC65547 LCY65545:LCY65547 LMU65545:LMU65547 LWQ65545:LWQ65547 MGM65545:MGM65547 MQI65545:MQI65547 NAE65545:NAE65547 NKA65545:NKA65547 NTW65545:NTW65547 ODS65545:ODS65547 ONO65545:ONO65547 OXK65545:OXK65547 PHG65545:PHG65547 PRC65545:PRC65547 QAY65545:QAY65547 QKU65545:QKU65547 QUQ65545:QUQ65547 REM65545:REM65547 ROI65545:ROI65547 RYE65545:RYE65547 SIA65545:SIA65547 SRW65545:SRW65547 TBS65545:TBS65547 TLO65545:TLO65547 TVK65545:TVK65547 UFG65545:UFG65547 UPC65545:UPC65547 UYY65545:UYY65547 VIU65545:VIU65547 VSQ65545:VSQ65547 WCM65545:WCM65547 WMI65545:WMI65547 WWE65545:WWE65547 W131081:W131083 JS131081:JS131083 TO131081:TO131083 ADK131081:ADK131083 ANG131081:ANG131083 AXC131081:AXC131083 BGY131081:BGY131083 BQU131081:BQU131083 CAQ131081:CAQ131083 CKM131081:CKM131083 CUI131081:CUI131083 DEE131081:DEE131083 DOA131081:DOA131083 DXW131081:DXW131083 EHS131081:EHS131083 ERO131081:ERO131083 FBK131081:FBK131083 FLG131081:FLG131083 FVC131081:FVC131083 GEY131081:GEY131083 GOU131081:GOU131083 GYQ131081:GYQ131083 HIM131081:HIM131083 HSI131081:HSI131083 ICE131081:ICE131083 IMA131081:IMA131083 IVW131081:IVW131083 JFS131081:JFS131083 JPO131081:JPO131083 JZK131081:JZK131083 KJG131081:KJG131083 KTC131081:KTC131083 LCY131081:LCY131083 LMU131081:LMU131083 LWQ131081:LWQ131083 MGM131081:MGM131083 MQI131081:MQI131083 NAE131081:NAE131083 NKA131081:NKA131083 NTW131081:NTW131083 ODS131081:ODS131083 ONO131081:ONO131083 OXK131081:OXK131083 PHG131081:PHG131083 PRC131081:PRC131083 QAY131081:QAY131083 QKU131081:QKU131083 QUQ131081:QUQ131083 REM131081:REM131083 ROI131081:ROI131083 RYE131081:RYE131083 SIA131081:SIA131083 SRW131081:SRW131083 TBS131081:TBS131083 TLO131081:TLO131083 TVK131081:TVK131083 UFG131081:UFG131083 UPC131081:UPC131083 UYY131081:UYY131083 VIU131081:VIU131083 VSQ131081:VSQ131083 WCM131081:WCM131083 WMI131081:WMI131083 WWE131081:WWE131083 W196617:W196619 JS196617:JS196619 TO196617:TO196619 ADK196617:ADK196619 ANG196617:ANG196619 AXC196617:AXC196619 BGY196617:BGY196619 BQU196617:BQU196619 CAQ196617:CAQ196619 CKM196617:CKM196619 CUI196617:CUI196619 DEE196617:DEE196619 DOA196617:DOA196619 DXW196617:DXW196619 EHS196617:EHS196619 ERO196617:ERO196619 FBK196617:FBK196619 FLG196617:FLG196619 FVC196617:FVC196619 GEY196617:GEY196619 GOU196617:GOU196619 GYQ196617:GYQ196619 HIM196617:HIM196619 HSI196617:HSI196619 ICE196617:ICE196619 IMA196617:IMA196619 IVW196617:IVW196619 JFS196617:JFS196619 JPO196617:JPO196619 JZK196617:JZK196619 KJG196617:KJG196619 KTC196617:KTC196619 LCY196617:LCY196619 LMU196617:LMU196619 LWQ196617:LWQ196619 MGM196617:MGM196619 MQI196617:MQI196619 NAE196617:NAE196619 NKA196617:NKA196619 NTW196617:NTW196619 ODS196617:ODS196619 ONO196617:ONO196619 OXK196617:OXK196619 PHG196617:PHG196619 PRC196617:PRC196619 QAY196617:QAY196619 QKU196617:QKU196619 QUQ196617:QUQ196619 REM196617:REM196619 ROI196617:ROI196619 RYE196617:RYE196619 SIA196617:SIA196619 SRW196617:SRW196619 TBS196617:TBS196619 TLO196617:TLO196619 TVK196617:TVK196619 UFG196617:UFG196619 UPC196617:UPC196619 UYY196617:UYY196619 VIU196617:VIU196619 VSQ196617:VSQ196619 WCM196617:WCM196619 WMI196617:WMI196619 WWE196617:WWE196619 W262153:W262155 JS262153:JS262155 TO262153:TO262155 ADK262153:ADK262155 ANG262153:ANG262155 AXC262153:AXC262155 BGY262153:BGY262155 BQU262153:BQU262155 CAQ262153:CAQ262155 CKM262153:CKM262155 CUI262153:CUI262155 DEE262153:DEE262155 DOA262153:DOA262155 DXW262153:DXW262155 EHS262153:EHS262155 ERO262153:ERO262155 FBK262153:FBK262155 FLG262153:FLG262155 FVC262153:FVC262155 GEY262153:GEY262155 GOU262153:GOU262155 GYQ262153:GYQ262155 HIM262153:HIM262155 HSI262153:HSI262155 ICE262153:ICE262155 IMA262153:IMA262155 IVW262153:IVW262155 JFS262153:JFS262155 JPO262153:JPO262155 JZK262153:JZK262155 KJG262153:KJG262155 KTC262153:KTC262155 LCY262153:LCY262155 LMU262153:LMU262155 LWQ262153:LWQ262155 MGM262153:MGM262155 MQI262153:MQI262155 NAE262153:NAE262155 NKA262153:NKA262155 NTW262153:NTW262155 ODS262153:ODS262155 ONO262153:ONO262155 OXK262153:OXK262155 PHG262153:PHG262155 PRC262153:PRC262155 QAY262153:QAY262155 QKU262153:QKU262155 QUQ262153:QUQ262155 REM262153:REM262155 ROI262153:ROI262155 RYE262153:RYE262155 SIA262153:SIA262155 SRW262153:SRW262155 TBS262153:TBS262155 TLO262153:TLO262155 TVK262153:TVK262155 UFG262153:UFG262155 UPC262153:UPC262155 UYY262153:UYY262155 VIU262153:VIU262155 VSQ262153:VSQ262155 WCM262153:WCM262155 WMI262153:WMI262155 WWE262153:WWE262155 W327689:W327691 JS327689:JS327691 TO327689:TO327691 ADK327689:ADK327691 ANG327689:ANG327691 AXC327689:AXC327691 BGY327689:BGY327691 BQU327689:BQU327691 CAQ327689:CAQ327691 CKM327689:CKM327691 CUI327689:CUI327691 DEE327689:DEE327691 DOA327689:DOA327691 DXW327689:DXW327691 EHS327689:EHS327691 ERO327689:ERO327691 FBK327689:FBK327691 FLG327689:FLG327691 FVC327689:FVC327691 GEY327689:GEY327691 GOU327689:GOU327691 GYQ327689:GYQ327691 HIM327689:HIM327691 HSI327689:HSI327691 ICE327689:ICE327691 IMA327689:IMA327691 IVW327689:IVW327691 JFS327689:JFS327691 JPO327689:JPO327691 JZK327689:JZK327691 KJG327689:KJG327691 KTC327689:KTC327691 LCY327689:LCY327691 LMU327689:LMU327691 LWQ327689:LWQ327691 MGM327689:MGM327691 MQI327689:MQI327691 NAE327689:NAE327691 NKA327689:NKA327691 NTW327689:NTW327691 ODS327689:ODS327691 ONO327689:ONO327691 OXK327689:OXK327691 PHG327689:PHG327691 PRC327689:PRC327691 QAY327689:QAY327691 QKU327689:QKU327691 QUQ327689:QUQ327691 REM327689:REM327691 ROI327689:ROI327691 RYE327689:RYE327691 SIA327689:SIA327691 SRW327689:SRW327691 TBS327689:TBS327691 TLO327689:TLO327691 TVK327689:TVK327691 UFG327689:UFG327691 UPC327689:UPC327691 UYY327689:UYY327691 VIU327689:VIU327691 VSQ327689:VSQ327691 WCM327689:WCM327691 WMI327689:WMI327691 WWE327689:WWE327691 W393225:W393227 JS393225:JS393227 TO393225:TO393227 ADK393225:ADK393227 ANG393225:ANG393227 AXC393225:AXC393227 BGY393225:BGY393227 BQU393225:BQU393227 CAQ393225:CAQ393227 CKM393225:CKM393227 CUI393225:CUI393227 DEE393225:DEE393227 DOA393225:DOA393227 DXW393225:DXW393227 EHS393225:EHS393227 ERO393225:ERO393227 FBK393225:FBK393227 FLG393225:FLG393227 FVC393225:FVC393227 GEY393225:GEY393227 GOU393225:GOU393227 GYQ393225:GYQ393227 HIM393225:HIM393227 HSI393225:HSI393227 ICE393225:ICE393227 IMA393225:IMA393227 IVW393225:IVW393227 JFS393225:JFS393227 JPO393225:JPO393227 JZK393225:JZK393227 KJG393225:KJG393227 KTC393225:KTC393227 LCY393225:LCY393227 LMU393225:LMU393227 LWQ393225:LWQ393227 MGM393225:MGM393227 MQI393225:MQI393227 NAE393225:NAE393227 NKA393225:NKA393227 NTW393225:NTW393227 ODS393225:ODS393227 ONO393225:ONO393227 OXK393225:OXK393227 PHG393225:PHG393227 PRC393225:PRC393227 QAY393225:QAY393227 QKU393225:QKU393227 QUQ393225:QUQ393227 REM393225:REM393227 ROI393225:ROI393227 RYE393225:RYE393227 SIA393225:SIA393227 SRW393225:SRW393227 TBS393225:TBS393227 TLO393225:TLO393227 TVK393225:TVK393227 UFG393225:UFG393227 UPC393225:UPC393227 UYY393225:UYY393227 VIU393225:VIU393227 VSQ393225:VSQ393227 WCM393225:WCM393227 WMI393225:WMI393227 WWE393225:WWE393227 W458761:W458763 JS458761:JS458763 TO458761:TO458763 ADK458761:ADK458763 ANG458761:ANG458763 AXC458761:AXC458763 BGY458761:BGY458763 BQU458761:BQU458763 CAQ458761:CAQ458763 CKM458761:CKM458763 CUI458761:CUI458763 DEE458761:DEE458763 DOA458761:DOA458763 DXW458761:DXW458763 EHS458761:EHS458763 ERO458761:ERO458763 FBK458761:FBK458763 FLG458761:FLG458763 FVC458761:FVC458763 GEY458761:GEY458763 GOU458761:GOU458763 GYQ458761:GYQ458763 HIM458761:HIM458763 HSI458761:HSI458763 ICE458761:ICE458763 IMA458761:IMA458763 IVW458761:IVW458763 JFS458761:JFS458763 JPO458761:JPO458763 JZK458761:JZK458763 KJG458761:KJG458763 KTC458761:KTC458763 LCY458761:LCY458763 LMU458761:LMU458763 LWQ458761:LWQ458763 MGM458761:MGM458763 MQI458761:MQI458763 NAE458761:NAE458763 NKA458761:NKA458763 NTW458761:NTW458763 ODS458761:ODS458763 ONO458761:ONO458763 OXK458761:OXK458763 PHG458761:PHG458763 PRC458761:PRC458763 QAY458761:QAY458763 QKU458761:QKU458763 QUQ458761:QUQ458763 REM458761:REM458763 ROI458761:ROI458763 RYE458761:RYE458763 SIA458761:SIA458763 SRW458761:SRW458763 TBS458761:TBS458763 TLO458761:TLO458763 TVK458761:TVK458763 UFG458761:UFG458763 UPC458761:UPC458763 UYY458761:UYY458763 VIU458761:VIU458763 VSQ458761:VSQ458763 WCM458761:WCM458763 WMI458761:WMI458763 WWE458761:WWE458763 W524297:W524299 JS524297:JS524299 TO524297:TO524299 ADK524297:ADK524299 ANG524297:ANG524299 AXC524297:AXC524299 BGY524297:BGY524299 BQU524297:BQU524299 CAQ524297:CAQ524299 CKM524297:CKM524299 CUI524297:CUI524299 DEE524297:DEE524299 DOA524297:DOA524299 DXW524297:DXW524299 EHS524297:EHS524299 ERO524297:ERO524299 FBK524297:FBK524299 FLG524297:FLG524299 FVC524297:FVC524299 GEY524297:GEY524299 GOU524297:GOU524299 GYQ524297:GYQ524299 HIM524297:HIM524299 HSI524297:HSI524299 ICE524297:ICE524299 IMA524297:IMA524299 IVW524297:IVW524299 JFS524297:JFS524299 JPO524297:JPO524299 JZK524297:JZK524299 KJG524297:KJG524299 KTC524297:KTC524299 LCY524297:LCY524299 LMU524297:LMU524299 LWQ524297:LWQ524299 MGM524297:MGM524299 MQI524297:MQI524299 NAE524297:NAE524299 NKA524297:NKA524299 NTW524297:NTW524299 ODS524297:ODS524299 ONO524297:ONO524299 OXK524297:OXK524299 PHG524297:PHG524299 PRC524297:PRC524299 QAY524297:QAY524299 QKU524297:QKU524299 QUQ524297:QUQ524299 REM524297:REM524299 ROI524297:ROI524299 RYE524297:RYE524299 SIA524297:SIA524299 SRW524297:SRW524299 TBS524297:TBS524299 TLO524297:TLO524299 TVK524297:TVK524299 UFG524297:UFG524299 UPC524297:UPC524299 UYY524297:UYY524299 VIU524297:VIU524299 VSQ524297:VSQ524299 WCM524297:WCM524299 WMI524297:WMI524299 WWE524297:WWE524299 W589833:W589835 JS589833:JS589835 TO589833:TO589835 ADK589833:ADK589835 ANG589833:ANG589835 AXC589833:AXC589835 BGY589833:BGY589835 BQU589833:BQU589835 CAQ589833:CAQ589835 CKM589833:CKM589835 CUI589833:CUI589835 DEE589833:DEE589835 DOA589833:DOA589835 DXW589833:DXW589835 EHS589833:EHS589835 ERO589833:ERO589835 FBK589833:FBK589835 FLG589833:FLG589835 FVC589833:FVC589835 GEY589833:GEY589835 GOU589833:GOU589835 GYQ589833:GYQ589835 HIM589833:HIM589835 HSI589833:HSI589835 ICE589833:ICE589835 IMA589833:IMA589835 IVW589833:IVW589835 JFS589833:JFS589835 JPO589833:JPO589835 JZK589833:JZK589835 KJG589833:KJG589835 KTC589833:KTC589835 LCY589833:LCY589835 LMU589833:LMU589835 LWQ589833:LWQ589835 MGM589833:MGM589835 MQI589833:MQI589835 NAE589833:NAE589835 NKA589833:NKA589835 NTW589833:NTW589835 ODS589833:ODS589835 ONO589833:ONO589835 OXK589833:OXK589835 PHG589833:PHG589835 PRC589833:PRC589835 QAY589833:QAY589835 QKU589833:QKU589835 QUQ589833:QUQ589835 REM589833:REM589835 ROI589833:ROI589835 RYE589833:RYE589835 SIA589833:SIA589835 SRW589833:SRW589835 TBS589833:TBS589835 TLO589833:TLO589835 TVK589833:TVK589835 UFG589833:UFG589835 UPC589833:UPC589835 UYY589833:UYY589835 VIU589833:VIU589835 VSQ589833:VSQ589835 WCM589833:WCM589835 WMI589833:WMI589835 WWE589833:WWE589835 W655369:W655371 JS655369:JS655371 TO655369:TO655371 ADK655369:ADK655371 ANG655369:ANG655371 AXC655369:AXC655371 BGY655369:BGY655371 BQU655369:BQU655371 CAQ655369:CAQ655371 CKM655369:CKM655371 CUI655369:CUI655371 DEE655369:DEE655371 DOA655369:DOA655371 DXW655369:DXW655371 EHS655369:EHS655371 ERO655369:ERO655371 FBK655369:FBK655371 FLG655369:FLG655371 FVC655369:FVC655371 GEY655369:GEY655371 GOU655369:GOU655371 GYQ655369:GYQ655371 HIM655369:HIM655371 HSI655369:HSI655371 ICE655369:ICE655371 IMA655369:IMA655371 IVW655369:IVW655371 JFS655369:JFS655371 JPO655369:JPO655371 JZK655369:JZK655371 KJG655369:KJG655371 KTC655369:KTC655371 LCY655369:LCY655371 LMU655369:LMU655371 LWQ655369:LWQ655371 MGM655369:MGM655371 MQI655369:MQI655371 NAE655369:NAE655371 NKA655369:NKA655371 NTW655369:NTW655371 ODS655369:ODS655371 ONO655369:ONO655371 OXK655369:OXK655371 PHG655369:PHG655371 PRC655369:PRC655371 QAY655369:QAY655371 QKU655369:QKU655371 QUQ655369:QUQ655371 REM655369:REM655371 ROI655369:ROI655371 RYE655369:RYE655371 SIA655369:SIA655371 SRW655369:SRW655371 TBS655369:TBS655371 TLO655369:TLO655371 TVK655369:TVK655371 UFG655369:UFG655371 UPC655369:UPC655371 UYY655369:UYY655371 VIU655369:VIU655371 VSQ655369:VSQ655371 WCM655369:WCM655371 WMI655369:WMI655371 WWE655369:WWE655371 W720905:W720907 JS720905:JS720907 TO720905:TO720907 ADK720905:ADK720907 ANG720905:ANG720907 AXC720905:AXC720907 BGY720905:BGY720907 BQU720905:BQU720907 CAQ720905:CAQ720907 CKM720905:CKM720907 CUI720905:CUI720907 DEE720905:DEE720907 DOA720905:DOA720907 DXW720905:DXW720907 EHS720905:EHS720907 ERO720905:ERO720907 FBK720905:FBK720907 FLG720905:FLG720907 FVC720905:FVC720907 GEY720905:GEY720907 GOU720905:GOU720907 GYQ720905:GYQ720907 HIM720905:HIM720907 HSI720905:HSI720907 ICE720905:ICE720907 IMA720905:IMA720907 IVW720905:IVW720907 JFS720905:JFS720907 JPO720905:JPO720907 JZK720905:JZK720907 KJG720905:KJG720907 KTC720905:KTC720907 LCY720905:LCY720907 LMU720905:LMU720907 LWQ720905:LWQ720907 MGM720905:MGM720907 MQI720905:MQI720907 NAE720905:NAE720907 NKA720905:NKA720907 NTW720905:NTW720907 ODS720905:ODS720907 ONO720905:ONO720907 OXK720905:OXK720907 PHG720905:PHG720907 PRC720905:PRC720907 QAY720905:QAY720907 QKU720905:QKU720907 QUQ720905:QUQ720907 REM720905:REM720907 ROI720905:ROI720907 RYE720905:RYE720907 SIA720905:SIA720907 SRW720905:SRW720907 TBS720905:TBS720907 TLO720905:TLO720907 TVK720905:TVK720907 UFG720905:UFG720907 UPC720905:UPC720907 UYY720905:UYY720907 VIU720905:VIU720907 VSQ720905:VSQ720907 WCM720905:WCM720907 WMI720905:WMI720907 WWE720905:WWE720907 W786441:W786443 JS786441:JS786443 TO786441:TO786443 ADK786441:ADK786443 ANG786441:ANG786443 AXC786441:AXC786443 BGY786441:BGY786443 BQU786441:BQU786443 CAQ786441:CAQ786443 CKM786441:CKM786443 CUI786441:CUI786443 DEE786441:DEE786443 DOA786441:DOA786443 DXW786441:DXW786443 EHS786441:EHS786443 ERO786441:ERO786443 FBK786441:FBK786443 FLG786441:FLG786443 FVC786441:FVC786443 GEY786441:GEY786443 GOU786441:GOU786443 GYQ786441:GYQ786443 HIM786441:HIM786443 HSI786441:HSI786443 ICE786441:ICE786443 IMA786441:IMA786443 IVW786441:IVW786443 JFS786441:JFS786443 JPO786441:JPO786443 JZK786441:JZK786443 KJG786441:KJG786443 KTC786441:KTC786443 LCY786441:LCY786443 LMU786441:LMU786443 LWQ786441:LWQ786443 MGM786441:MGM786443 MQI786441:MQI786443 NAE786441:NAE786443 NKA786441:NKA786443 NTW786441:NTW786443 ODS786441:ODS786443 ONO786441:ONO786443 OXK786441:OXK786443 PHG786441:PHG786443 PRC786441:PRC786443 QAY786441:QAY786443 QKU786441:QKU786443 QUQ786441:QUQ786443 REM786441:REM786443 ROI786441:ROI786443 RYE786441:RYE786443 SIA786441:SIA786443 SRW786441:SRW786443 TBS786441:TBS786443 TLO786441:TLO786443 TVK786441:TVK786443 UFG786441:UFG786443 UPC786441:UPC786443 UYY786441:UYY786443 VIU786441:VIU786443 VSQ786441:VSQ786443 WCM786441:WCM786443 WMI786441:WMI786443 WWE786441:WWE786443 W851977:W851979 JS851977:JS851979 TO851977:TO851979 ADK851977:ADK851979 ANG851977:ANG851979 AXC851977:AXC851979 BGY851977:BGY851979 BQU851977:BQU851979 CAQ851977:CAQ851979 CKM851977:CKM851979 CUI851977:CUI851979 DEE851977:DEE851979 DOA851977:DOA851979 DXW851977:DXW851979 EHS851977:EHS851979 ERO851977:ERO851979 FBK851977:FBK851979 FLG851977:FLG851979 FVC851977:FVC851979 GEY851977:GEY851979 GOU851977:GOU851979 GYQ851977:GYQ851979 HIM851977:HIM851979 HSI851977:HSI851979 ICE851977:ICE851979 IMA851977:IMA851979 IVW851977:IVW851979 JFS851977:JFS851979 JPO851977:JPO851979 JZK851977:JZK851979 KJG851977:KJG851979 KTC851977:KTC851979 LCY851977:LCY851979 LMU851977:LMU851979 LWQ851977:LWQ851979 MGM851977:MGM851979 MQI851977:MQI851979 NAE851977:NAE851979 NKA851977:NKA851979 NTW851977:NTW851979 ODS851977:ODS851979 ONO851977:ONO851979 OXK851977:OXK851979 PHG851977:PHG851979 PRC851977:PRC851979 QAY851977:QAY851979 QKU851977:QKU851979 QUQ851977:QUQ851979 REM851977:REM851979 ROI851977:ROI851979 RYE851977:RYE851979 SIA851977:SIA851979 SRW851977:SRW851979 TBS851977:TBS851979 TLO851977:TLO851979 TVK851977:TVK851979 UFG851977:UFG851979 UPC851977:UPC851979 UYY851977:UYY851979 VIU851977:VIU851979 VSQ851977:VSQ851979 WCM851977:WCM851979 WMI851977:WMI851979 WWE851977:WWE851979 W917513:W917515 JS917513:JS917515 TO917513:TO917515 ADK917513:ADK917515 ANG917513:ANG917515 AXC917513:AXC917515 BGY917513:BGY917515 BQU917513:BQU917515 CAQ917513:CAQ917515 CKM917513:CKM917515 CUI917513:CUI917515 DEE917513:DEE917515 DOA917513:DOA917515 DXW917513:DXW917515 EHS917513:EHS917515 ERO917513:ERO917515 FBK917513:FBK917515 FLG917513:FLG917515 FVC917513:FVC917515 GEY917513:GEY917515 GOU917513:GOU917515 GYQ917513:GYQ917515 HIM917513:HIM917515 HSI917513:HSI917515 ICE917513:ICE917515 IMA917513:IMA917515 IVW917513:IVW917515 JFS917513:JFS917515 JPO917513:JPO917515 JZK917513:JZK917515 KJG917513:KJG917515 KTC917513:KTC917515 LCY917513:LCY917515 LMU917513:LMU917515 LWQ917513:LWQ917515 MGM917513:MGM917515 MQI917513:MQI917515 NAE917513:NAE917515 NKA917513:NKA917515 NTW917513:NTW917515 ODS917513:ODS917515 ONO917513:ONO917515 OXK917513:OXK917515 PHG917513:PHG917515 PRC917513:PRC917515 QAY917513:QAY917515 QKU917513:QKU917515 QUQ917513:QUQ917515 REM917513:REM917515 ROI917513:ROI917515 RYE917513:RYE917515 SIA917513:SIA917515 SRW917513:SRW917515 TBS917513:TBS917515 TLO917513:TLO917515 TVK917513:TVK917515 UFG917513:UFG917515 UPC917513:UPC917515 UYY917513:UYY917515 VIU917513:VIU917515 VSQ917513:VSQ917515 WCM917513:WCM917515 WMI917513:WMI917515 WWE917513:WWE917515 W983049:W983051 JS983049:JS983051 TO983049:TO983051 ADK983049:ADK983051 ANG983049:ANG983051 AXC983049:AXC983051 BGY983049:BGY983051 BQU983049:BQU983051 CAQ983049:CAQ983051 CKM983049:CKM983051 CUI983049:CUI983051 DEE983049:DEE983051 DOA983049:DOA983051 DXW983049:DXW983051 EHS983049:EHS983051 ERO983049:ERO983051 FBK983049:FBK983051 FLG983049:FLG983051 FVC983049:FVC983051 GEY983049:GEY983051 GOU983049:GOU983051 GYQ983049:GYQ983051 HIM983049:HIM983051 HSI983049:HSI983051 ICE983049:ICE983051 IMA983049:IMA983051 IVW983049:IVW983051 JFS983049:JFS983051 JPO983049:JPO983051 JZK983049:JZK983051 KJG983049:KJG983051 KTC983049:KTC983051 LCY983049:LCY983051 LMU983049:LMU983051 LWQ983049:LWQ983051 MGM983049:MGM983051 MQI983049:MQI983051 NAE983049:NAE983051 NKA983049:NKA983051 NTW983049:NTW983051 ODS983049:ODS983051 ONO983049:ONO983051 OXK983049:OXK983051 PHG983049:PHG983051 PRC983049:PRC983051 QAY983049:QAY983051 QKU983049:QKU983051 QUQ983049:QUQ983051 REM983049:REM983051 ROI983049:ROI983051 RYE983049:RYE983051 SIA983049:SIA983051 SRW983049:SRW983051 TBS983049:TBS983051 TLO983049:TLO983051 TVK983049:TVK983051 UFG983049:UFG983051 UPC983049:UPC983051 UYY983049:UYY983051 VIU983049:VIU983051 VSQ983049:VSQ983051 WCM983049:WCM983051 WMI983049:WMI983051 WWE983049:WWE983051">
      <formula1>$W$12:$W$23</formula1>
    </dataValidation>
    <dataValidation type="list" allowBlank="1" showInputMessage="1" showErrorMessage="1" sqref="D34 IZ34 SV34 ACR34 AMN34 AWJ34 BGF34 BQB34 BZX34 CJT34 CTP34 DDL34 DNH34 DXD34 EGZ34 EQV34 FAR34 FKN34 FUJ34 GEF34 GOB34 GXX34 HHT34 HRP34 IBL34 ILH34 IVD34 JEZ34 JOV34 JYR34 KIN34 KSJ34 LCF34 LMB34 LVX34 MFT34 MPP34 MZL34 NJH34 NTD34 OCZ34 OMV34 OWR34 PGN34 PQJ34 QAF34 QKB34 QTX34 RDT34 RNP34 RXL34 SHH34 SRD34 TAZ34 TKV34 TUR34 UEN34 UOJ34 UYF34 VIB34 VRX34 WBT34 WLP34 WVL34 D65570 IZ65570 SV65570 ACR65570 AMN65570 AWJ65570 BGF65570 BQB65570 BZX65570 CJT65570 CTP65570 DDL65570 DNH65570 DXD65570 EGZ65570 EQV65570 FAR65570 FKN65570 FUJ65570 GEF65570 GOB65570 GXX65570 HHT65570 HRP65570 IBL65570 ILH65570 IVD65570 JEZ65570 JOV65570 JYR65570 KIN65570 KSJ65570 LCF65570 LMB65570 LVX65570 MFT65570 MPP65570 MZL65570 NJH65570 NTD65570 OCZ65570 OMV65570 OWR65570 PGN65570 PQJ65570 QAF65570 QKB65570 QTX65570 RDT65570 RNP65570 RXL65570 SHH65570 SRD65570 TAZ65570 TKV65570 TUR65570 UEN65570 UOJ65570 UYF65570 VIB65570 VRX65570 WBT65570 WLP65570 WVL65570 D131106 IZ131106 SV131106 ACR131106 AMN131106 AWJ131106 BGF131106 BQB131106 BZX131106 CJT131106 CTP131106 DDL131106 DNH131106 DXD131106 EGZ131106 EQV131106 FAR131106 FKN131106 FUJ131106 GEF131106 GOB131106 GXX131106 HHT131106 HRP131106 IBL131106 ILH131106 IVD131106 JEZ131106 JOV131106 JYR131106 KIN131106 KSJ131106 LCF131106 LMB131106 LVX131106 MFT131106 MPP131106 MZL131106 NJH131106 NTD131106 OCZ131106 OMV131106 OWR131106 PGN131106 PQJ131106 QAF131106 QKB131106 QTX131106 RDT131106 RNP131106 RXL131106 SHH131106 SRD131106 TAZ131106 TKV131106 TUR131106 UEN131106 UOJ131106 UYF131106 VIB131106 VRX131106 WBT131106 WLP131106 WVL131106 D196642 IZ196642 SV196642 ACR196642 AMN196642 AWJ196642 BGF196642 BQB196642 BZX196642 CJT196642 CTP196642 DDL196642 DNH196642 DXD196642 EGZ196642 EQV196642 FAR196642 FKN196642 FUJ196642 GEF196642 GOB196642 GXX196642 HHT196642 HRP196642 IBL196642 ILH196642 IVD196642 JEZ196642 JOV196642 JYR196642 KIN196642 KSJ196642 LCF196642 LMB196642 LVX196642 MFT196642 MPP196642 MZL196642 NJH196642 NTD196642 OCZ196642 OMV196642 OWR196642 PGN196642 PQJ196642 QAF196642 QKB196642 QTX196642 RDT196642 RNP196642 RXL196642 SHH196642 SRD196642 TAZ196642 TKV196642 TUR196642 UEN196642 UOJ196642 UYF196642 VIB196642 VRX196642 WBT196642 WLP196642 WVL196642 D262178 IZ262178 SV262178 ACR262178 AMN262178 AWJ262178 BGF262178 BQB262178 BZX262178 CJT262178 CTP262178 DDL262178 DNH262178 DXD262178 EGZ262178 EQV262178 FAR262178 FKN262178 FUJ262178 GEF262178 GOB262178 GXX262178 HHT262178 HRP262178 IBL262178 ILH262178 IVD262178 JEZ262178 JOV262178 JYR262178 KIN262178 KSJ262178 LCF262178 LMB262178 LVX262178 MFT262178 MPP262178 MZL262178 NJH262178 NTD262178 OCZ262178 OMV262178 OWR262178 PGN262178 PQJ262178 QAF262178 QKB262178 QTX262178 RDT262178 RNP262178 RXL262178 SHH262178 SRD262178 TAZ262178 TKV262178 TUR262178 UEN262178 UOJ262178 UYF262178 VIB262178 VRX262178 WBT262178 WLP262178 WVL262178 D327714 IZ327714 SV327714 ACR327714 AMN327714 AWJ327714 BGF327714 BQB327714 BZX327714 CJT327714 CTP327714 DDL327714 DNH327714 DXD327714 EGZ327714 EQV327714 FAR327714 FKN327714 FUJ327714 GEF327714 GOB327714 GXX327714 HHT327714 HRP327714 IBL327714 ILH327714 IVD327714 JEZ327714 JOV327714 JYR327714 KIN327714 KSJ327714 LCF327714 LMB327714 LVX327714 MFT327714 MPP327714 MZL327714 NJH327714 NTD327714 OCZ327714 OMV327714 OWR327714 PGN327714 PQJ327714 QAF327714 QKB327714 QTX327714 RDT327714 RNP327714 RXL327714 SHH327714 SRD327714 TAZ327714 TKV327714 TUR327714 UEN327714 UOJ327714 UYF327714 VIB327714 VRX327714 WBT327714 WLP327714 WVL327714 D393250 IZ393250 SV393250 ACR393250 AMN393250 AWJ393250 BGF393250 BQB393250 BZX393250 CJT393250 CTP393250 DDL393250 DNH393250 DXD393250 EGZ393250 EQV393250 FAR393250 FKN393250 FUJ393250 GEF393250 GOB393250 GXX393250 HHT393250 HRP393250 IBL393250 ILH393250 IVD393250 JEZ393250 JOV393250 JYR393250 KIN393250 KSJ393250 LCF393250 LMB393250 LVX393250 MFT393250 MPP393250 MZL393250 NJH393250 NTD393250 OCZ393250 OMV393250 OWR393250 PGN393250 PQJ393250 QAF393250 QKB393250 QTX393250 RDT393250 RNP393250 RXL393250 SHH393250 SRD393250 TAZ393250 TKV393250 TUR393250 UEN393250 UOJ393250 UYF393250 VIB393250 VRX393250 WBT393250 WLP393250 WVL393250 D458786 IZ458786 SV458786 ACR458786 AMN458786 AWJ458786 BGF458786 BQB458786 BZX458786 CJT458786 CTP458786 DDL458786 DNH458786 DXD458786 EGZ458786 EQV458786 FAR458786 FKN458786 FUJ458786 GEF458786 GOB458786 GXX458786 HHT458786 HRP458786 IBL458786 ILH458786 IVD458786 JEZ458786 JOV458786 JYR458786 KIN458786 KSJ458786 LCF458786 LMB458786 LVX458786 MFT458786 MPP458786 MZL458786 NJH458786 NTD458786 OCZ458786 OMV458786 OWR458786 PGN458786 PQJ458786 QAF458786 QKB458786 QTX458786 RDT458786 RNP458786 RXL458786 SHH458786 SRD458786 TAZ458786 TKV458786 TUR458786 UEN458786 UOJ458786 UYF458786 VIB458786 VRX458786 WBT458786 WLP458786 WVL458786 D524322 IZ524322 SV524322 ACR524322 AMN524322 AWJ524322 BGF524322 BQB524322 BZX524322 CJT524322 CTP524322 DDL524322 DNH524322 DXD524322 EGZ524322 EQV524322 FAR524322 FKN524322 FUJ524322 GEF524322 GOB524322 GXX524322 HHT524322 HRP524322 IBL524322 ILH524322 IVD524322 JEZ524322 JOV524322 JYR524322 KIN524322 KSJ524322 LCF524322 LMB524322 LVX524322 MFT524322 MPP524322 MZL524322 NJH524322 NTD524322 OCZ524322 OMV524322 OWR524322 PGN524322 PQJ524322 QAF524322 QKB524322 QTX524322 RDT524322 RNP524322 RXL524322 SHH524322 SRD524322 TAZ524322 TKV524322 TUR524322 UEN524322 UOJ524322 UYF524322 VIB524322 VRX524322 WBT524322 WLP524322 WVL524322 D589858 IZ589858 SV589858 ACR589858 AMN589858 AWJ589858 BGF589858 BQB589858 BZX589858 CJT589858 CTP589858 DDL589858 DNH589858 DXD589858 EGZ589858 EQV589858 FAR589858 FKN589858 FUJ589858 GEF589858 GOB589858 GXX589858 HHT589858 HRP589858 IBL589858 ILH589858 IVD589858 JEZ589858 JOV589858 JYR589858 KIN589858 KSJ589858 LCF589858 LMB589858 LVX589858 MFT589858 MPP589858 MZL589858 NJH589858 NTD589858 OCZ589858 OMV589858 OWR589858 PGN589858 PQJ589858 QAF589858 QKB589858 QTX589858 RDT589858 RNP589858 RXL589858 SHH589858 SRD589858 TAZ589858 TKV589858 TUR589858 UEN589858 UOJ589858 UYF589858 VIB589858 VRX589858 WBT589858 WLP589858 WVL589858 D655394 IZ655394 SV655394 ACR655394 AMN655394 AWJ655394 BGF655394 BQB655394 BZX655394 CJT655394 CTP655394 DDL655394 DNH655394 DXD655394 EGZ655394 EQV655394 FAR655394 FKN655394 FUJ655394 GEF655394 GOB655394 GXX655394 HHT655394 HRP655394 IBL655394 ILH655394 IVD655394 JEZ655394 JOV655394 JYR655394 KIN655394 KSJ655394 LCF655394 LMB655394 LVX655394 MFT655394 MPP655394 MZL655394 NJH655394 NTD655394 OCZ655394 OMV655394 OWR655394 PGN655394 PQJ655394 QAF655394 QKB655394 QTX655394 RDT655394 RNP655394 RXL655394 SHH655394 SRD655394 TAZ655394 TKV655394 TUR655394 UEN655394 UOJ655394 UYF655394 VIB655394 VRX655394 WBT655394 WLP655394 WVL655394 D720930 IZ720930 SV720930 ACR720930 AMN720930 AWJ720930 BGF720930 BQB720930 BZX720930 CJT720930 CTP720930 DDL720930 DNH720930 DXD720930 EGZ720930 EQV720930 FAR720930 FKN720930 FUJ720930 GEF720930 GOB720930 GXX720930 HHT720930 HRP720930 IBL720930 ILH720930 IVD720930 JEZ720930 JOV720930 JYR720930 KIN720930 KSJ720930 LCF720930 LMB720930 LVX720930 MFT720930 MPP720930 MZL720930 NJH720930 NTD720930 OCZ720930 OMV720930 OWR720930 PGN720930 PQJ720930 QAF720930 QKB720930 QTX720930 RDT720930 RNP720930 RXL720930 SHH720930 SRD720930 TAZ720930 TKV720930 TUR720930 UEN720930 UOJ720930 UYF720930 VIB720930 VRX720930 WBT720930 WLP720930 WVL720930 D786466 IZ786466 SV786466 ACR786466 AMN786466 AWJ786466 BGF786466 BQB786466 BZX786466 CJT786466 CTP786466 DDL786466 DNH786466 DXD786466 EGZ786466 EQV786466 FAR786466 FKN786466 FUJ786466 GEF786466 GOB786466 GXX786466 HHT786466 HRP786466 IBL786466 ILH786466 IVD786466 JEZ786466 JOV786466 JYR786466 KIN786466 KSJ786466 LCF786466 LMB786466 LVX786466 MFT786466 MPP786466 MZL786466 NJH786466 NTD786466 OCZ786466 OMV786466 OWR786466 PGN786466 PQJ786466 QAF786466 QKB786466 QTX786466 RDT786466 RNP786466 RXL786466 SHH786466 SRD786466 TAZ786466 TKV786466 TUR786466 UEN786466 UOJ786466 UYF786466 VIB786466 VRX786466 WBT786466 WLP786466 WVL786466 D852002 IZ852002 SV852002 ACR852002 AMN852002 AWJ852002 BGF852002 BQB852002 BZX852002 CJT852002 CTP852002 DDL852002 DNH852002 DXD852002 EGZ852002 EQV852002 FAR852002 FKN852002 FUJ852002 GEF852002 GOB852002 GXX852002 HHT852002 HRP852002 IBL852002 ILH852002 IVD852002 JEZ852002 JOV852002 JYR852002 KIN852002 KSJ852002 LCF852002 LMB852002 LVX852002 MFT852002 MPP852002 MZL852002 NJH852002 NTD852002 OCZ852002 OMV852002 OWR852002 PGN852002 PQJ852002 QAF852002 QKB852002 QTX852002 RDT852002 RNP852002 RXL852002 SHH852002 SRD852002 TAZ852002 TKV852002 TUR852002 UEN852002 UOJ852002 UYF852002 VIB852002 VRX852002 WBT852002 WLP852002 WVL852002 D917538 IZ917538 SV917538 ACR917538 AMN917538 AWJ917538 BGF917538 BQB917538 BZX917538 CJT917538 CTP917538 DDL917538 DNH917538 DXD917538 EGZ917538 EQV917538 FAR917538 FKN917538 FUJ917538 GEF917538 GOB917538 GXX917538 HHT917538 HRP917538 IBL917538 ILH917538 IVD917538 JEZ917538 JOV917538 JYR917538 KIN917538 KSJ917538 LCF917538 LMB917538 LVX917538 MFT917538 MPP917538 MZL917538 NJH917538 NTD917538 OCZ917538 OMV917538 OWR917538 PGN917538 PQJ917538 QAF917538 QKB917538 QTX917538 RDT917538 RNP917538 RXL917538 SHH917538 SRD917538 TAZ917538 TKV917538 TUR917538 UEN917538 UOJ917538 UYF917538 VIB917538 VRX917538 WBT917538 WLP917538 WVL917538 D983074 IZ983074 SV983074 ACR983074 AMN983074 AWJ983074 BGF983074 BQB983074 BZX983074 CJT983074 CTP983074 DDL983074 DNH983074 DXD983074 EGZ983074 EQV983074 FAR983074 FKN983074 FUJ983074 GEF983074 GOB983074 GXX983074 HHT983074 HRP983074 IBL983074 ILH983074 IVD983074 JEZ983074 JOV983074 JYR983074 KIN983074 KSJ983074 LCF983074 LMB983074 LVX983074 MFT983074 MPP983074 MZL983074 NJH983074 NTD983074 OCZ983074 OMV983074 OWR983074 PGN983074 PQJ983074 QAF983074 QKB983074 QTX983074 RDT983074 RNP983074 RXL983074 SHH983074 SRD983074 TAZ983074 TKV983074 TUR983074 UEN983074 UOJ983074 UYF983074 VIB983074 VRX983074 WBT983074 WLP983074 WVL983074">
      <formula1>$L$12:$L$19</formula1>
    </dataValidation>
    <dataValidation type="list" allowBlank="1" showInputMessage="1" showErrorMessage="1" sqref="J9:K11 JF9:JG11 TB9:TC11 ACX9:ACY11 AMT9:AMU11 AWP9:AWQ11 BGL9:BGM11 BQH9:BQI11 CAD9:CAE11 CJZ9:CKA11 CTV9:CTW11 DDR9:DDS11 DNN9:DNO11 DXJ9:DXK11 EHF9:EHG11 ERB9:ERC11 FAX9:FAY11 FKT9:FKU11 FUP9:FUQ11 GEL9:GEM11 GOH9:GOI11 GYD9:GYE11 HHZ9:HIA11 HRV9:HRW11 IBR9:IBS11 ILN9:ILO11 IVJ9:IVK11 JFF9:JFG11 JPB9:JPC11 JYX9:JYY11 KIT9:KIU11 KSP9:KSQ11 LCL9:LCM11 LMH9:LMI11 LWD9:LWE11 MFZ9:MGA11 MPV9:MPW11 MZR9:MZS11 NJN9:NJO11 NTJ9:NTK11 ODF9:ODG11 ONB9:ONC11 OWX9:OWY11 PGT9:PGU11 PQP9:PQQ11 QAL9:QAM11 QKH9:QKI11 QUD9:QUE11 RDZ9:REA11 RNV9:RNW11 RXR9:RXS11 SHN9:SHO11 SRJ9:SRK11 TBF9:TBG11 TLB9:TLC11 TUX9:TUY11 UET9:UEU11 UOP9:UOQ11 UYL9:UYM11 VIH9:VII11 VSD9:VSE11 WBZ9:WCA11 WLV9:WLW11 WVR9:WVS11 J65545:K65547 JF65545:JG65547 TB65545:TC65547 ACX65545:ACY65547 AMT65545:AMU65547 AWP65545:AWQ65547 BGL65545:BGM65547 BQH65545:BQI65547 CAD65545:CAE65547 CJZ65545:CKA65547 CTV65545:CTW65547 DDR65545:DDS65547 DNN65545:DNO65547 DXJ65545:DXK65547 EHF65545:EHG65547 ERB65545:ERC65547 FAX65545:FAY65547 FKT65545:FKU65547 FUP65545:FUQ65547 GEL65545:GEM65547 GOH65545:GOI65547 GYD65545:GYE65547 HHZ65545:HIA65547 HRV65545:HRW65547 IBR65545:IBS65547 ILN65545:ILO65547 IVJ65545:IVK65547 JFF65545:JFG65547 JPB65545:JPC65547 JYX65545:JYY65547 KIT65545:KIU65547 KSP65545:KSQ65547 LCL65545:LCM65547 LMH65545:LMI65547 LWD65545:LWE65547 MFZ65545:MGA65547 MPV65545:MPW65547 MZR65545:MZS65547 NJN65545:NJO65547 NTJ65545:NTK65547 ODF65545:ODG65547 ONB65545:ONC65547 OWX65545:OWY65547 PGT65545:PGU65547 PQP65545:PQQ65547 QAL65545:QAM65547 QKH65545:QKI65547 QUD65545:QUE65547 RDZ65545:REA65547 RNV65545:RNW65547 RXR65545:RXS65547 SHN65545:SHO65547 SRJ65545:SRK65547 TBF65545:TBG65547 TLB65545:TLC65547 TUX65545:TUY65547 UET65545:UEU65547 UOP65545:UOQ65547 UYL65545:UYM65547 VIH65545:VII65547 VSD65545:VSE65547 WBZ65545:WCA65547 WLV65545:WLW65547 WVR65545:WVS65547 J131081:K131083 JF131081:JG131083 TB131081:TC131083 ACX131081:ACY131083 AMT131081:AMU131083 AWP131081:AWQ131083 BGL131081:BGM131083 BQH131081:BQI131083 CAD131081:CAE131083 CJZ131081:CKA131083 CTV131081:CTW131083 DDR131081:DDS131083 DNN131081:DNO131083 DXJ131081:DXK131083 EHF131081:EHG131083 ERB131081:ERC131083 FAX131081:FAY131083 FKT131081:FKU131083 FUP131081:FUQ131083 GEL131081:GEM131083 GOH131081:GOI131083 GYD131081:GYE131083 HHZ131081:HIA131083 HRV131081:HRW131083 IBR131081:IBS131083 ILN131081:ILO131083 IVJ131081:IVK131083 JFF131081:JFG131083 JPB131081:JPC131083 JYX131081:JYY131083 KIT131081:KIU131083 KSP131081:KSQ131083 LCL131081:LCM131083 LMH131081:LMI131083 LWD131081:LWE131083 MFZ131081:MGA131083 MPV131081:MPW131083 MZR131081:MZS131083 NJN131081:NJO131083 NTJ131081:NTK131083 ODF131081:ODG131083 ONB131081:ONC131083 OWX131081:OWY131083 PGT131081:PGU131083 PQP131081:PQQ131083 QAL131081:QAM131083 QKH131081:QKI131083 QUD131081:QUE131083 RDZ131081:REA131083 RNV131081:RNW131083 RXR131081:RXS131083 SHN131081:SHO131083 SRJ131081:SRK131083 TBF131081:TBG131083 TLB131081:TLC131083 TUX131081:TUY131083 UET131081:UEU131083 UOP131081:UOQ131083 UYL131081:UYM131083 VIH131081:VII131083 VSD131081:VSE131083 WBZ131081:WCA131083 WLV131081:WLW131083 WVR131081:WVS131083 J196617:K196619 JF196617:JG196619 TB196617:TC196619 ACX196617:ACY196619 AMT196617:AMU196619 AWP196617:AWQ196619 BGL196617:BGM196619 BQH196617:BQI196619 CAD196617:CAE196619 CJZ196617:CKA196619 CTV196617:CTW196619 DDR196617:DDS196619 DNN196617:DNO196619 DXJ196617:DXK196619 EHF196617:EHG196619 ERB196617:ERC196619 FAX196617:FAY196619 FKT196617:FKU196619 FUP196617:FUQ196619 GEL196617:GEM196619 GOH196617:GOI196619 GYD196617:GYE196619 HHZ196617:HIA196619 HRV196617:HRW196619 IBR196617:IBS196619 ILN196617:ILO196619 IVJ196617:IVK196619 JFF196617:JFG196619 JPB196617:JPC196619 JYX196617:JYY196619 KIT196617:KIU196619 KSP196617:KSQ196619 LCL196617:LCM196619 LMH196617:LMI196619 LWD196617:LWE196619 MFZ196617:MGA196619 MPV196617:MPW196619 MZR196617:MZS196619 NJN196617:NJO196619 NTJ196617:NTK196619 ODF196617:ODG196619 ONB196617:ONC196619 OWX196617:OWY196619 PGT196617:PGU196619 PQP196617:PQQ196619 QAL196617:QAM196619 QKH196617:QKI196619 QUD196617:QUE196619 RDZ196617:REA196619 RNV196617:RNW196619 RXR196617:RXS196619 SHN196617:SHO196619 SRJ196617:SRK196619 TBF196617:TBG196619 TLB196617:TLC196619 TUX196617:TUY196619 UET196617:UEU196619 UOP196617:UOQ196619 UYL196617:UYM196619 VIH196617:VII196619 VSD196617:VSE196619 WBZ196617:WCA196619 WLV196617:WLW196619 WVR196617:WVS196619 J262153:K262155 JF262153:JG262155 TB262153:TC262155 ACX262153:ACY262155 AMT262153:AMU262155 AWP262153:AWQ262155 BGL262153:BGM262155 BQH262153:BQI262155 CAD262153:CAE262155 CJZ262153:CKA262155 CTV262153:CTW262155 DDR262153:DDS262155 DNN262153:DNO262155 DXJ262153:DXK262155 EHF262153:EHG262155 ERB262153:ERC262155 FAX262153:FAY262155 FKT262153:FKU262155 FUP262153:FUQ262155 GEL262153:GEM262155 GOH262153:GOI262155 GYD262153:GYE262155 HHZ262153:HIA262155 HRV262153:HRW262155 IBR262153:IBS262155 ILN262153:ILO262155 IVJ262153:IVK262155 JFF262153:JFG262155 JPB262153:JPC262155 JYX262153:JYY262155 KIT262153:KIU262155 KSP262153:KSQ262155 LCL262153:LCM262155 LMH262153:LMI262155 LWD262153:LWE262155 MFZ262153:MGA262155 MPV262153:MPW262155 MZR262153:MZS262155 NJN262153:NJO262155 NTJ262153:NTK262155 ODF262153:ODG262155 ONB262153:ONC262155 OWX262153:OWY262155 PGT262153:PGU262155 PQP262153:PQQ262155 QAL262153:QAM262155 QKH262153:QKI262155 QUD262153:QUE262155 RDZ262153:REA262155 RNV262153:RNW262155 RXR262153:RXS262155 SHN262153:SHO262155 SRJ262153:SRK262155 TBF262153:TBG262155 TLB262153:TLC262155 TUX262153:TUY262155 UET262153:UEU262155 UOP262153:UOQ262155 UYL262153:UYM262155 VIH262153:VII262155 VSD262153:VSE262155 WBZ262153:WCA262155 WLV262153:WLW262155 WVR262153:WVS262155 J327689:K327691 JF327689:JG327691 TB327689:TC327691 ACX327689:ACY327691 AMT327689:AMU327691 AWP327689:AWQ327691 BGL327689:BGM327691 BQH327689:BQI327691 CAD327689:CAE327691 CJZ327689:CKA327691 CTV327689:CTW327691 DDR327689:DDS327691 DNN327689:DNO327691 DXJ327689:DXK327691 EHF327689:EHG327691 ERB327689:ERC327691 FAX327689:FAY327691 FKT327689:FKU327691 FUP327689:FUQ327691 GEL327689:GEM327691 GOH327689:GOI327691 GYD327689:GYE327691 HHZ327689:HIA327691 HRV327689:HRW327691 IBR327689:IBS327691 ILN327689:ILO327691 IVJ327689:IVK327691 JFF327689:JFG327691 JPB327689:JPC327691 JYX327689:JYY327691 KIT327689:KIU327691 KSP327689:KSQ327691 LCL327689:LCM327691 LMH327689:LMI327691 LWD327689:LWE327691 MFZ327689:MGA327691 MPV327689:MPW327691 MZR327689:MZS327691 NJN327689:NJO327691 NTJ327689:NTK327691 ODF327689:ODG327691 ONB327689:ONC327691 OWX327689:OWY327691 PGT327689:PGU327691 PQP327689:PQQ327691 QAL327689:QAM327691 QKH327689:QKI327691 QUD327689:QUE327691 RDZ327689:REA327691 RNV327689:RNW327691 RXR327689:RXS327691 SHN327689:SHO327691 SRJ327689:SRK327691 TBF327689:TBG327691 TLB327689:TLC327691 TUX327689:TUY327691 UET327689:UEU327691 UOP327689:UOQ327691 UYL327689:UYM327691 VIH327689:VII327691 VSD327689:VSE327691 WBZ327689:WCA327691 WLV327689:WLW327691 WVR327689:WVS327691 J393225:K393227 JF393225:JG393227 TB393225:TC393227 ACX393225:ACY393227 AMT393225:AMU393227 AWP393225:AWQ393227 BGL393225:BGM393227 BQH393225:BQI393227 CAD393225:CAE393227 CJZ393225:CKA393227 CTV393225:CTW393227 DDR393225:DDS393227 DNN393225:DNO393227 DXJ393225:DXK393227 EHF393225:EHG393227 ERB393225:ERC393227 FAX393225:FAY393227 FKT393225:FKU393227 FUP393225:FUQ393227 GEL393225:GEM393227 GOH393225:GOI393227 GYD393225:GYE393227 HHZ393225:HIA393227 HRV393225:HRW393227 IBR393225:IBS393227 ILN393225:ILO393227 IVJ393225:IVK393227 JFF393225:JFG393227 JPB393225:JPC393227 JYX393225:JYY393227 KIT393225:KIU393227 KSP393225:KSQ393227 LCL393225:LCM393227 LMH393225:LMI393227 LWD393225:LWE393227 MFZ393225:MGA393227 MPV393225:MPW393227 MZR393225:MZS393227 NJN393225:NJO393227 NTJ393225:NTK393227 ODF393225:ODG393227 ONB393225:ONC393227 OWX393225:OWY393227 PGT393225:PGU393227 PQP393225:PQQ393227 QAL393225:QAM393227 QKH393225:QKI393227 QUD393225:QUE393227 RDZ393225:REA393227 RNV393225:RNW393227 RXR393225:RXS393227 SHN393225:SHO393227 SRJ393225:SRK393227 TBF393225:TBG393227 TLB393225:TLC393227 TUX393225:TUY393227 UET393225:UEU393227 UOP393225:UOQ393227 UYL393225:UYM393227 VIH393225:VII393227 VSD393225:VSE393227 WBZ393225:WCA393227 WLV393225:WLW393227 WVR393225:WVS393227 J458761:K458763 JF458761:JG458763 TB458761:TC458763 ACX458761:ACY458763 AMT458761:AMU458763 AWP458761:AWQ458763 BGL458761:BGM458763 BQH458761:BQI458763 CAD458761:CAE458763 CJZ458761:CKA458763 CTV458761:CTW458763 DDR458761:DDS458763 DNN458761:DNO458763 DXJ458761:DXK458763 EHF458761:EHG458763 ERB458761:ERC458763 FAX458761:FAY458763 FKT458761:FKU458763 FUP458761:FUQ458763 GEL458761:GEM458763 GOH458761:GOI458763 GYD458761:GYE458763 HHZ458761:HIA458763 HRV458761:HRW458763 IBR458761:IBS458763 ILN458761:ILO458763 IVJ458761:IVK458763 JFF458761:JFG458763 JPB458761:JPC458763 JYX458761:JYY458763 KIT458761:KIU458763 KSP458761:KSQ458763 LCL458761:LCM458763 LMH458761:LMI458763 LWD458761:LWE458763 MFZ458761:MGA458763 MPV458761:MPW458763 MZR458761:MZS458763 NJN458761:NJO458763 NTJ458761:NTK458763 ODF458761:ODG458763 ONB458761:ONC458763 OWX458761:OWY458763 PGT458761:PGU458763 PQP458761:PQQ458763 QAL458761:QAM458763 QKH458761:QKI458763 QUD458761:QUE458763 RDZ458761:REA458763 RNV458761:RNW458763 RXR458761:RXS458763 SHN458761:SHO458763 SRJ458761:SRK458763 TBF458761:TBG458763 TLB458761:TLC458763 TUX458761:TUY458763 UET458761:UEU458763 UOP458761:UOQ458763 UYL458761:UYM458763 VIH458761:VII458763 VSD458761:VSE458763 WBZ458761:WCA458763 WLV458761:WLW458763 WVR458761:WVS458763 J524297:K524299 JF524297:JG524299 TB524297:TC524299 ACX524297:ACY524299 AMT524297:AMU524299 AWP524297:AWQ524299 BGL524297:BGM524299 BQH524297:BQI524299 CAD524297:CAE524299 CJZ524297:CKA524299 CTV524297:CTW524299 DDR524297:DDS524299 DNN524297:DNO524299 DXJ524297:DXK524299 EHF524297:EHG524299 ERB524297:ERC524299 FAX524297:FAY524299 FKT524297:FKU524299 FUP524297:FUQ524299 GEL524297:GEM524299 GOH524297:GOI524299 GYD524297:GYE524299 HHZ524297:HIA524299 HRV524297:HRW524299 IBR524297:IBS524299 ILN524297:ILO524299 IVJ524297:IVK524299 JFF524297:JFG524299 JPB524297:JPC524299 JYX524297:JYY524299 KIT524297:KIU524299 KSP524297:KSQ524299 LCL524297:LCM524299 LMH524297:LMI524299 LWD524297:LWE524299 MFZ524297:MGA524299 MPV524297:MPW524299 MZR524297:MZS524299 NJN524297:NJO524299 NTJ524297:NTK524299 ODF524297:ODG524299 ONB524297:ONC524299 OWX524297:OWY524299 PGT524297:PGU524299 PQP524297:PQQ524299 QAL524297:QAM524299 QKH524297:QKI524299 QUD524297:QUE524299 RDZ524297:REA524299 RNV524297:RNW524299 RXR524297:RXS524299 SHN524297:SHO524299 SRJ524297:SRK524299 TBF524297:TBG524299 TLB524297:TLC524299 TUX524297:TUY524299 UET524297:UEU524299 UOP524297:UOQ524299 UYL524297:UYM524299 VIH524297:VII524299 VSD524297:VSE524299 WBZ524297:WCA524299 WLV524297:WLW524299 WVR524297:WVS524299 J589833:K589835 JF589833:JG589835 TB589833:TC589835 ACX589833:ACY589835 AMT589833:AMU589835 AWP589833:AWQ589835 BGL589833:BGM589835 BQH589833:BQI589835 CAD589833:CAE589835 CJZ589833:CKA589835 CTV589833:CTW589835 DDR589833:DDS589835 DNN589833:DNO589835 DXJ589833:DXK589835 EHF589833:EHG589835 ERB589833:ERC589835 FAX589833:FAY589835 FKT589833:FKU589835 FUP589833:FUQ589835 GEL589833:GEM589835 GOH589833:GOI589835 GYD589833:GYE589835 HHZ589833:HIA589835 HRV589833:HRW589835 IBR589833:IBS589835 ILN589833:ILO589835 IVJ589833:IVK589835 JFF589833:JFG589835 JPB589833:JPC589835 JYX589833:JYY589835 KIT589833:KIU589835 KSP589833:KSQ589835 LCL589833:LCM589835 LMH589833:LMI589835 LWD589833:LWE589835 MFZ589833:MGA589835 MPV589833:MPW589835 MZR589833:MZS589835 NJN589833:NJO589835 NTJ589833:NTK589835 ODF589833:ODG589835 ONB589833:ONC589835 OWX589833:OWY589835 PGT589833:PGU589835 PQP589833:PQQ589835 QAL589833:QAM589835 QKH589833:QKI589835 QUD589833:QUE589835 RDZ589833:REA589835 RNV589833:RNW589835 RXR589833:RXS589835 SHN589833:SHO589835 SRJ589833:SRK589835 TBF589833:TBG589835 TLB589833:TLC589835 TUX589833:TUY589835 UET589833:UEU589835 UOP589833:UOQ589835 UYL589833:UYM589835 VIH589833:VII589835 VSD589833:VSE589835 WBZ589833:WCA589835 WLV589833:WLW589835 WVR589833:WVS589835 J655369:K655371 JF655369:JG655371 TB655369:TC655371 ACX655369:ACY655371 AMT655369:AMU655371 AWP655369:AWQ655371 BGL655369:BGM655371 BQH655369:BQI655371 CAD655369:CAE655371 CJZ655369:CKA655371 CTV655369:CTW655371 DDR655369:DDS655371 DNN655369:DNO655371 DXJ655369:DXK655371 EHF655369:EHG655371 ERB655369:ERC655371 FAX655369:FAY655371 FKT655369:FKU655371 FUP655369:FUQ655371 GEL655369:GEM655371 GOH655369:GOI655371 GYD655369:GYE655371 HHZ655369:HIA655371 HRV655369:HRW655371 IBR655369:IBS655371 ILN655369:ILO655371 IVJ655369:IVK655371 JFF655369:JFG655371 JPB655369:JPC655371 JYX655369:JYY655371 KIT655369:KIU655371 KSP655369:KSQ655371 LCL655369:LCM655371 LMH655369:LMI655371 LWD655369:LWE655371 MFZ655369:MGA655371 MPV655369:MPW655371 MZR655369:MZS655371 NJN655369:NJO655371 NTJ655369:NTK655371 ODF655369:ODG655371 ONB655369:ONC655371 OWX655369:OWY655371 PGT655369:PGU655371 PQP655369:PQQ655371 QAL655369:QAM655371 QKH655369:QKI655371 QUD655369:QUE655371 RDZ655369:REA655371 RNV655369:RNW655371 RXR655369:RXS655371 SHN655369:SHO655371 SRJ655369:SRK655371 TBF655369:TBG655371 TLB655369:TLC655371 TUX655369:TUY655371 UET655369:UEU655371 UOP655369:UOQ655371 UYL655369:UYM655371 VIH655369:VII655371 VSD655369:VSE655371 WBZ655369:WCA655371 WLV655369:WLW655371 WVR655369:WVS655371 J720905:K720907 JF720905:JG720907 TB720905:TC720907 ACX720905:ACY720907 AMT720905:AMU720907 AWP720905:AWQ720907 BGL720905:BGM720907 BQH720905:BQI720907 CAD720905:CAE720907 CJZ720905:CKA720907 CTV720905:CTW720907 DDR720905:DDS720907 DNN720905:DNO720907 DXJ720905:DXK720907 EHF720905:EHG720907 ERB720905:ERC720907 FAX720905:FAY720907 FKT720905:FKU720907 FUP720905:FUQ720907 GEL720905:GEM720907 GOH720905:GOI720907 GYD720905:GYE720907 HHZ720905:HIA720907 HRV720905:HRW720907 IBR720905:IBS720907 ILN720905:ILO720907 IVJ720905:IVK720907 JFF720905:JFG720907 JPB720905:JPC720907 JYX720905:JYY720907 KIT720905:KIU720907 KSP720905:KSQ720907 LCL720905:LCM720907 LMH720905:LMI720907 LWD720905:LWE720907 MFZ720905:MGA720907 MPV720905:MPW720907 MZR720905:MZS720907 NJN720905:NJO720907 NTJ720905:NTK720907 ODF720905:ODG720907 ONB720905:ONC720907 OWX720905:OWY720907 PGT720905:PGU720907 PQP720905:PQQ720907 QAL720905:QAM720907 QKH720905:QKI720907 QUD720905:QUE720907 RDZ720905:REA720907 RNV720905:RNW720907 RXR720905:RXS720907 SHN720905:SHO720907 SRJ720905:SRK720907 TBF720905:TBG720907 TLB720905:TLC720907 TUX720905:TUY720907 UET720905:UEU720907 UOP720905:UOQ720907 UYL720905:UYM720907 VIH720905:VII720907 VSD720905:VSE720907 WBZ720905:WCA720907 WLV720905:WLW720907 WVR720905:WVS720907 J786441:K786443 JF786441:JG786443 TB786441:TC786443 ACX786441:ACY786443 AMT786441:AMU786443 AWP786441:AWQ786443 BGL786441:BGM786443 BQH786441:BQI786443 CAD786441:CAE786443 CJZ786441:CKA786443 CTV786441:CTW786443 DDR786441:DDS786443 DNN786441:DNO786443 DXJ786441:DXK786443 EHF786441:EHG786443 ERB786441:ERC786443 FAX786441:FAY786443 FKT786441:FKU786443 FUP786441:FUQ786443 GEL786441:GEM786443 GOH786441:GOI786443 GYD786441:GYE786443 HHZ786441:HIA786443 HRV786441:HRW786443 IBR786441:IBS786443 ILN786441:ILO786443 IVJ786441:IVK786443 JFF786441:JFG786443 JPB786441:JPC786443 JYX786441:JYY786443 KIT786441:KIU786443 KSP786441:KSQ786443 LCL786441:LCM786443 LMH786441:LMI786443 LWD786441:LWE786443 MFZ786441:MGA786443 MPV786441:MPW786443 MZR786441:MZS786443 NJN786441:NJO786443 NTJ786441:NTK786443 ODF786441:ODG786443 ONB786441:ONC786443 OWX786441:OWY786443 PGT786441:PGU786443 PQP786441:PQQ786443 QAL786441:QAM786443 QKH786441:QKI786443 QUD786441:QUE786443 RDZ786441:REA786443 RNV786441:RNW786443 RXR786441:RXS786443 SHN786441:SHO786443 SRJ786441:SRK786443 TBF786441:TBG786443 TLB786441:TLC786443 TUX786441:TUY786443 UET786441:UEU786443 UOP786441:UOQ786443 UYL786441:UYM786443 VIH786441:VII786443 VSD786441:VSE786443 WBZ786441:WCA786443 WLV786441:WLW786443 WVR786441:WVS786443 J851977:K851979 JF851977:JG851979 TB851977:TC851979 ACX851977:ACY851979 AMT851977:AMU851979 AWP851977:AWQ851979 BGL851977:BGM851979 BQH851977:BQI851979 CAD851977:CAE851979 CJZ851977:CKA851979 CTV851977:CTW851979 DDR851977:DDS851979 DNN851977:DNO851979 DXJ851977:DXK851979 EHF851977:EHG851979 ERB851977:ERC851979 FAX851977:FAY851979 FKT851977:FKU851979 FUP851977:FUQ851979 GEL851977:GEM851979 GOH851977:GOI851979 GYD851977:GYE851979 HHZ851977:HIA851979 HRV851977:HRW851979 IBR851977:IBS851979 ILN851977:ILO851979 IVJ851977:IVK851979 JFF851977:JFG851979 JPB851977:JPC851979 JYX851977:JYY851979 KIT851977:KIU851979 KSP851977:KSQ851979 LCL851977:LCM851979 LMH851977:LMI851979 LWD851977:LWE851979 MFZ851977:MGA851979 MPV851977:MPW851979 MZR851977:MZS851979 NJN851977:NJO851979 NTJ851977:NTK851979 ODF851977:ODG851979 ONB851977:ONC851979 OWX851977:OWY851979 PGT851977:PGU851979 PQP851977:PQQ851979 QAL851977:QAM851979 QKH851977:QKI851979 QUD851977:QUE851979 RDZ851977:REA851979 RNV851977:RNW851979 RXR851977:RXS851979 SHN851977:SHO851979 SRJ851977:SRK851979 TBF851977:TBG851979 TLB851977:TLC851979 TUX851977:TUY851979 UET851977:UEU851979 UOP851977:UOQ851979 UYL851977:UYM851979 VIH851977:VII851979 VSD851977:VSE851979 WBZ851977:WCA851979 WLV851977:WLW851979 WVR851977:WVS851979 J917513:K917515 JF917513:JG917515 TB917513:TC917515 ACX917513:ACY917515 AMT917513:AMU917515 AWP917513:AWQ917515 BGL917513:BGM917515 BQH917513:BQI917515 CAD917513:CAE917515 CJZ917513:CKA917515 CTV917513:CTW917515 DDR917513:DDS917515 DNN917513:DNO917515 DXJ917513:DXK917515 EHF917513:EHG917515 ERB917513:ERC917515 FAX917513:FAY917515 FKT917513:FKU917515 FUP917513:FUQ917515 GEL917513:GEM917515 GOH917513:GOI917515 GYD917513:GYE917515 HHZ917513:HIA917515 HRV917513:HRW917515 IBR917513:IBS917515 ILN917513:ILO917515 IVJ917513:IVK917515 JFF917513:JFG917515 JPB917513:JPC917515 JYX917513:JYY917515 KIT917513:KIU917515 KSP917513:KSQ917515 LCL917513:LCM917515 LMH917513:LMI917515 LWD917513:LWE917515 MFZ917513:MGA917515 MPV917513:MPW917515 MZR917513:MZS917515 NJN917513:NJO917515 NTJ917513:NTK917515 ODF917513:ODG917515 ONB917513:ONC917515 OWX917513:OWY917515 PGT917513:PGU917515 PQP917513:PQQ917515 QAL917513:QAM917515 QKH917513:QKI917515 QUD917513:QUE917515 RDZ917513:REA917515 RNV917513:RNW917515 RXR917513:RXS917515 SHN917513:SHO917515 SRJ917513:SRK917515 TBF917513:TBG917515 TLB917513:TLC917515 TUX917513:TUY917515 UET917513:UEU917515 UOP917513:UOQ917515 UYL917513:UYM917515 VIH917513:VII917515 VSD917513:VSE917515 WBZ917513:WCA917515 WLV917513:WLW917515 WVR917513:WVS917515 J983049:K983051 JF983049:JG983051 TB983049:TC983051 ACX983049:ACY983051 AMT983049:AMU983051 AWP983049:AWQ983051 BGL983049:BGM983051 BQH983049:BQI983051 CAD983049:CAE983051 CJZ983049:CKA983051 CTV983049:CTW983051 DDR983049:DDS983051 DNN983049:DNO983051 DXJ983049:DXK983051 EHF983049:EHG983051 ERB983049:ERC983051 FAX983049:FAY983051 FKT983049:FKU983051 FUP983049:FUQ983051 GEL983049:GEM983051 GOH983049:GOI983051 GYD983049:GYE983051 HHZ983049:HIA983051 HRV983049:HRW983051 IBR983049:IBS983051 ILN983049:ILO983051 IVJ983049:IVK983051 JFF983049:JFG983051 JPB983049:JPC983051 JYX983049:JYY983051 KIT983049:KIU983051 KSP983049:KSQ983051 LCL983049:LCM983051 LMH983049:LMI983051 LWD983049:LWE983051 MFZ983049:MGA983051 MPV983049:MPW983051 MZR983049:MZS983051 NJN983049:NJO983051 NTJ983049:NTK983051 ODF983049:ODG983051 ONB983049:ONC983051 OWX983049:OWY983051 PGT983049:PGU983051 PQP983049:PQQ983051 QAL983049:QAM983051 QKH983049:QKI983051 QUD983049:QUE983051 RDZ983049:REA983051 RNV983049:RNW983051 RXR983049:RXS983051 SHN983049:SHO983051 SRJ983049:SRK983051 TBF983049:TBG983051 TLB983049:TLC983051 TUX983049:TUY983051 UET983049:UEU983051 UOP983049:UOQ983051 UYL983049:UYM983051 VIH983049:VII983051 VSD983049:VSE983051 WBZ983049:WCA983051 WLV983049:WLW983051 WVR983049:WVS983051">
      <formula1>$J$12:$J$15</formula1>
    </dataValidation>
    <dataValidation type="list" allowBlank="1" showInputMessage="1" showErrorMessage="1" sqref="U9:V11 JQ9:JR11 TM9:TN11 ADI9:ADJ11 ANE9:ANF11 AXA9:AXB11 BGW9:BGX11 BQS9:BQT11 CAO9:CAP11 CKK9:CKL11 CUG9:CUH11 DEC9:DED11 DNY9:DNZ11 DXU9:DXV11 EHQ9:EHR11 ERM9:ERN11 FBI9:FBJ11 FLE9:FLF11 FVA9:FVB11 GEW9:GEX11 GOS9:GOT11 GYO9:GYP11 HIK9:HIL11 HSG9:HSH11 ICC9:ICD11 ILY9:ILZ11 IVU9:IVV11 JFQ9:JFR11 JPM9:JPN11 JZI9:JZJ11 KJE9:KJF11 KTA9:KTB11 LCW9:LCX11 LMS9:LMT11 LWO9:LWP11 MGK9:MGL11 MQG9:MQH11 NAC9:NAD11 NJY9:NJZ11 NTU9:NTV11 ODQ9:ODR11 ONM9:ONN11 OXI9:OXJ11 PHE9:PHF11 PRA9:PRB11 QAW9:QAX11 QKS9:QKT11 QUO9:QUP11 REK9:REL11 ROG9:ROH11 RYC9:RYD11 SHY9:SHZ11 SRU9:SRV11 TBQ9:TBR11 TLM9:TLN11 TVI9:TVJ11 UFE9:UFF11 UPA9:UPB11 UYW9:UYX11 VIS9:VIT11 VSO9:VSP11 WCK9:WCL11 WMG9:WMH11 WWC9:WWD11 U65545:V65547 JQ65545:JR65547 TM65545:TN65547 ADI65545:ADJ65547 ANE65545:ANF65547 AXA65545:AXB65547 BGW65545:BGX65547 BQS65545:BQT65547 CAO65545:CAP65547 CKK65545:CKL65547 CUG65545:CUH65547 DEC65545:DED65547 DNY65545:DNZ65547 DXU65545:DXV65547 EHQ65545:EHR65547 ERM65545:ERN65547 FBI65545:FBJ65547 FLE65545:FLF65547 FVA65545:FVB65547 GEW65545:GEX65547 GOS65545:GOT65547 GYO65545:GYP65547 HIK65545:HIL65547 HSG65545:HSH65547 ICC65545:ICD65547 ILY65545:ILZ65547 IVU65545:IVV65547 JFQ65545:JFR65547 JPM65545:JPN65547 JZI65545:JZJ65547 KJE65545:KJF65547 KTA65545:KTB65547 LCW65545:LCX65547 LMS65545:LMT65547 LWO65545:LWP65547 MGK65545:MGL65547 MQG65545:MQH65547 NAC65545:NAD65547 NJY65545:NJZ65547 NTU65545:NTV65547 ODQ65545:ODR65547 ONM65545:ONN65547 OXI65545:OXJ65547 PHE65545:PHF65547 PRA65545:PRB65547 QAW65545:QAX65547 QKS65545:QKT65547 QUO65545:QUP65547 REK65545:REL65547 ROG65545:ROH65547 RYC65545:RYD65547 SHY65545:SHZ65547 SRU65545:SRV65547 TBQ65545:TBR65547 TLM65545:TLN65547 TVI65545:TVJ65547 UFE65545:UFF65547 UPA65545:UPB65547 UYW65545:UYX65547 VIS65545:VIT65547 VSO65545:VSP65547 WCK65545:WCL65547 WMG65545:WMH65547 WWC65545:WWD65547 U131081:V131083 JQ131081:JR131083 TM131081:TN131083 ADI131081:ADJ131083 ANE131081:ANF131083 AXA131081:AXB131083 BGW131081:BGX131083 BQS131081:BQT131083 CAO131081:CAP131083 CKK131081:CKL131083 CUG131081:CUH131083 DEC131081:DED131083 DNY131081:DNZ131083 DXU131081:DXV131083 EHQ131081:EHR131083 ERM131081:ERN131083 FBI131081:FBJ131083 FLE131081:FLF131083 FVA131081:FVB131083 GEW131081:GEX131083 GOS131081:GOT131083 GYO131081:GYP131083 HIK131081:HIL131083 HSG131081:HSH131083 ICC131081:ICD131083 ILY131081:ILZ131083 IVU131081:IVV131083 JFQ131081:JFR131083 JPM131081:JPN131083 JZI131081:JZJ131083 KJE131081:KJF131083 KTA131081:KTB131083 LCW131081:LCX131083 LMS131081:LMT131083 LWO131081:LWP131083 MGK131081:MGL131083 MQG131081:MQH131083 NAC131081:NAD131083 NJY131081:NJZ131083 NTU131081:NTV131083 ODQ131081:ODR131083 ONM131081:ONN131083 OXI131081:OXJ131083 PHE131081:PHF131083 PRA131081:PRB131083 QAW131081:QAX131083 QKS131081:QKT131083 QUO131081:QUP131083 REK131081:REL131083 ROG131081:ROH131083 RYC131081:RYD131083 SHY131081:SHZ131083 SRU131081:SRV131083 TBQ131081:TBR131083 TLM131081:TLN131083 TVI131081:TVJ131083 UFE131081:UFF131083 UPA131081:UPB131083 UYW131081:UYX131083 VIS131081:VIT131083 VSO131081:VSP131083 WCK131081:WCL131083 WMG131081:WMH131083 WWC131081:WWD131083 U196617:V196619 JQ196617:JR196619 TM196617:TN196619 ADI196617:ADJ196619 ANE196617:ANF196619 AXA196617:AXB196619 BGW196617:BGX196619 BQS196617:BQT196619 CAO196617:CAP196619 CKK196617:CKL196619 CUG196617:CUH196619 DEC196617:DED196619 DNY196617:DNZ196619 DXU196617:DXV196619 EHQ196617:EHR196619 ERM196617:ERN196619 FBI196617:FBJ196619 FLE196617:FLF196619 FVA196617:FVB196619 GEW196617:GEX196619 GOS196617:GOT196619 GYO196617:GYP196619 HIK196617:HIL196619 HSG196617:HSH196619 ICC196617:ICD196619 ILY196617:ILZ196619 IVU196617:IVV196619 JFQ196617:JFR196619 JPM196617:JPN196619 JZI196617:JZJ196619 KJE196617:KJF196619 KTA196617:KTB196619 LCW196617:LCX196619 LMS196617:LMT196619 LWO196617:LWP196619 MGK196617:MGL196619 MQG196617:MQH196619 NAC196617:NAD196619 NJY196617:NJZ196619 NTU196617:NTV196619 ODQ196617:ODR196619 ONM196617:ONN196619 OXI196617:OXJ196619 PHE196617:PHF196619 PRA196617:PRB196619 QAW196617:QAX196619 QKS196617:QKT196619 QUO196617:QUP196619 REK196617:REL196619 ROG196617:ROH196619 RYC196617:RYD196619 SHY196617:SHZ196619 SRU196617:SRV196619 TBQ196617:TBR196619 TLM196617:TLN196619 TVI196617:TVJ196619 UFE196617:UFF196619 UPA196617:UPB196619 UYW196617:UYX196619 VIS196617:VIT196619 VSO196617:VSP196619 WCK196617:WCL196619 WMG196617:WMH196619 WWC196617:WWD196619 U262153:V262155 JQ262153:JR262155 TM262153:TN262155 ADI262153:ADJ262155 ANE262153:ANF262155 AXA262153:AXB262155 BGW262153:BGX262155 BQS262153:BQT262155 CAO262153:CAP262155 CKK262153:CKL262155 CUG262153:CUH262155 DEC262153:DED262155 DNY262153:DNZ262155 DXU262153:DXV262155 EHQ262153:EHR262155 ERM262153:ERN262155 FBI262153:FBJ262155 FLE262153:FLF262155 FVA262153:FVB262155 GEW262153:GEX262155 GOS262153:GOT262155 GYO262153:GYP262155 HIK262153:HIL262155 HSG262153:HSH262155 ICC262153:ICD262155 ILY262153:ILZ262155 IVU262153:IVV262155 JFQ262153:JFR262155 JPM262153:JPN262155 JZI262153:JZJ262155 KJE262153:KJF262155 KTA262153:KTB262155 LCW262153:LCX262155 LMS262153:LMT262155 LWO262153:LWP262155 MGK262153:MGL262155 MQG262153:MQH262155 NAC262153:NAD262155 NJY262153:NJZ262155 NTU262153:NTV262155 ODQ262153:ODR262155 ONM262153:ONN262155 OXI262153:OXJ262155 PHE262153:PHF262155 PRA262153:PRB262155 QAW262153:QAX262155 QKS262153:QKT262155 QUO262153:QUP262155 REK262153:REL262155 ROG262153:ROH262155 RYC262153:RYD262155 SHY262153:SHZ262155 SRU262153:SRV262155 TBQ262153:TBR262155 TLM262153:TLN262155 TVI262153:TVJ262155 UFE262153:UFF262155 UPA262153:UPB262155 UYW262153:UYX262155 VIS262153:VIT262155 VSO262153:VSP262155 WCK262153:WCL262155 WMG262153:WMH262155 WWC262153:WWD262155 U327689:V327691 JQ327689:JR327691 TM327689:TN327691 ADI327689:ADJ327691 ANE327689:ANF327691 AXA327689:AXB327691 BGW327689:BGX327691 BQS327689:BQT327691 CAO327689:CAP327691 CKK327689:CKL327691 CUG327689:CUH327691 DEC327689:DED327691 DNY327689:DNZ327691 DXU327689:DXV327691 EHQ327689:EHR327691 ERM327689:ERN327691 FBI327689:FBJ327691 FLE327689:FLF327691 FVA327689:FVB327691 GEW327689:GEX327691 GOS327689:GOT327691 GYO327689:GYP327691 HIK327689:HIL327691 HSG327689:HSH327691 ICC327689:ICD327691 ILY327689:ILZ327691 IVU327689:IVV327691 JFQ327689:JFR327691 JPM327689:JPN327691 JZI327689:JZJ327691 KJE327689:KJF327691 KTA327689:KTB327691 LCW327689:LCX327691 LMS327689:LMT327691 LWO327689:LWP327691 MGK327689:MGL327691 MQG327689:MQH327691 NAC327689:NAD327691 NJY327689:NJZ327691 NTU327689:NTV327691 ODQ327689:ODR327691 ONM327689:ONN327691 OXI327689:OXJ327691 PHE327689:PHF327691 PRA327689:PRB327691 QAW327689:QAX327691 QKS327689:QKT327691 QUO327689:QUP327691 REK327689:REL327691 ROG327689:ROH327691 RYC327689:RYD327691 SHY327689:SHZ327691 SRU327689:SRV327691 TBQ327689:TBR327691 TLM327689:TLN327691 TVI327689:TVJ327691 UFE327689:UFF327691 UPA327689:UPB327691 UYW327689:UYX327691 VIS327689:VIT327691 VSO327689:VSP327691 WCK327689:WCL327691 WMG327689:WMH327691 WWC327689:WWD327691 U393225:V393227 JQ393225:JR393227 TM393225:TN393227 ADI393225:ADJ393227 ANE393225:ANF393227 AXA393225:AXB393227 BGW393225:BGX393227 BQS393225:BQT393227 CAO393225:CAP393227 CKK393225:CKL393227 CUG393225:CUH393227 DEC393225:DED393227 DNY393225:DNZ393227 DXU393225:DXV393227 EHQ393225:EHR393227 ERM393225:ERN393227 FBI393225:FBJ393227 FLE393225:FLF393227 FVA393225:FVB393227 GEW393225:GEX393227 GOS393225:GOT393227 GYO393225:GYP393227 HIK393225:HIL393227 HSG393225:HSH393227 ICC393225:ICD393227 ILY393225:ILZ393227 IVU393225:IVV393227 JFQ393225:JFR393227 JPM393225:JPN393227 JZI393225:JZJ393227 KJE393225:KJF393227 KTA393225:KTB393227 LCW393225:LCX393227 LMS393225:LMT393227 LWO393225:LWP393227 MGK393225:MGL393227 MQG393225:MQH393227 NAC393225:NAD393227 NJY393225:NJZ393227 NTU393225:NTV393227 ODQ393225:ODR393227 ONM393225:ONN393227 OXI393225:OXJ393227 PHE393225:PHF393227 PRA393225:PRB393227 QAW393225:QAX393227 QKS393225:QKT393227 QUO393225:QUP393227 REK393225:REL393227 ROG393225:ROH393227 RYC393225:RYD393227 SHY393225:SHZ393227 SRU393225:SRV393227 TBQ393225:TBR393227 TLM393225:TLN393227 TVI393225:TVJ393227 UFE393225:UFF393227 UPA393225:UPB393227 UYW393225:UYX393227 VIS393225:VIT393227 VSO393225:VSP393227 WCK393225:WCL393227 WMG393225:WMH393227 WWC393225:WWD393227 U458761:V458763 JQ458761:JR458763 TM458761:TN458763 ADI458761:ADJ458763 ANE458761:ANF458763 AXA458761:AXB458763 BGW458761:BGX458763 BQS458761:BQT458763 CAO458761:CAP458763 CKK458761:CKL458763 CUG458761:CUH458763 DEC458761:DED458763 DNY458761:DNZ458763 DXU458761:DXV458763 EHQ458761:EHR458763 ERM458761:ERN458763 FBI458761:FBJ458763 FLE458761:FLF458763 FVA458761:FVB458763 GEW458761:GEX458763 GOS458761:GOT458763 GYO458761:GYP458763 HIK458761:HIL458763 HSG458761:HSH458763 ICC458761:ICD458763 ILY458761:ILZ458763 IVU458761:IVV458763 JFQ458761:JFR458763 JPM458761:JPN458763 JZI458761:JZJ458763 KJE458761:KJF458763 KTA458761:KTB458763 LCW458761:LCX458763 LMS458761:LMT458763 LWO458761:LWP458763 MGK458761:MGL458763 MQG458761:MQH458763 NAC458761:NAD458763 NJY458761:NJZ458763 NTU458761:NTV458763 ODQ458761:ODR458763 ONM458761:ONN458763 OXI458761:OXJ458763 PHE458761:PHF458763 PRA458761:PRB458763 QAW458761:QAX458763 QKS458761:QKT458763 QUO458761:QUP458763 REK458761:REL458763 ROG458761:ROH458763 RYC458761:RYD458763 SHY458761:SHZ458763 SRU458761:SRV458763 TBQ458761:TBR458763 TLM458761:TLN458763 TVI458761:TVJ458763 UFE458761:UFF458763 UPA458761:UPB458763 UYW458761:UYX458763 VIS458761:VIT458763 VSO458761:VSP458763 WCK458761:WCL458763 WMG458761:WMH458763 WWC458761:WWD458763 U524297:V524299 JQ524297:JR524299 TM524297:TN524299 ADI524297:ADJ524299 ANE524297:ANF524299 AXA524297:AXB524299 BGW524297:BGX524299 BQS524297:BQT524299 CAO524297:CAP524299 CKK524297:CKL524299 CUG524297:CUH524299 DEC524297:DED524299 DNY524297:DNZ524299 DXU524297:DXV524299 EHQ524297:EHR524299 ERM524297:ERN524299 FBI524297:FBJ524299 FLE524297:FLF524299 FVA524297:FVB524299 GEW524297:GEX524299 GOS524297:GOT524299 GYO524297:GYP524299 HIK524297:HIL524299 HSG524297:HSH524299 ICC524297:ICD524299 ILY524297:ILZ524299 IVU524297:IVV524299 JFQ524297:JFR524299 JPM524297:JPN524299 JZI524297:JZJ524299 KJE524297:KJF524299 KTA524297:KTB524299 LCW524297:LCX524299 LMS524297:LMT524299 LWO524297:LWP524299 MGK524297:MGL524299 MQG524297:MQH524299 NAC524297:NAD524299 NJY524297:NJZ524299 NTU524297:NTV524299 ODQ524297:ODR524299 ONM524297:ONN524299 OXI524297:OXJ524299 PHE524297:PHF524299 PRA524297:PRB524299 QAW524297:QAX524299 QKS524297:QKT524299 QUO524297:QUP524299 REK524297:REL524299 ROG524297:ROH524299 RYC524297:RYD524299 SHY524297:SHZ524299 SRU524297:SRV524299 TBQ524297:TBR524299 TLM524297:TLN524299 TVI524297:TVJ524299 UFE524297:UFF524299 UPA524297:UPB524299 UYW524297:UYX524299 VIS524297:VIT524299 VSO524297:VSP524299 WCK524297:WCL524299 WMG524297:WMH524299 WWC524297:WWD524299 U589833:V589835 JQ589833:JR589835 TM589833:TN589835 ADI589833:ADJ589835 ANE589833:ANF589835 AXA589833:AXB589835 BGW589833:BGX589835 BQS589833:BQT589835 CAO589833:CAP589835 CKK589833:CKL589835 CUG589833:CUH589835 DEC589833:DED589835 DNY589833:DNZ589835 DXU589833:DXV589835 EHQ589833:EHR589835 ERM589833:ERN589835 FBI589833:FBJ589835 FLE589833:FLF589835 FVA589833:FVB589835 GEW589833:GEX589835 GOS589833:GOT589835 GYO589833:GYP589835 HIK589833:HIL589835 HSG589833:HSH589835 ICC589833:ICD589835 ILY589833:ILZ589835 IVU589833:IVV589835 JFQ589833:JFR589835 JPM589833:JPN589835 JZI589833:JZJ589835 KJE589833:KJF589835 KTA589833:KTB589835 LCW589833:LCX589835 LMS589833:LMT589835 LWO589833:LWP589835 MGK589833:MGL589835 MQG589833:MQH589835 NAC589833:NAD589835 NJY589833:NJZ589835 NTU589833:NTV589835 ODQ589833:ODR589835 ONM589833:ONN589835 OXI589833:OXJ589835 PHE589833:PHF589835 PRA589833:PRB589835 QAW589833:QAX589835 QKS589833:QKT589835 QUO589833:QUP589835 REK589833:REL589835 ROG589833:ROH589835 RYC589833:RYD589835 SHY589833:SHZ589835 SRU589833:SRV589835 TBQ589833:TBR589835 TLM589833:TLN589835 TVI589833:TVJ589835 UFE589833:UFF589835 UPA589833:UPB589835 UYW589833:UYX589835 VIS589833:VIT589835 VSO589833:VSP589835 WCK589833:WCL589835 WMG589833:WMH589835 WWC589833:WWD589835 U655369:V655371 JQ655369:JR655371 TM655369:TN655371 ADI655369:ADJ655371 ANE655369:ANF655371 AXA655369:AXB655371 BGW655369:BGX655371 BQS655369:BQT655371 CAO655369:CAP655371 CKK655369:CKL655371 CUG655369:CUH655371 DEC655369:DED655371 DNY655369:DNZ655371 DXU655369:DXV655371 EHQ655369:EHR655371 ERM655369:ERN655371 FBI655369:FBJ655371 FLE655369:FLF655371 FVA655369:FVB655371 GEW655369:GEX655371 GOS655369:GOT655371 GYO655369:GYP655371 HIK655369:HIL655371 HSG655369:HSH655371 ICC655369:ICD655371 ILY655369:ILZ655371 IVU655369:IVV655371 JFQ655369:JFR655371 JPM655369:JPN655371 JZI655369:JZJ655371 KJE655369:KJF655371 KTA655369:KTB655371 LCW655369:LCX655371 LMS655369:LMT655371 LWO655369:LWP655371 MGK655369:MGL655371 MQG655369:MQH655371 NAC655369:NAD655371 NJY655369:NJZ655371 NTU655369:NTV655371 ODQ655369:ODR655371 ONM655369:ONN655371 OXI655369:OXJ655371 PHE655369:PHF655371 PRA655369:PRB655371 QAW655369:QAX655371 QKS655369:QKT655371 QUO655369:QUP655371 REK655369:REL655371 ROG655369:ROH655371 RYC655369:RYD655371 SHY655369:SHZ655371 SRU655369:SRV655371 TBQ655369:TBR655371 TLM655369:TLN655371 TVI655369:TVJ655371 UFE655369:UFF655371 UPA655369:UPB655371 UYW655369:UYX655371 VIS655369:VIT655371 VSO655369:VSP655371 WCK655369:WCL655371 WMG655369:WMH655371 WWC655369:WWD655371 U720905:V720907 JQ720905:JR720907 TM720905:TN720907 ADI720905:ADJ720907 ANE720905:ANF720907 AXA720905:AXB720907 BGW720905:BGX720907 BQS720905:BQT720907 CAO720905:CAP720907 CKK720905:CKL720907 CUG720905:CUH720907 DEC720905:DED720907 DNY720905:DNZ720907 DXU720905:DXV720907 EHQ720905:EHR720907 ERM720905:ERN720907 FBI720905:FBJ720907 FLE720905:FLF720907 FVA720905:FVB720907 GEW720905:GEX720907 GOS720905:GOT720907 GYO720905:GYP720907 HIK720905:HIL720907 HSG720905:HSH720907 ICC720905:ICD720907 ILY720905:ILZ720907 IVU720905:IVV720907 JFQ720905:JFR720907 JPM720905:JPN720907 JZI720905:JZJ720907 KJE720905:KJF720907 KTA720905:KTB720907 LCW720905:LCX720907 LMS720905:LMT720907 LWO720905:LWP720907 MGK720905:MGL720907 MQG720905:MQH720907 NAC720905:NAD720907 NJY720905:NJZ720907 NTU720905:NTV720907 ODQ720905:ODR720907 ONM720905:ONN720907 OXI720905:OXJ720907 PHE720905:PHF720907 PRA720905:PRB720907 QAW720905:QAX720907 QKS720905:QKT720907 QUO720905:QUP720907 REK720905:REL720907 ROG720905:ROH720907 RYC720905:RYD720907 SHY720905:SHZ720907 SRU720905:SRV720907 TBQ720905:TBR720907 TLM720905:TLN720907 TVI720905:TVJ720907 UFE720905:UFF720907 UPA720905:UPB720907 UYW720905:UYX720907 VIS720905:VIT720907 VSO720905:VSP720907 WCK720905:WCL720907 WMG720905:WMH720907 WWC720905:WWD720907 U786441:V786443 JQ786441:JR786443 TM786441:TN786443 ADI786441:ADJ786443 ANE786441:ANF786443 AXA786441:AXB786443 BGW786441:BGX786443 BQS786441:BQT786443 CAO786441:CAP786443 CKK786441:CKL786443 CUG786441:CUH786443 DEC786441:DED786443 DNY786441:DNZ786443 DXU786441:DXV786443 EHQ786441:EHR786443 ERM786441:ERN786443 FBI786441:FBJ786443 FLE786441:FLF786443 FVA786441:FVB786443 GEW786441:GEX786443 GOS786441:GOT786443 GYO786441:GYP786443 HIK786441:HIL786443 HSG786441:HSH786443 ICC786441:ICD786443 ILY786441:ILZ786443 IVU786441:IVV786443 JFQ786441:JFR786443 JPM786441:JPN786443 JZI786441:JZJ786443 KJE786441:KJF786443 KTA786441:KTB786443 LCW786441:LCX786443 LMS786441:LMT786443 LWO786441:LWP786443 MGK786441:MGL786443 MQG786441:MQH786443 NAC786441:NAD786443 NJY786441:NJZ786443 NTU786441:NTV786443 ODQ786441:ODR786443 ONM786441:ONN786443 OXI786441:OXJ786443 PHE786441:PHF786443 PRA786441:PRB786443 QAW786441:QAX786443 QKS786441:QKT786443 QUO786441:QUP786443 REK786441:REL786443 ROG786441:ROH786443 RYC786441:RYD786443 SHY786441:SHZ786443 SRU786441:SRV786443 TBQ786441:TBR786443 TLM786441:TLN786443 TVI786441:TVJ786443 UFE786441:UFF786443 UPA786441:UPB786443 UYW786441:UYX786443 VIS786441:VIT786443 VSO786441:VSP786443 WCK786441:WCL786443 WMG786441:WMH786443 WWC786441:WWD786443 U851977:V851979 JQ851977:JR851979 TM851977:TN851979 ADI851977:ADJ851979 ANE851977:ANF851979 AXA851977:AXB851979 BGW851977:BGX851979 BQS851977:BQT851979 CAO851977:CAP851979 CKK851977:CKL851979 CUG851977:CUH851979 DEC851977:DED851979 DNY851977:DNZ851979 DXU851977:DXV851979 EHQ851977:EHR851979 ERM851977:ERN851979 FBI851977:FBJ851979 FLE851977:FLF851979 FVA851977:FVB851979 GEW851977:GEX851979 GOS851977:GOT851979 GYO851977:GYP851979 HIK851977:HIL851979 HSG851977:HSH851979 ICC851977:ICD851979 ILY851977:ILZ851979 IVU851977:IVV851979 JFQ851977:JFR851979 JPM851977:JPN851979 JZI851977:JZJ851979 KJE851977:KJF851979 KTA851977:KTB851979 LCW851977:LCX851979 LMS851977:LMT851979 LWO851977:LWP851979 MGK851977:MGL851979 MQG851977:MQH851979 NAC851977:NAD851979 NJY851977:NJZ851979 NTU851977:NTV851979 ODQ851977:ODR851979 ONM851977:ONN851979 OXI851977:OXJ851979 PHE851977:PHF851979 PRA851977:PRB851979 QAW851977:QAX851979 QKS851977:QKT851979 QUO851977:QUP851979 REK851977:REL851979 ROG851977:ROH851979 RYC851977:RYD851979 SHY851977:SHZ851979 SRU851977:SRV851979 TBQ851977:TBR851979 TLM851977:TLN851979 TVI851977:TVJ851979 UFE851977:UFF851979 UPA851977:UPB851979 UYW851977:UYX851979 VIS851977:VIT851979 VSO851977:VSP851979 WCK851977:WCL851979 WMG851977:WMH851979 WWC851977:WWD851979 U917513:V917515 JQ917513:JR917515 TM917513:TN917515 ADI917513:ADJ917515 ANE917513:ANF917515 AXA917513:AXB917515 BGW917513:BGX917515 BQS917513:BQT917515 CAO917513:CAP917515 CKK917513:CKL917515 CUG917513:CUH917515 DEC917513:DED917515 DNY917513:DNZ917515 DXU917513:DXV917515 EHQ917513:EHR917515 ERM917513:ERN917515 FBI917513:FBJ917515 FLE917513:FLF917515 FVA917513:FVB917515 GEW917513:GEX917515 GOS917513:GOT917515 GYO917513:GYP917515 HIK917513:HIL917515 HSG917513:HSH917515 ICC917513:ICD917515 ILY917513:ILZ917515 IVU917513:IVV917515 JFQ917513:JFR917515 JPM917513:JPN917515 JZI917513:JZJ917515 KJE917513:KJF917515 KTA917513:KTB917515 LCW917513:LCX917515 LMS917513:LMT917515 LWO917513:LWP917515 MGK917513:MGL917515 MQG917513:MQH917515 NAC917513:NAD917515 NJY917513:NJZ917515 NTU917513:NTV917515 ODQ917513:ODR917515 ONM917513:ONN917515 OXI917513:OXJ917515 PHE917513:PHF917515 PRA917513:PRB917515 QAW917513:QAX917515 QKS917513:QKT917515 QUO917513:QUP917515 REK917513:REL917515 ROG917513:ROH917515 RYC917513:RYD917515 SHY917513:SHZ917515 SRU917513:SRV917515 TBQ917513:TBR917515 TLM917513:TLN917515 TVI917513:TVJ917515 UFE917513:UFF917515 UPA917513:UPB917515 UYW917513:UYX917515 VIS917513:VIT917515 VSO917513:VSP917515 WCK917513:WCL917515 WMG917513:WMH917515 WWC917513:WWD917515 U983049:V983051 JQ983049:JR983051 TM983049:TN983051 ADI983049:ADJ983051 ANE983049:ANF983051 AXA983049:AXB983051 BGW983049:BGX983051 BQS983049:BQT983051 CAO983049:CAP983051 CKK983049:CKL983051 CUG983049:CUH983051 DEC983049:DED983051 DNY983049:DNZ983051 DXU983049:DXV983051 EHQ983049:EHR983051 ERM983049:ERN983051 FBI983049:FBJ983051 FLE983049:FLF983051 FVA983049:FVB983051 GEW983049:GEX983051 GOS983049:GOT983051 GYO983049:GYP983051 HIK983049:HIL983051 HSG983049:HSH983051 ICC983049:ICD983051 ILY983049:ILZ983051 IVU983049:IVV983051 JFQ983049:JFR983051 JPM983049:JPN983051 JZI983049:JZJ983051 KJE983049:KJF983051 KTA983049:KTB983051 LCW983049:LCX983051 LMS983049:LMT983051 LWO983049:LWP983051 MGK983049:MGL983051 MQG983049:MQH983051 NAC983049:NAD983051 NJY983049:NJZ983051 NTU983049:NTV983051 ODQ983049:ODR983051 ONM983049:ONN983051 OXI983049:OXJ983051 PHE983049:PHF983051 PRA983049:PRB983051 QAW983049:QAX983051 QKS983049:QKT983051 QUO983049:QUP983051 REK983049:REL983051 ROG983049:ROH983051 RYC983049:RYD983051 SHY983049:SHZ983051 SRU983049:SRV983051 TBQ983049:TBR983051 TLM983049:TLN983051 TVI983049:TVJ983051 UFE983049:UFF983051 UPA983049:UPB983051 UYW983049:UYX983051 VIS983049:VIT983051 VSO983049:VSP983051 WCK983049:WCL983051 WMG983049:WMH983051 WWC983049:WWD983051">
      <formula1>$T$12:$T$35</formula1>
    </dataValidation>
    <dataValidation type="list" allowBlank="1" showInputMessage="1" showErrorMessage="1" sqref="B9:C11 IX9:IY11 ST9:SU11 ACP9:ACQ11 AML9:AMM11 AWH9:AWI11 BGD9:BGE11 BPZ9:BQA11 BZV9:BZW11 CJR9:CJS11 CTN9:CTO11 DDJ9:DDK11 DNF9:DNG11 DXB9:DXC11 EGX9:EGY11 EQT9:EQU11 FAP9:FAQ11 FKL9:FKM11 FUH9:FUI11 GED9:GEE11 GNZ9:GOA11 GXV9:GXW11 HHR9:HHS11 HRN9:HRO11 IBJ9:IBK11 ILF9:ILG11 IVB9:IVC11 JEX9:JEY11 JOT9:JOU11 JYP9:JYQ11 KIL9:KIM11 KSH9:KSI11 LCD9:LCE11 LLZ9:LMA11 LVV9:LVW11 MFR9:MFS11 MPN9:MPO11 MZJ9:MZK11 NJF9:NJG11 NTB9:NTC11 OCX9:OCY11 OMT9:OMU11 OWP9:OWQ11 PGL9:PGM11 PQH9:PQI11 QAD9:QAE11 QJZ9:QKA11 QTV9:QTW11 RDR9:RDS11 RNN9:RNO11 RXJ9:RXK11 SHF9:SHG11 SRB9:SRC11 TAX9:TAY11 TKT9:TKU11 TUP9:TUQ11 UEL9:UEM11 UOH9:UOI11 UYD9:UYE11 VHZ9:VIA11 VRV9:VRW11 WBR9:WBS11 WLN9:WLO11 WVJ9:WVK11 B65545:C65547 IX65545:IY65547 ST65545:SU65547 ACP65545:ACQ65547 AML65545:AMM65547 AWH65545:AWI65547 BGD65545:BGE65547 BPZ65545:BQA65547 BZV65545:BZW65547 CJR65545:CJS65547 CTN65545:CTO65547 DDJ65545:DDK65547 DNF65545:DNG65547 DXB65545:DXC65547 EGX65545:EGY65547 EQT65545:EQU65547 FAP65545:FAQ65547 FKL65545:FKM65547 FUH65545:FUI65547 GED65545:GEE65547 GNZ65545:GOA65547 GXV65545:GXW65547 HHR65545:HHS65547 HRN65545:HRO65547 IBJ65545:IBK65547 ILF65545:ILG65547 IVB65545:IVC65547 JEX65545:JEY65547 JOT65545:JOU65547 JYP65545:JYQ65547 KIL65545:KIM65547 KSH65545:KSI65547 LCD65545:LCE65547 LLZ65545:LMA65547 LVV65545:LVW65547 MFR65545:MFS65547 MPN65545:MPO65547 MZJ65545:MZK65547 NJF65545:NJG65547 NTB65545:NTC65547 OCX65545:OCY65547 OMT65545:OMU65547 OWP65545:OWQ65547 PGL65545:PGM65547 PQH65545:PQI65547 QAD65545:QAE65547 QJZ65545:QKA65547 QTV65545:QTW65547 RDR65545:RDS65547 RNN65545:RNO65547 RXJ65545:RXK65547 SHF65545:SHG65547 SRB65545:SRC65547 TAX65545:TAY65547 TKT65545:TKU65547 TUP65545:TUQ65547 UEL65545:UEM65547 UOH65545:UOI65547 UYD65545:UYE65547 VHZ65545:VIA65547 VRV65545:VRW65547 WBR65545:WBS65547 WLN65545:WLO65547 WVJ65545:WVK65547 B131081:C131083 IX131081:IY131083 ST131081:SU131083 ACP131081:ACQ131083 AML131081:AMM131083 AWH131081:AWI131083 BGD131081:BGE131083 BPZ131081:BQA131083 BZV131081:BZW131083 CJR131081:CJS131083 CTN131081:CTO131083 DDJ131081:DDK131083 DNF131081:DNG131083 DXB131081:DXC131083 EGX131081:EGY131083 EQT131081:EQU131083 FAP131081:FAQ131083 FKL131081:FKM131083 FUH131081:FUI131083 GED131081:GEE131083 GNZ131081:GOA131083 GXV131081:GXW131083 HHR131081:HHS131083 HRN131081:HRO131083 IBJ131081:IBK131083 ILF131081:ILG131083 IVB131081:IVC131083 JEX131081:JEY131083 JOT131081:JOU131083 JYP131081:JYQ131083 KIL131081:KIM131083 KSH131081:KSI131083 LCD131081:LCE131083 LLZ131081:LMA131083 LVV131081:LVW131083 MFR131081:MFS131083 MPN131081:MPO131083 MZJ131081:MZK131083 NJF131081:NJG131083 NTB131081:NTC131083 OCX131081:OCY131083 OMT131081:OMU131083 OWP131081:OWQ131083 PGL131081:PGM131083 PQH131081:PQI131083 QAD131081:QAE131083 QJZ131081:QKA131083 QTV131081:QTW131083 RDR131081:RDS131083 RNN131081:RNO131083 RXJ131081:RXK131083 SHF131081:SHG131083 SRB131081:SRC131083 TAX131081:TAY131083 TKT131081:TKU131083 TUP131081:TUQ131083 UEL131081:UEM131083 UOH131081:UOI131083 UYD131081:UYE131083 VHZ131081:VIA131083 VRV131081:VRW131083 WBR131081:WBS131083 WLN131081:WLO131083 WVJ131081:WVK131083 B196617:C196619 IX196617:IY196619 ST196617:SU196619 ACP196617:ACQ196619 AML196617:AMM196619 AWH196617:AWI196619 BGD196617:BGE196619 BPZ196617:BQA196619 BZV196617:BZW196619 CJR196617:CJS196619 CTN196617:CTO196619 DDJ196617:DDK196619 DNF196617:DNG196619 DXB196617:DXC196619 EGX196617:EGY196619 EQT196617:EQU196619 FAP196617:FAQ196619 FKL196617:FKM196619 FUH196617:FUI196619 GED196617:GEE196619 GNZ196617:GOA196619 GXV196617:GXW196619 HHR196617:HHS196619 HRN196617:HRO196619 IBJ196617:IBK196619 ILF196617:ILG196619 IVB196617:IVC196619 JEX196617:JEY196619 JOT196617:JOU196619 JYP196617:JYQ196619 KIL196617:KIM196619 KSH196617:KSI196619 LCD196617:LCE196619 LLZ196617:LMA196619 LVV196617:LVW196619 MFR196617:MFS196619 MPN196617:MPO196619 MZJ196617:MZK196619 NJF196617:NJG196619 NTB196617:NTC196619 OCX196617:OCY196619 OMT196617:OMU196619 OWP196617:OWQ196619 PGL196617:PGM196619 PQH196617:PQI196619 QAD196617:QAE196619 QJZ196617:QKA196619 QTV196617:QTW196619 RDR196617:RDS196619 RNN196617:RNO196619 RXJ196617:RXK196619 SHF196617:SHG196619 SRB196617:SRC196619 TAX196617:TAY196619 TKT196617:TKU196619 TUP196617:TUQ196619 UEL196617:UEM196619 UOH196617:UOI196619 UYD196617:UYE196619 VHZ196617:VIA196619 VRV196617:VRW196619 WBR196617:WBS196619 WLN196617:WLO196619 WVJ196617:WVK196619 B262153:C262155 IX262153:IY262155 ST262153:SU262155 ACP262153:ACQ262155 AML262153:AMM262155 AWH262153:AWI262155 BGD262153:BGE262155 BPZ262153:BQA262155 BZV262153:BZW262155 CJR262153:CJS262155 CTN262153:CTO262155 DDJ262153:DDK262155 DNF262153:DNG262155 DXB262153:DXC262155 EGX262153:EGY262155 EQT262153:EQU262155 FAP262153:FAQ262155 FKL262153:FKM262155 FUH262153:FUI262155 GED262153:GEE262155 GNZ262153:GOA262155 GXV262153:GXW262155 HHR262153:HHS262155 HRN262153:HRO262155 IBJ262153:IBK262155 ILF262153:ILG262155 IVB262153:IVC262155 JEX262153:JEY262155 JOT262153:JOU262155 JYP262153:JYQ262155 KIL262153:KIM262155 KSH262153:KSI262155 LCD262153:LCE262155 LLZ262153:LMA262155 LVV262153:LVW262155 MFR262153:MFS262155 MPN262153:MPO262155 MZJ262153:MZK262155 NJF262153:NJG262155 NTB262153:NTC262155 OCX262153:OCY262155 OMT262153:OMU262155 OWP262153:OWQ262155 PGL262153:PGM262155 PQH262153:PQI262155 QAD262153:QAE262155 QJZ262153:QKA262155 QTV262153:QTW262155 RDR262153:RDS262155 RNN262153:RNO262155 RXJ262153:RXK262155 SHF262153:SHG262155 SRB262153:SRC262155 TAX262153:TAY262155 TKT262153:TKU262155 TUP262153:TUQ262155 UEL262153:UEM262155 UOH262153:UOI262155 UYD262153:UYE262155 VHZ262153:VIA262155 VRV262153:VRW262155 WBR262153:WBS262155 WLN262153:WLO262155 WVJ262153:WVK262155 B327689:C327691 IX327689:IY327691 ST327689:SU327691 ACP327689:ACQ327691 AML327689:AMM327691 AWH327689:AWI327691 BGD327689:BGE327691 BPZ327689:BQA327691 BZV327689:BZW327691 CJR327689:CJS327691 CTN327689:CTO327691 DDJ327689:DDK327691 DNF327689:DNG327691 DXB327689:DXC327691 EGX327689:EGY327691 EQT327689:EQU327691 FAP327689:FAQ327691 FKL327689:FKM327691 FUH327689:FUI327691 GED327689:GEE327691 GNZ327689:GOA327691 GXV327689:GXW327691 HHR327689:HHS327691 HRN327689:HRO327691 IBJ327689:IBK327691 ILF327689:ILG327691 IVB327689:IVC327691 JEX327689:JEY327691 JOT327689:JOU327691 JYP327689:JYQ327691 KIL327689:KIM327691 KSH327689:KSI327691 LCD327689:LCE327691 LLZ327689:LMA327691 LVV327689:LVW327691 MFR327689:MFS327691 MPN327689:MPO327691 MZJ327689:MZK327691 NJF327689:NJG327691 NTB327689:NTC327691 OCX327689:OCY327691 OMT327689:OMU327691 OWP327689:OWQ327691 PGL327689:PGM327691 PQH327689:PQI327691 QAD327689:QAE327691 QJZ327689:QKA327691 QTV327689:QTW327691 RDR327689:RDS327691 RNN327689:RNO327691 RXJ327689:RXK327691 SHF327689:SHG327691 SRB327689:SRC327691 TAX327689:TAY327691 TKT327689:TKU327691 TUP327689:TUQ327691 UEL327689:UEM327691 UOH327689:UOI327691 UYD327689:UYE327691 VHZ327689:VIA327691 VRV327689:VRW327691 WBR327689:WBS327691 WLN327689:WLO327691 WVJ327689:WVK327691 B393225:C393227 IX393225:IY393227 ST393225:SU393227 ACP393225:ACQ393227 AML393225:AMM393227 AWH393225:AWI393227 BGD393225:BGE393227 BPZ393225:BQA393227 BZV393225:BZW393227 CJR393225:CJS393227 CTN393225:CTO393227 DDJ393225:DDK393227 DNF393225:DNG393227 DXB393225:DXC393227 EGX393225:EGY393227 EQT393225:EQU393227 FAP393225:FAQ393227 FKL393225:FKM393227 FUH393225:FUI393227 GED393225:GEE393227 GNZ393225:GOA393227 GXV393225:GXW393227 HHR393225:HHS393227 HRN393225:HRO393227 IBJ393225:IBK393227 ILF393225:ILG393227 IVB393225:IVC393227 JEX393225:JEY393227 JOT393225:JOU393227 JYP393225:JYQ393227 KIL393225:KIM393227 KSH393225:KSI393227 LCD393225:LCE393227 LLZ393225:LMA393227 LVV393225:LVW393227 MFR393225:MFS393227 MPN393225:MPO393227 MZJ393225:MZK393227 NJF393225:NJG393227 NTB393225:NTC393227 OCX393225:OCY393227 OMT393225:OMU393227 OWP393225:OWQ393227 PGL393225:PGM393227 PQH393225:PQI393227 QAD393225:QAE393227 QJZ393225:QKA393227 QTV393225:QTW393227 RDR393225:RDS393227 RNN393225:RNO393227 RXJ393225:RXK393227 SHF393225:SHG393227 SRB393225:SRC393227 TAX393225:TAY393227 TKT393225:TKU393227 TUP393225:TUQ393227 UEL393225:UEM393227 UOH393225:UOI393227 UYD393225:UYE393227 VHZ393225:VIA393227 VRV393225:VRW393227 WBR393225:WBS393227 WLN393225:WLO393227 WVJ393225:WVK393227 B458761:C458763 IX458761:IY458763 ST458761:SU458763 ACP458761:ACQ458763 AML458761:AMM458763 AWH458761:AWI458763 BGD458761:BGE458763 BPZ458761:BQA458763 BZV458761:BZW458763 CJR458761:CJS458763 CTN458761:CTO458763 DDJ458761:DDK458763 DNF458761:DNG458763 DXB458761:DXC458763 EGX458761:EGY458763 EQT458761:EQU458763 FAP458761:FAQ458763 FKL458761:FKM458763 FUH458761:FUI458763 GED458761:GEE458763 GNZ458761:GOA458763 GXV458761:GXW458763 HHR458761:HHS458763 HRN458761:HRO458763 IBJ458761:IBK458763 ILF458761:ILG458763 IVB458761:IVC458763 JEX458761:JEY458763 JOT458761:JOU458763 JYP458761:JYQ458763 KIL458761:KIM458763 KSH458761:KSI458763 LCD458761:LCE458763 LLZ458761:LMA458763 LVV458761:LVW458763 MFR458761:MFS458763 MPN458761:MPO458763 MZJ458761:MZK458763 NJF458761:NJG458763 NTB458761:NTC458763 OCX458761:OCY458763 OMT458761:OMU458763 OWP458761:OWQ458763 PGL458761:PGM458763 PQH458761:PQI458763 QAD458761:QAE458763 QJZ458761:QKA458763 QTV458761:QTW458763 RDR458761:RDS458763 RNN458761:RNO458763 RXJ458761:RXK458763 SHF458761:SHG458763 SRB458761:SRC458763 TAX458761:TAY458763 TKT458761:TKU458763 TUP458761:TUQ458763 UEL458761:UEM458763 UOH458761:UOI458763 UYD458761:UYE458763 VHZ458761:VIA458763 VRV458761:VRW458763 WBR458761:WBS458763 WLN458761:WLO458763 WVJ458761:WVK458763 B524297:C524299 IX524297:IY524299 ST524297:SU524299 ACP524297:ACQ524299 AML524297:AMM524299 AWH524297:AWI524299 BGD524297:BGE524299 BPZ524297:BQA524299 BZV524297:BZW524299 CJR524297:CJS524299 CTN524297:CTO524299 DDJ524297:DDK524299 DNF524297:DNG524299 DXB524297:DXC524299 EGX524297:EGY524299 EQT524297:EQU524299 FAP524297:FAQ524299 FKL524297:FKM524299 FUH524297:FUI524299 GED524297:GEE524299 GNZ524297:GOA524299 GXV524297:GXW524299 HHR524297:HHS524299 HRN524297:HRO524299 IBJ524297:IBK524299 ILF524297:ILG524299 IVB524297:IVC524299 JEX524297:JEY524299 JOT524297:JOU524299 JYP524297:JYQ524299 KIL524297:KIM524299 KSH524297:KSI524299 LCD524297:LCE524299 LLZ524297:LMA524299 LVV524297:LVW524299 MFR524297:MFS524299 MPN524297:MPO524299 MZJ524297:MZK524299 NJF524297:NJG524299 NTB524297:NTC524299 OCX524297:OCY524299 OMT524297:OMU524299 OWP524297:OWQ524299 PGL524297:PGM524299 PQH524297:PQI524299 QAD524297:QAE524299 QJZ524297:QKA524299 QTV524297:QTW524299 RDR524297:RDS524299 RNN524297:RNO524299 RXJ524297:RXK524299 SHF524297:SHG524299 SRB524297:SRC524299 TAX524297:TAY524299 TKT524297:TKU524299 TUP524297:TUQ524299 UEL524297:UEM524299 UOH524297:UOI524299 UYD524297:UYE524299 VHZ524297:VIA524299 VRV524297:VRW524299 WBR524297:WBS524299 WLN524297:WLO524299 WVJ524297:WVK524299 B589833:C589835 IX589833:IY589835 ST589833:SU589835 ACP589833:ACQ589835 AML589833:AMM589835 AWH589833:AWI589835 BGD589833:BGE589835 BPZ589833:BQA589835 BZV589833:BZW589835 CJR589833:CJS589835 CTN589833:CTO589835 DDJ589833:DDK589835 DNF589833:DNG589835 DXB589833:DXC589835 EGX589833:EGY589835 EQT589833:EQU589835 FAP589833:FAQ589835 FKL589833:FKM589835 FUH589833:FUI589835 GED589833:GEE589835 GNZ589833:GOA589835 GXV589833:GXW589835 HHR589833:HHS589835 HRN589833:HRO589835 IBJ589833:IBK589835 ILF589833:ILG589835 IVB589833:IVC589835 JEX589833:JEY589835 JOT589833:JOU589835 JYP589833:JYQ589835 KIL589833:KIM589835 KSH589833:KSI589835 LCD589833:LCE589835 LLZ589833:LMA589835 LVV589833:LVW589835 MFR589833:MFS589835 MPN589833:MPO589835 MZJ589833:MZK589835 NJF589833:NJG589835 NTB589833:NTC589835 OCX589833:OCY589835 OMT589833:OMU589835 OWP589833:OWQ589835 PGL589833:PGM589835 PQH589833:PQI589835 QAD589833:QAE589835 QJZ589833:QKA589835 QTV589833:QTW589835 RDR589833:RDS589835 RNN589833:RNO589835 RXJ589833:RXK589835 SHF589833:SHG589835 SRB589833:SRC589835 TAX589833:TAY589835 TKT589833:TKU589835 TUP589833:TUQ589835 UEL589833:UEM589835 UOH589833:UOI589835 UYD589833:UYE589835 VHZ589833:VIA589835 VRV589833:VRW589835 WBR589833:WBS589835 WLN589833:WLO589835 WVJ589833:WVK589835 B655369:C655371 IX655369:IY655371 ST655369:SU655371 ACP655369:ACQ655371 AML655369:AMM655371 AWH655369:AWI655371 BGD655369:BGE655371 BPZ655369:BQA655371 BZV655369:BZW655371 CJR655369:CJS655371 CTN655369:CTO655371 DDJ655369:DDK655371 DNF655369:DNG655371 DXB655369:DXC655371 EGX655369:EGY655371 EQT655369:EQU655371 FAP655369:FAQ655371 FKL655369:FKM655371 FUH655369:FUI655371 GED655369:GEE655371 GNZ655369:GOA655371 GXV655369:GXW655371 HHR655369:HHS655371 HRN655369:HRO655371 IBJ655369:IBK655371 ILF655369:ILG655371 IVB655369:IVC655371 JEX655369:JEY655371 JOT655369:JOU655371 JYP655369:JYQ655371 KIL655369:KIM655371 KSH655369:KSI655371 LCD655369:LCE655371 LLZ655369:LMA655371 LVV655369:LVW655371 MFR655369:MFS655371 MPN655369:MPO655371 MZJ655369:MZK655371 NJF655369:NJG655371 NTB655369:NTC655371 OCX655369:OCY655371 OMT655369:OMU655371 OWP655369:OWQ655371 PGL655369:PGM655371 PQH655369:PQI655371 QAD655369:QAE655371 QJZ655369:QKA655371 QTV655369:QTW655371 RDR655369:RDS655371 RNN655369:RNO655371 RXJ655369:RXK655371 SHF655369:SHG655371 SRB655369:SRC655371 TAX655369:TAY655371 TKT655369:TKU655371 TUP655369:TUQ655371 UEL655369:UEM655371 UOH655369:UOI655371 UYD655369:UYE655371 VHZ655369:VIA655371 VRV655369:VRW655371 WBR655369:WBS655371 WLN655369:WLO655371 WVJ655369:WVK655371 B720905:C720907 IX720905:IY720907 ST720905:SU720907 ACP720905:ACQ720907 AML720905:AMM720907 AWH720905:AWI720907 BGD720905:BGE720907 BPZ720905:BQA720907 BZV720905:BZW720907 CJR720905:CJS720907 CTN720905:CTO720907 DDJ720905:DDK720907 DNF720905:DNG720907 DXB720905:DXC720907 EGX720905:EGY720907 EQT720905:EQU720907 FAP720905:FAQ720907 FKL720905:FKM720907 FUH720905:FUI720907 GED720905:GEE720907 GNZ720905:GOA720907 GXV720905:GXW720907 HHR720905:HHS720907 HRN720905:HRO720907 IBJ720905:IBK720907 ILF720905:ILG720907 IVB720905:IVC720907 JEX720905:JEY720907 JOT720905:JOU720907 JYP720905:JYQ720907 KIL720905:KIM720907 KSH720905:KSI720907 LCD720905:LCE720907 LLZ720905:LMA720907 LVV720905:LVW720907 MFR720905:MFS720907 MPN720905:MPO720907 MZJ720905:MZK720907 NJF720905:NJG720907 NTB720905:NTC720907 OCX720905:OCY720907 OMT720905:OMU720907 OWP720905:OWQ720907 PGL720905:PGM720907 PQH720905:PQI720907 QAD720905:QAE720907 QJZ720905:QKA720907 QTV720905:QTW720907 RDR720905:RDS720907 RNN720905:RNO720907 RXJ720905:RXK720907 SHF720905:SHG720907 SRB720905:SRC720907 TAX720905:TAY720907 TKT720905:TKU720907 TUP720905:TUQ720907 UEL720905:UEM720907 UOH720905:UOI720907 UYD720905:UYE720907 VHZ720905:VIA720907 VRV720905:VRW720907 WBR720905:WBS720907 WLN720905:WLO720907 WVJ720905:WVK720907 B786441:C786443 IX786441:IY786443 ST786441:SU786443 ACP786441:ACQ786443 AML786441:AMM786443 AWH786441:AWI786443 BGD786441:BGE786443 BPZ786441:BQA786443 BZV786441:BZW786443 CJR786441:CJS786443 CTN786441:CTO786443 DDJ786441:DDK786443 DNF786441:DNG786443 DXB786441:DXC786443 EGX786441:EGY786443 EQT786441:EQU786443 FAP786441:FAQ786443 FKL786441:FKM786443 FUH786441:FUI786443 GED786441:GEE786443 GNZ786441:GOA786443 GXV786441:GXW786443 HHR786441:HHS786443 HRN786441:HRO786443 IBJ786441:IBK786443 ILF786441:ILG786443 IVB786441:IVC786443 JEX786441:JEY786443 JOT786441:JOU786443 JYP786441:JYQ786443 KIL786441:KIM786443 KSH786441:KSI786443 LCD786441:LCE786443 LLZ786441:LMA786443 LVV786441:LVW786443 MFR786441:MFS786443 MPN786441:MPO786443 MZJ786441:MZK786443 NJF786441:NJG786443 NTB786441:NTC786443 OCX786441:OCY786443 OMT786441:OMU786443 OWP786441:OWQ786443 PGL786441:PGM786443 PQH786441:PQI786443 QAD786441:QAE786443 QJZ786441:QKA786443 QTV786441:QTW786443 RDR786441:RDS786443 RNN786441:RNO786443 RXJ786441:RXK786443 SHF786441:SHG786443 SRB786441:SRC786443 TAX786441:TAY786443 TKT786441:TKU786443 TUP786441:TUQ786443 UEL786441:UEM786443 UOH786441:UOI786443 UYD786441:UYE786443 VHZ786441:VIA786443 VRV786441:VRW786443 WBR786441:WBS786443 WLN786441:WLO786443 WVJ786441:WVK786443 B851977:C851979 IX851977:IY851979 ST851977:SU851979 ACP851977:ACQ851979 AML851977:AMM851979 AWH851977:AWI851979 BGD851977:BGE851979 BPZ851977:BQA851979 BZV851977:BZW851979 CJR851977:CJS851979 CTN851977:CTO851979 DDJ851977:DDK851979 DNF851977:DNG851979 DXB851977:DXC851979 EGX851977:EGY851979 EQT851977:EQU851979 FAP851977:FAQ851979 FKL851977:FKM851979 FUH851977:FUI851979 GED851977:GEE851979 GNZ851977:GOA851979 GXV851977:GXW851979 HHR851977:HHS851979 HRN851977:HRO851979 IBJ851977:IBK851979 ILF851977:ILG851979 IVB851977:IVC851979 JEX851977:JEY851979 JOT851977:JOU851979 JYP851977:JYQ851979 KIL851977:KIM851979 KSH851977:KSI851979 LCD851977:LCE851979 LLZ851977:LMA851979 LVV851977:LVW851979 MFR851977:MFS851979 MPN851977:MPO851979 MZJ851977:MZK851979 NJF851977:NJG851979 NTB851977:NTC851979 OCX851977:OCY851979 OMT851977:OMU851979 OWP851977:OWQ851979 PGL851977:PGM851979 PQH851977:PQI851979 QAD851977:QAE851979 QJZ851977:QKA851979 QTV851977:QTW851979 RDR851977:RDS851979 RNN851977:RNO851979 RXJ851977:RXK851979 SHF851977:SHG851979 SRB851977:SRC851979 TAX851977:TAY851979 TKT851977:TKU851979 TUP851977:TUQ851979 UEL851977:UEM851979 UOH851977:UOI851979 UYD851977:UYE851979 VHZ851977:VIA851979 VRV851977:VRW851979 WBR851977:WBS851979 WLN851977:WLO851979 WVJ851977:WVK851979 B917513:C917515 IX917513:IY917515 ST917513:SU917515 ACP917513:ACQ917515 AML917513:AMM917515 AWH917513:AWI917515 BGD917513:BGE917515 BPZ917513:BQA917515 BZV917513:BZW917515 CJR917513:CJS917515 CTN917513:CTO917515 DDJ917513:DDK917515 DNF917513:DNG917515 DXB917513:DXC917515 EGX917513:EGY917515 EQT917513:EQU917515 FAP917513:FAQ917515 FKL917513:FKM917515 FUH917513:FUI917515 GED917513:GEE917515 GNZ917513:GOA917515 GXV917513:GXW917515 HHR917513:HHS917515 HRN917513:HRO917515 IBJ917513:IBK917515 ILF917513:ILG917515 IVB917513:IVC917515 JEX917513:JEY917515 JOT917513:JOU917515 JYP917513:JYQ917515 KIL917513:KIM917515 KSH917513:KSI917515 LCD917513:LCE917515 LLZ917513:LMA917515 LVV917513:LVW917515 MFR917513:MFS917515 MPN917513:MPO917515 MZJ917513:MZK917515 NJF917513:NJG917515 NTB917513:NTC917515 OCX917513:OCY917515 OMT917513:OMU917515 OWP917513:OWQ917515 PGL917513:PGM917515 PQH917513:PQI917515 QAD917513:QAE917515 QJZ917513:QKA917515 QTV917513:QTW917515 RDR917513:RDS917515 RNN917513:RNO917515 RXJ917513:RXK917515 SHF917513:SHG917515 SRB917513:SRC917515 TAX917513:TAY917515 TKT917513:TKU917515 TUP917513:TUQ917515 UEL917513:UEM917515 UOH917513:UOI917515 UYD917513:UYE917515 VHZ917513:VIA917515 VRV917513:VRW917515 WBR917513:WBS917515 WLN917513:WLO917515 WVJ917513:WVK917515 B983049:C983051 IX983049:IY983051 ST983049:SU983051 ACP983049:ACQ983051 AML983049:AMM983051 AWH983049:AWI983051 BGD983049:BGE983051 BPZ983049:BQA983051 BZV983049:BZW983051 CJR983049:CJS983051 CTN983049:CTO983051 DDJ983049:DDK983051 DNF983049:DNG983051 DXB983049:DXC983051 EGX983049:EGY983051 EQT983049:EQU983051 FAP983049:FAQ983051 FKL983049:FKM983051 FUH983049:FUI983051 GED983049:GEE983051 GNZ983049:GOA983051 GXV983049:GXW983051 HHR983049:HHS983051 HRN983049:HRO983051 IBJ983049:IBK983051 ILF983049:ILG983051 IVB983049:IVC983051 JEX983049:JEY983051 JOT983049:JOU983051 JYP983049:JYQ983051 KIL983049:KIM983051 KSH983049:KSI983051 LCD983049:LCE983051 LLZ983049:LMA983051 LVV983049:LVW983051 MFR983049:MFS983051 MPN983049:MPO983051 MZJ983049:MZK983051 NJF983049:NJG983051 NTB983049:NTC983051 OCX983049:OCY983051 OMT983049:OMU983051 OWP983049:OWQ983051 PGL983049:PGM983051 PQH983049:PQI983051 QAD983049:QAE983051 QJZ983049:QKA983051 QTV983049:QTW983051 RDR983049:RDS983051 RNN983049:RNO983051 RXJ983049:RXK983051 SHF983049:SHG983051 SRB983049:SRC983051 TAX983049:TAY983051 TKT983049:TKU983051 TUP983049:TUQ983051 UEL983049:UEM983051 UOH983049:UOI983051 UYD983049:UYE983051 VHZ983049:VIA983051 VRV983049:VRW983051 WBR983049:WBS983051 WLN983049:WLO983051 WVJ983049:WVK983051">
      <formula1>$B$12:$B$20</formula1>
    </dataValidation>
    <dataValidation type="list" allowBlank="1" showInputMessage="1" showErrorMessage="1" sqref="L9:L11 JH9:JH11 TD9:TD11 ACZ9:ACZ11 AMV9:AMV11 AWR9:AWR11 BGN9:BGN11 BQJ9:BQJ11 CAF9:CAF11 CKB9:CKB11 CTX9:CTX11 DDT9:DDT11 DNP9:DNP11 DXL9:DXL11 EHH9:EHH11 ERD9:ERD11 FAZ9:FAZ11 FKV9:FKV11 FUR9:FUR11 GEN9:GEN11 GOJ9:GOJ11 GYF9:GYF11 HIB9:HIB11 HRX9:HRX11 IBT9:IBT11 ILP9:ILP11 IVL9:IVL11 JFH9:JFH11 JPD9:JPD11 JYZ9:JYZ11 KIV9:KIV11 KSR9:KSR11 LCN9:LCN11 LMJ9:LMJ11 LWF9:LWF11 MGB9:MGB11 MPX9:MPX11 MZT9:MZT11 NJP9:NJP11 NTL9:NTL11 ODH9:ODH11 OND9:OND11 OWZ9:OWZ11 PGV9:PGV11 PQR9:PQR11 QAN9:QAN11 QKJ9:QKJ11 QUF9:QUF11 REB9:REB11 RNX9:RNX11 RXT9:RXT11 SHP9:SHP11 SRL9:SRL11 TBH9:TBH11 TLD9:TLD11 TUZ9:TUZ11 UEV9:UEV11 UOR9:UOR11 UYN9:UYN11 VIJ9:VIJ11 VSF9:VSF11 WCB9:WCB11 WLX9:WLX11 WVT9:WVT11 L65545:L65547 JH65545:JH65547 TD65545:TD65547 ACZ65545:ACZ65547 AMV65545:AMV65547 AWR65545:AWR65547 BGN65545:BGN65547 BQJ65545:BQJ65547 CAF65545:CAF65547 CKB65545:CKB65547 CTX65545:CTX65547 DDT65545:DDT65547 DNP65545:DNP65547 DXL65545:DXL65547 EHH65545:EHH65547 ERD65545:ERD65547 FAZ65545:FAZ65547 FKV65545:FKV65547 FUR65545:FUR65547 GEN65545:GEN65547 GOJ65545:GOJ65547 GYF65545:GYF65547 HIB65545:HIB65547 HRX65545:HRX65547 IBT65545:IBT65547 ILP65545:ILP65547 IVL65545:IVL65547 JFH65545:JFH65547 JPD65545:JPD65547 JYZ65545:JYZ65547 KIV65545:KIV65547 KSR65545:KSR65547 LCN65545:LCN65547 LMJ65545:LMJ65547 LWF65545:LWF65547 MGB65545:MGB65547 MPX65545:MPX65547 MZT65545:MZT65547 NJP65545:NJP65547 NTL65545:NTL65547 ODH65545:ODH65547 OND65545:OND65547 OWZ65545:OWZ65547 PGV65545:PGV65547 PQR65545:PQR65547 QAN65545:QAN65547 QKJ65545:QKJ65547 QUF65545:QUF65547 REB65545:REB65547 RNX65545:RNX65547 RXT65545:RXT65547 SHP65545:SHP65547 SRL65545:SRL65547 TBH65545:TBH65547 TLD65545:TLD65547 TUZ65545:TUZ65547 UEV65545:UEV65547 UOR65545:UOR65547 UYN65545:UYN65547 VIJ65545:VIJ65547 VSF65545:VSF65547 WCB65545:WCB65547 WLX65545:WLX65547 WVT65545:WVT65547 L131081:L131083 JH131081:JH131083 TD131081:TD131083 ACZ131081:ACZ131083 AMV131081:AMV131083 AWR131081:AWR131083 BGN131081:BGN131083 BQJ131081:BQJ131083 CAF131081:CAF131083 CKB131081:CKB131083 CTX131081:CTX131083 DDT131081:DDT131083 DNP131081:DNP131083 DXL131081:DXL131083 EHH131081:EHH131083 ERD131081:ERD131083 FAZ131081:FAZ131083 FKV131081:FKV131083 FUR131081:FUR131083 GEN131081:GEN131083 GOJ131081:GOJ131083 GYF131081:GYF131083 HIB131081:HIB131083 HRX131081:HRX131083 IBT131081:IBT131083 ILP131081:ILP131083 IVL131081:IVL131083 JFH131081:JFH131083 JPD131081:JPD131083 JYZ131081:JYZ131083 KIV131081:KIV131083 KSR131081:KSR131083 LCN131081:LCN131083 LMJ131081:LMJ131083 LWF131081:LWF131083 MGB131081:MGB131083 MPX131081:MPX131083 MZT131081:MZT131083 NJP131081:NJP131083 NTL131081:NTL131083 ODH131081:ODH131083 OND131081:OND131083 OWZ131081:OWZ131083 PGV131081:PGV131083 PQR131081:PQR131083 QAN131081:QAN131083 QKJ131081:QKJ131083 QUF131081:QUF131083 REB131081:REB131083 RNX131081:RNX131083 RXT131081:RXT131083 SHP131081:SHP131083 SRL131081:SRL131083 TBH131081:TBH131083 TLD131081:TLD131083 TUZ131081:TUZ131083 UEV131081:UEV131083 UOR131081:UOR131083 UYN131081:UYN131083 VIJ131081:VIJ131083 VSF131081:VSF131083 WCB131081:WCB131083 WLX131081:WLX131083 WVT131081:WVT131083 L196617:L196619 JH196617:JH196619 TD196617:TD196619 ACZ196617:ACZ196619 AMV196617:AMV196619 AWR196617:AWR196619 BGN196617:BGN196619 BQJ196617:BQJ196619 CAF196617:CAF196619 CKB196617:CKB196619 CTX196617:CTX196619 DDT196617:DDT196619 DNP196617:DNP196619 DXL196617:DXL196619 EHH196617:EHH196619 ERD196617:ERD196619 FAZ196617:FAZ196619 FKV196617:FKV196619 FUR196617:FUR196619 GEN196617:GEN196619 GOJ196617:GOJ196619 GYF196617:GYF196619 HIB196617:HIB196619 HRX196617:HRX196619 IBT196617:IBT196619 ILP196617:ILP196619 IVL196617:IVL196619 JFH196617:JFH196619 JPD196617:JPD196619 JYZ196617:JYZ196619 KIV196617:KIV196619 KSR196617:KSR196619 LCN196617:LCN196619 LMJ196617:LMJ196619 LWF196617:LWF196619 MGB196617:MGB196619 MPX196617:MPX196619 MZT196617:MZT196619 NJP196617:NJP196619 NTL196617:NTL196619 ODH196617:ODH196619 OND196617:OND196619 OWZ196617:OWZ196619 PGV196617:PGV196619 PQR196617:PQR196619 QAN196617:QAN196619 QKJ196617:QKJ196619 QUF196617:QUF196619 REB196617:REB196619 RNX196617:RNX196619 RXT196617:RXT196619 SHP196617:SHP196619 SRL196617:SRL196619 TBH196617:TBH196619 TLD196617:TLD196619 TUZ196617:TUZ196619 UEV196617:UEV196619 UOR196617:UOR196619 UYN196617:UYN196619 VIJ196617:VIJ196619 VSF196617:VSF196619 WCB196617:WCB196619 WLX196617:WLX196619 WVT196617:WVT196619 L262153:L262155 JH262153:JH262155 TD262153:TD262155 ACZ262153:ACZ262155 AMV262153:AMV262155 AWR262153:AWR262155 BGN262153:BGN262155 BQJ262153:BQJ262155 CAF262153:CAF262155 CKB262153:CKB262155 CTX262153:CTX262155 DDT262153:DDT262155 DNP262153:DNP262155 DXL262153:DXL262155 EHH262153:EHH262155 ERD262153:ERD262155 FAZ262153:FAZ262155 FKV262153:FKV262155 FUR262153:FUR262155 GEN262153:GEN262155 GOJ262153:GOJ262155 GYF262153:GYF262155 HIB262153:HIB262155 HRX262153:HRX262155 IBT262153:IBT262155 ILP262153:ILP262155 IVL262153:IVL262155 JFH262153:JFH262155 JPD262153:JPD262155 JYZ262153:JYZ262155 KIV262153:KIV262155 KSR262153:KSR262155 LCN262153:LCN262155 LMJ262153:LMJ262155 LWF262153:LWF262155 MGB262153:MGB262155 MPX262153:MPX262155 MZT262153:MZT262155 NJP262153:NJP262155 NTL262153:NTL262155 ODH262153:ODH262155 OND262153:OND262155 OWZ262153:OWZ262155 PGV262153:PGV262155 PQR262153:PQR262155 QAN262153:QAN262155 QKJ262153:QKJ262155 QUF262153:QUF262155 REB262153:REB262155 RNX262153:RNX262155 RXT262153:RXT262155 SHP262153:SHP262155 SRL262153:SRL262155 TBH262153:TBH262155 TLD262153:TLD262155 TUZ262153:TUZ262155 UEV262153:UEV262155 UOR262153:UOR262155 UYN262153:UYN262155 VIJ262153:VIJ262155 VSF262153:VSF262155 WCB262153:WCB262155 WLX262153:WLX262155 WVT262153:WVT262155 L327689:L327691 JH327689:JH327691 TD327689:TD327691 ACZ327689:ACZ327691 AMV327689:AMV327691 AWR327689:AWR327691 BGN327689:BGN327691 BQJ327689:BQJ327691 CAF327689:CAF327691 CKB327689:CKB327691 CTX327689:CTX327691 DDT327689:DDT327691 DNP327689:DNP327691 DXL327689:DXL327691 EHH327689:EHH327691 ERD327689:ERD327691 FAZ327689:FAZ327691 FKV327689:FKV327691 FUR327689:FUR327691 GEN327689:GEN327691 GOJ327689:GOJ327691 GYF327689:GYF327691 HIB327689:HIB327691 HRX327689:HRX327691 IBT327689:IBT327691 ILP327689:ILP327691 IVL327689:IVL327691 JFH327689:JFH327691 JPD327689:JPD327691 JYZ327689:JYZ327691 KIV327689:KIV327691 KSR327689:KSR327691 LCN327689:LCN327691 LMJ327689:LMJ327691 LWF327689:LWF327691 MGB327689:MGB327691 MPX327689:MPX327691 MZT327689:MZT327691 NJP327689:NJP327691 NTL327689:NTL327691 ODH327689:ODH327691 OND327689:OND327691 OWZ327689:OWZ327691 PGV327689:PGV327691 PQR327689:PQR327691 QAN327689:QAN327691 QKJ327689:QKJ327691 QUF327689:QUF327691 REB327689:REB327691 RNX327689:RNX327691 RXT327689:RXT327691 SHP327689:SHP327691 SRL327689:SRL327691 TBH327689:TBH327691 TLD327689:TLD327691 TUZ327689:TUZ327691 UEV327689:UEV327691 UOR327689:UOR327691 UYN327689:UYN327691 VIJ327689:VIJ327691 VSF327689:VSF327691 WCB327689:WCB327691 WLX327689:WLX327691 WVT327689:WVT327691 L393225:L393227 JH393225:JH393227 TD393225:TD393227 ACZ393225:ACZ393227 AMV393225:AMV393227 AWR393225:AWR393227 BGN393225:BGN393227 BQJ393225:BQJ393227 CAF393225:CAF393227 CKB393225:CKB393227 CTX393225:CTX393227 DDT393225:DDT393227 DNP393225:DNP393227 DXL393225:DXL393227 EHH393225:EHH393227 ERD393225:ERD393227 FAZ393225:FAZ393227 FKV393225:FKV393227 FUR393225:FUR393227 GEN393225:GEN393227 GOJ393225:GOJ393227 GYF393225:GYF393227 HIB393225:HIB393227 HRX393225:HRX393227 IBT393225:IBT393227 ILP393225:ILP393227 IVL393225:IVL393227 JFH393225:JFH393227 JPD393225:JPD393227 JYZ393225:JYZ393227 KIV393225:KIV393227 KSR393225:KSR393227 LCN393225:LCN393227 LMJ393225:LMJ393227 LWF393225:LWF393227 MGB393225:MGB393227 MPX393225:MPX393227 MZT393225:MZT393227 NJP393225:NJP393227 NTL393225:NTL393227 ODH393225:ODH393227 OND393225:OND393227 OWZ393225:OWZ393227 PGV393225:PGV393227 PQR393225:PQR393227 QAN393225:QAN393227 QKJ393225:QKJ393227 QUF393225:QUF393227 REB393225:REB393227 RNX393225:RNX393227 RXT393225:RXT393227 SHP393225:SHP393227 SRL393225:SRL393227 TBH393225:TBH393227 TLD393225:TLD393227 TUZ393225:TUZ393227 UEV393225:UEV393227 UOR393225:UOR393227 UYN393225:UYN393227 VIJ393225:VIJ393227 VSF393225:VSF393227 WCB393225:WCB393227 WLX393225:WLX393227 WVT393225:WVT393227 L458761:L458763 JH458761:JH458763 TD458761:TD458763 ACZ458761:ACZ458763 AMV458761:AMV458763 AWR458761:AWR458763 BGN458761:BGN458763 BQJ458761:BQJ458763 CAF458761:CAF458763 CKB458761:CKB458763 CTX458761:CTX458763 DDT458761:DDT458763 DNP458761:DNP458763 DXL458761:DXL458763 EHH458761:EHH458763 ERD458761:ERD458763 FAZ458761:FAZ458763 FKV458761:FKV458763 FUR458761:FUR458763 GEN458761:GEN458763 GOJ458761:GOJ458763 GYF458761:GYF458763 HIB458761:HIB458763 HRX458761:HRX458763 IBT458761:IBT458763 ILP458761:ILP458763 IVL458761:IVL458763 JFH458761:JFH458763 JPD458761:JPD458763 JYZ458761:JYZ458763 KIV458761:KIV458763 KSR458761:KSR458763 LCN458761:LCN458763 LMJ458761:LMJ458763 LWF458761:LWF458763 MGB458761:MGB458763 MPX458761:MPX458763 MZT458761:MZT458763 NJP458761:NJP458763 NTL458761:NTL458763 ODH458761:ODH458763 OND458761:OND458763 OWZ458761:OWZ458763 PGV458761:PGV458763 PQR458761:PQR458763 QAN458761:QAN458763 QKJ458761:QKJ458763 QUF458761:QUF458763 REB458761:REB458763 RNX458761:RNX458763 RXT458761:RXT458763 SHP458761:SHP458763 SRL458761:SRL458763 TBH458761:TBH458763 TLD458761:TLD458763 TUZ458761:TUZ458763 UEV458761:UEV458763 UOR458761:UOR458763 UYN458761:UYN458763 VIJ458761:VIJ458763 VSF458761:VSF458763 WCB458761:WCB458763 WLX458761:WLX458763 WVT458761:WVT458763 L524297:L524299 JH524297:JH524299 TD524297:TD524299 ACZ524297:ACZ524299 AMV524297:AMV524299 AWR524297:AWR524299 BGN524297:BGN524299 BQJ524297:BQJ524299 CAF524297:CAF524299 CKB524297:CKB524299 CTX524297:CTX524299 DDT524297:DDT524299 DNP524297:DNP524299 DXL524297:DXL524299 EHH524297:EHH524299 ERD524297:ERD524299 FAZ524297:FAZ524299 FKV524297:FKV524299 FUR524297:FUR524299 GEN524297:GEN524299 GOJ524297:GOJ524299 GYF524297:GYF524299 HIB524297:HIB524299 HRX524297:HRX524299 IBT524297:IBT524299 ILP524297:ILP524299 IVL524297:IVL524299 JFH524297:JFH524299 JPD524297:JPD524299 JYZ524297:JYZ524299 KIV524297:KIV524299 KSR524297:KSR524299 LCN524297:LCN524299 LMJ524297:LMJ524299 LWF524297:LWF524299 MGB524297:MGB524299 MPX524297:MPX524299 MZT524297:MZT524299 NJP524297:NJP524299 NTL524297:NTL524299 ODH524297:ODH524299 OND524297:OND524299 OWZ524297:OWZ524299 PGV524297:PGV524299 PQR524297:PQR524299 QAN524297:QAN524299 QKJ524297:QKJ524299 QUF524297:QUF524299 REB524297:REB524299 RNX524297:RNX524299 RXT524297:RXT524299 SHP524297:SHP524299 SRL524297:SRL524299 TBH524297:TBH524299 TLD524297:TLD524299 TUZ524297:TUZ524299 UEV524297:UEV524299 UOR524297:UOR524299 UYN524297:UYN524299 VIJ524297:VIJ524299 VSF524297:VSF524299 WCB524297:WCB524299 WLX524297:WLX524299 WVT524297:WVT524299 L589833:L589835 JH589833:JH589835 TD589833:TD589835 ACZ589833:ACZ589835 AMV589833:AMV589835 AWR589833:AWR589835 BGN589833:BGN589835 BQJ589833:BQJ589835 CAF589833:CAF589835 CKB589833:CKB589835 CTX589833:CTX589835 DDT589833:DDT589835 DNP589833:DNP589835 DXL589833:DXL589835 EHH589833:EHH589835 ERD589833:ERD589835 FAZ589833:FAZ589835 FKV589833:FKV589835 FUR589833:FUR589835 GEN589833:GEN589835 GOJ589833:GOJ589835 GYF589833:GYF589835 HIB589833:HIB589835 HRX589833:HRX589835 IBT589833:IBT589835 ILP589833:ILP589835 IVL589833:IVL589835 JFH589833:JFH589835 JPD589833:JPD589835 JYZ589833:JYZ589835 KIV589833:KIV589835 KSR589833:KSR589835 LCN589833:LCN589835 LMJ589833:LMJ589835 LWF589833:LWF589835 MGB589833:MGB589835 MPX589833:MPX589835 MZT589833:MZT589835 NJP589833:NJP589835 NTL589833:NTL589835 ODH589833:ODH589835 OND589833:OND589835 OWZ589833:OWZ589835 PGV589833:PGV589835 PQR589833:PQR589835 QAN589833:QAN589835 QKJ589833:QKJ589835 QUF589833:QUF589835 REB589833:REB589835 RNX589833:RNX589835 RXT589833:RXT589835 SHP589833:SHP589835 SRL589833:SRL589835 TBH589833:TBH589835 TLD589833:TLD589835 TUZ589833:TUZ589835 UEV589833:UEV589835 UOR589833:UOR589835 UYN589833:UYN589835 VIJ589833:VIJ589835 VSF589833:VSF589835 WCB589833:WCB589835 WLX589833:WLX589835 WVT589833:WVT589835 L655369:L655371 JH655369:JH655371 TD655369:TD655371 ACZ655369:ACZ655371 AMV655369:AMV655371 AWR655369:AWR655371 BGN655369:BGN655371 BQJ655369:BQJ655371 CAF655369:CAF655371 CKB655369:CKB655371 CTX655369:CTX655371 DDT655369:DDT655371 DNP655369:DNP655371 DXL655369:DXL655371 EHH655369:EHH655371 ERD655369:ERD655371 FAZ655369:FAZ655371 FKV655369:FKV655371 FUR655369:FUR655371 GEN655369:GEN655371 GOJ655369:GOJ655371 GYF655369:GYF655371 HIB655369:HIB655371 HRX655369:HRX655371 IBT655369:IBT655371 ILP655369:ILP655371 IVL655369:IVL655371 JFH655369:JFH655371 JPD655369:JPD655371 JYZ655369:JYZ655371 KIV655369:KIV655371 KSR655369:KSR655371 LCN655369:LCN655371 LMJ655369:LMJ655371 LWF655369:LWF655371 MGB655369:MGB655371 MPX655369:MPX655371 MZT655369:MZT655371 NJP655369:NJP655371 NTL655369:NTL655371 ODH655369:ODH655371 OND655369:OND655371 OWZ655369:OWZ655371 PGV655369:PGV655371 PQR655369:PQR655371 QAN655369:QAN655371 QKJ655369:QKJ655371 QUF655369:QUF655371 REB655369:REB655371 RNX655369:RNX655371 RXT655369:RXT655371 SHP655369:SHP655371 SRL655369:SRL655371 TBH655369:TBH655371 TLD655369:TLD655371 TUZ655369:TUZ655371 UEV655369:UEV655371 UOR655369:UOR655371 UYN655369:UYN655371 VIJ655369:VIJ655371 VSF655369:VSF655371 WCB655369:WCB655371 WLX655369:WLX655371 WVT655369:WVT655371 L720905:L720907 JH720905:JH720907 TD720905:TD720907 ACZ720905:ACZ720907 AMV720905:AMV720907 AWR720905:AWR720907 BGN720905:BGN720907 BQJ720905:BQJ720907 CAF720905:CAF720907 CKB720905:CKB720907 CTX720905:CTX720907 DDT720905:DDT720907 DNP720905:DNP720907 DXL720905:DXL720907 EHH720905:EHH720907 ERD720905:ERD720907 FAZ720905:FAZ720907 FKV720905:FKV720907 FUR720905:FUR720907 GEN720905:GEN720907 GOJ720905:GOJ720907 GYF720905:GYF720907 HIB720905:HIB720907 HRX720905:HRX720907 IBT720905:IBT720907 ILP720905:ILP720907 IVL720905:IVL720907 JFH720905:JFH720907 JPD720905:JPD720907 JYZ720905:JYZ720907 KIV720905:KIV720907 KSR720905:KSR720907 LCN720905:LCN720907 LMJ720905:LMJ720907 LWF720905:LWF720907 MGB720905:MGB720907 MPX720905:MPX720907 MZT720905:MZT720907 NJP720905:NJP720907 NTL720905:NTL720907 ODH720905:ODH720907 OND720905:OND720907 OWZ720905:OWZ720907 PGV720905:PGV720907 PQR720905:PQR720907 QAN720905:QAN720907 QKJ720905:QKJ720907 QUF720905:QUF720907 REB720905:REB720907 RNX720905:RNX720907 RXT720905:RXT720907 SHP720905:SHP720907 SRL720905:SRL720907 TBH720905:TBH720907 TLD720905:TLD720907 TUZ720905:TUZ720907 UEV720905:UEV720907 UOR720905:UOR720907 UYN720905:UYN720907 VIJ720905:VIJ720907 VSF720905:VSF720907 WCB720905:WCB720907 WLX720905:WLX720907 WVT720905:WVT720907 L786441:L786443 JH786441:JH786443 TD786441:TD786443 ACZ786441:ACZ786443 AMV786441:AMV786443 AWR786441:AWR786443 BGN786441:BGN786443 BQJ786441:BQJ786443 CAF786441:CAF786443 CKB786441:CKB786443 CTX786441:CTX786443 DDT786441:DDT786443 DNP786441:DNP786443 DXL786441:DXL786443 EHH786441:EHH786443 ERD786441:ERD786443 FAZ786441:FAZ786443 FKV786441:FKV786443 FUR786441:FUR786443 GEN786441:GEN786443 GOJ786441:GOJ786443 GYF786441:GYF786443 HIB786441:HIB786443 HRX786441:HRX786443 IBT786441:IBT786443 ILP786441:ILP786443 IVL786441:IVL786443 JFH786441:JFH786443 JPD786441:JPD786443 JYZ786441:JYZ786443 KIV786441:KIV786443 KSR786441:KSR786443 LCN786441:LCN786443 LMJ786441:LMJ786443 LWF786441:LWF786443 MGB786441:MGB786443 MPX786441:MPX786443 MZT786441:MZT786443 NJP786441:NJP786443 NTL786441:NTL786443 ODH786441:ODH786443 OND786441:OND786443 OWZ786441:OWZ786443 PGV786441:PGV786443 PQR786441:PQR786443 QAN786441:QAN786443 QKJ786441:QKJ786443 QUF786441:QUF786443 REB786441:REB786443 RNX786441:RNX786443 RXT786441:RXT786443 SHP786441:SHP786443 SRL786441:SRL786443 TBH786441:TBH786443 TLD786441:TLD786443 TUZ786441:TUZ786443 UEV786441:UEV786443 UOR786441:UOR786443 UYN786441:UYN786443 VIJ786441:VIJ786443 VSF786441:VSF786443 WCB786441:WCB786443 WLX786441:WLX786443 WVT786441:WVT786443 L851977:L851979 JH851977:JH851979 TD851977:TD851979 ACZ851977:ACZ851979 AMV851977:AMV851979 AWR851977:AWR851979 BGN851977:BGN851979 BQJ851977:BQJ851979 CAF851977:CAF851979 CKB851977:CKB851979 CTX851977:CTX851979 DDT851977:DDT851979 DNP851977:DNP851979 DXL851977:DXL851979 EHH851977:EHH851979 ERD851977:ERD851979 FAZ851977:FAZ851979 FKV851977:FKV851979 FUR851977:FUR851979 GEN851977:GEN851979 GOJ851977:GOJ851979 GYF851977:GYF851979 HIB851977:HIB851979 HRX851977:HRX851979 IBT851977:IBT851979 ILP851977:ILP851979 IVL851977:IVL851979 JFH851977:JFH851979 JPD851977:JPD851979 JYZ851977:JYZ851979 KIV851977:KIV851979 KSR851977:KSR851979 LCN851977:LCN851979 LMJ851977:LMJ851979 LWF851977:LWF851979 MGB851977:MGB851979 MPX851977:MPX851979 MZT851977:MZT851979 NJP851977:NJP851979 NTL851977:NTL851979 ODH851977:ODH851979 OND851977:OND851979 OWZ851977:OWZ851979 PGV851977:PGV851979 PQR851977:PQR851979 QAN851977:QAN851979 QKJ851977:QKJ851979 QUF851977:QUF851979 REB851977:REB851979 RNX851977:RNX851979 RXT851977:RXT851979 SHP851977:SHP851979 SRL851977:SRL851979 TBH851977:TBH851979 TLD851977:TLD851979 TUZ851977:TUZ851979 UEV851977:UEV851979 UOR851977:UOR851979 UYN851977:UYN851979 VIJ851977:VIJ851979 VSF851977:VSF851979 WCB851977:WCB851979 WLX851977:WLX851979 WVT851977:WVT851979 L917513:L917515 JH917513:JH917515 TD917513:TD917515 ACZ917513:ACZ917515 AMV917513:AMV917515 AWR917513:AWR917515 BGN917513:BGN917515 BQJ917513:BQJ917515 CAF917513:CAF917515 CKB917513:CKB917515 CTX917513:CTX917515 DDT917513:DDT917515 DNP917513:DNP917515 DXL917513:DXL917515 EHH917513:EHH917515 ERD917513:ERD917515 FAZ917513:FAZ917515 FKV917513:FKV917515 FUR917513:FUR917515 GEN917513:GEN917515 GOJ917513:GOJ917515 GYF917513:GYF917515 HIB917513:HIB917515 HRX917513:HRX917515 IBT917513:IBT917515 ILP917513:ILP917515 IVL917513:IVL917515 JFH917513:JFH917515 JPD917513:JPD917515 JYZ917513:JYZ917515 KIV917513:KIV917515 KSR917513:KSR917515 LCN917513:LCN917515 LMJ917513:LMJ917515 LWF917513:LWF917515 MGB917513:MGB917515 MPX917513:MPX917515 MZT917513:MZT917515 NJP917513:NJP917515 NTL917513:NTL917515 ODH917513:ODH917515 OND917513:OND917515 OWZ917513:OWZ917515 PGV917513:PGV917515 PQR917513:PQR917515 QAN917513:QAN917515 QKJ917513:QKJ917515 QUF917513:QUF917515 REB917513:REB917515 RNX917513:RNX917515 RXT917513:RXT917515 SHP917513:SHP917515 SRL917513:SRL917515 TBH917513:TBH917515 TLD917513:TLD917515 TUZ917513:TUZ917515 UEV917513:UEV917515 UOR917513:UOR917515 UYN917513:UYN917515 VIJ917513:VIJ917515 VSF917513:VSF917515 WCB917513:WCB917515 WLX917513:WLX917515 WVT917513:WVT917515 L983049:L983051 JH983049:JH983051 TD983049:TD983051 ACZ983049:ACZ983051 AMV983049:AMV983051 AWR983049:AWR983051 BGN983049:BGN983051 BQJ983049:BQJ983051 CAF983049:CAF983051 CKB983049:CKB983051 CTX983049:CTX983051 DDT983049:DDT983051 DNP983049:DNP983051 DXL983049:DXL983051 EHH983049:EHH983051 ERD983049:ERD983051 FAZ983049:FAZ983051 FKV983049:FKV983051 FUR983049:FUR983051 GEN983049:GEN983051 GOJ983049:GOJ983051 GYF983049:GYF983051 HIB983049:HIB983051 HRX983049:HRX983051 IBT983049:IBT983051 ILP983049:ILP983051 IVL983049:IVL983051 JFH983049:JFH983051 JPD983049:JPD983051 JYZ983049:JYZ983051 KIV983049:KIV983051 KSR983049:KSR983051 LCN983049:LCN983051 LMJ983049:LMJ983051 LWF983049:LWF983051 MGB983049:MGB983051 MPX983049:MPX983051 MZT983049:MZT983051 NJP983049:NJP983051 NTL983049:NTL983051 ODH983049:ODH983051 OND983049:OND983051 OWZ983049:OWZ983051 PGV983049:PGV983051 PQR983049:PQR983051 QAN983049:QAN983051 QKJ983049:QKJ983051 QUF983049:QUF983051 REB983049:REB983051 RNX983049:RNX983051 RXT983049:RXT983051 SHP983049:SHP983051 SRL983049:SRL983051 TBH983049:TBH983051 TLD983049:TLD983051 TUZ983049:TUZ983051 UEV983049:UEV983051 UOR983049:UOR983051 UYN983049:UYN983051 VIJ983049:VIJ983051 VSF983049:VSF983051 WCB983049:WCB983051 WLX983049:WLX983051 WVT983049:WVT983051">
      <formula1>$L$12:$L$18</formula1>
    </dataValidation>
    <dataValidation type="list" allowBlank="1" showInputMessage="1" showErrorMessage="1" sqref="R9:R11 JN9:JN11 TJ9:TJ11 ADF9:ADF11 ANB9:ANB11 AWX9:AWX11 BGT9:BGT11 BQP9:BQP11 CAL9:CAL11 CKH9:CKH11 CUD9:CUD11 DDZ9:DDZ11 DNV9:DNV11 DXR9:DXR11 EHN9:EHN11 ERJ9:ERJ11 FBF9:FBF11 FLB9:FLB11 FUX9:FUX11 GET9:GET11 GOP9:GOP11 GYL9:GYL11 HIH9:HIH11 HSD9:HSD11 IBZ9:IBZ11 ILV9:ILV11 IVR9:IVR11 JFN9:JFN11 JPJ9:JPJ11 JZF9:JZF11 KJB9:KJB11 KSX9:KSX11 LCT9:LCT11 LMP9:LMP11 LWL9:LWL11 MGH9:MGH11 MQD9:MQD11 MZZ9:MZZ11 NJV9:NJV11 NTR9:NTR11 ODN9:ODN11 ONJ9:ONJ11 OXF9:OXF11 PHB9:PHB11 PQX9:PQX11 QAT9:QAT11 QKP9:QKP11 QUL9:QUL11 REH9:REH11 ROD9:ROD11 RXZ9:RXZ11 SHV9:SHV11 SRR9:SRR11 TBN9:TBN11 TLJ9:TLJ11 TVF9:TVF11 UFB9:UFB11 UOX9:UOX11 UYT9:UYT11 VIP9:VIP11 VSL9:VSL11 WCH9:WCH11 WMD9:WMD11 WVZ9:WVZ11 R65545:R65547 JN65545:JN65547 TJ65545:TJ65547 ADF65545:ADF65547 ANB65545:ANB65547 AWX65545:AWX65547 BGT65545:BGT65547 BQP65545:BQP65547 CAL65545:CAL65547 CKH65545:CKH65547 CUD65545:CUD65547 DDZ65545:DDZ65547 DNV65545:DNV65547 DXR65545:DXR65547 EHN65545:EHN65547 ERJ65545:ERJ65547 FBF65545:FBF65547 FLB65545:FLB65547 FUX65545:FUX65547 GET65545:GET65547 GOP65545:GOP65547 GYL65545:GYL65547 HIH65545:HIH65547 HSD65545:HSD65547 IBZ65545:IBZ65547 ILV65545:ILV65547 IVR65545:IVR65547 JFN65545:JFN65547 JPJ65545:JPJ65547 JZF65545:JZF65547 KJB65545:KJB65547 KSX65545:KSX65547 LCT65545:LCT65547 LMP65545:LMP65547 LWL65545:LWL65547 MGH65545:MGH65547 MQD65545:MQD65547 MZZ65545:MZZ65547 NJV65545:NJV65547 NTR65545:NTR65547 ODN65545:ODN65547 ONJ65545:ONJ65547 OXF65545:OXF65547 PHB65545:PHB65547 PQX65545:PQX65547 QAT65545:QAT65547 QKP65545:QKP65547 QUL65545:QUL65547 REH65545:REH65547 ROD65545:ROD65547 RXZ65545:RXZ65547 SHV65545:SHV65547 SRR65545:SRR65547 TBN65545:TBN65547 TLJ65545:TLJ65547 TVF65545:TVF65547 UFB65545:UFB65547 UOX65545:UOX65547 UYT65545:UYT65547 VIP65545:VIP65547 VSL65545:VSL65547 WCH65545:WCH65547 WMD65545:WMD65547 WVZ65545:WVZ65547 R131081:R131083 JN131081:JN131083 TJ131081:TJ131083 ADF131081:ADF131083 ANB131081:ANB131083 AWX131081:AWX131083 BGT131081:BGT131083 BQP131081:BQP131083 CAL131081:CAL131083 CKH131081:CKH131083 CUD131081:CUD131083 DDZ131081:DDZ131083 DNV131081:DNV131083 DXR131081:DXR131083 EHN131081:EHN131083 ERJ131081:ERJ131083 FBF131081:FBF131083 FLB131081:FLB131083 FUX131081:FUX131083 GET131081:GET131083 GOP131081:GOP131083 GYL131081:GYL131083 HIH131081:HIH131083 HSD131081:HSD131083 IBZ131081:IBZ131083 ILV131081:ILV131083 IVR131081:IVR131083 JFN131081:JFN131083 JPJ131081:JPJ131083 JZF131081:JZF131083 KJB131081:KJB131083 KSX131081:KSX131083 LCT131081:LCT131083 LMP131081:LMP131083 LWL131081:LWL131083 MGH131081:MGH131083 MQD131081:MQD131083 MZZ131081:MZZ131083 NJV131081:NJV131083 NTR131081:NTR131083 ODN131081:ODN131083 ONJ131081:ONJ131083 OXF131081:OXF131083 PHB131081:PHB131083 PQX131081:PQX131083 QAT131081:QAT131083 QKP131081:QKP131083 QUL131081:QUL131083 REH131081:REH131083 ROD131081:ROD131083 RXZ131081:RXZ131083 SHV131081:SHV131083 SRR131081:SRR131083 TBN131081:TBN131083 TLJ131081:TLJ131083 TVF131081:TVF131083 UFB131081:UFB131083 UOX131081:UOX131083 UYT131081:UYT131083 VIP131081:VIP131083 VSL131081:VSL131083 WCH131081:WCH131083 WMD131081:WMD131083 WVZ131081:WVZ131083 R196617:R196619 JN196617:JN196619 TJ196617:TJ196619 ADF196617:ADF196619 ANB196617:ANB196619 AWX196617:AWX196619 BGT196617:BGT196619 BQP196617:BQP196619 CAL196617:CAL196619 CKH196617:CKH196619 CUD196617:CUD196619 DDZ196617:DDZ196619 DNV196617:DNV196619 DXR196617:DXR196619 EHN196617:EHN196619 ERJ196617:ERJ196619 FBF196617:FBF196619 FLB196617:FLB196619 FUX196617:FUX196619 GET196617:GET196619 GOP196617:GOP196619 GYL196617:GYL196619 HIH196617:HIH196619 HSD196617:HSD196619 IBZ196617:IBZ196619 ILV196617:ILV196619 IVR196617:IVR196619 JFN196617:JFN196619 JPJ196617:JPJ196619 JZF196617:JZF196619 KJB196617:KJB196619 KSX196617:KSX196619 LCT196617:LCT196619 LMP196617:LMP196619 LWL196617:LWL196619 MGH196617:MGH196619 MQD196617:MQD196619 MZZ196617:MZZ196619 NJV196617:NJV196619 NTR196617:NTR196619 ODN196617:ODN196619 ONJ196617:ONJ196619 OXF196617:OXF196619 PHB196617:PHB196619 PQX196617:PQX196619 QAT196617:QAT196619 QKP196617:QKP196619 QUL196617:QUL196619 REH196617:REH196619 ROD196617:ROD196619 RXZ196617:RXZ196619 SHV196617:SHV196619 SRR196617:SRR196619 TBN196617:TBN196619 TLJ196617:TLJ196619 TVF196617:TVF196619 UFB196617:UFB196619 UOX196617:UOX196619 UYT196617:UYT196619 VIP196617:VIP196619 VSL196617:VSL196619 WCH196617:WCH196619 WMD196617:WMD196619 WVZ196617:WVZ196619 R262153:R262155 JN262153:JN262155 TJ262153:TJ262155 ADF262153:ADF262155 ANB262153:ANB262155 AWX262153:AWX262155 BGT262153:BGT262155 BQP262153:BQP262155 CAL262153:CAL262155 CKH262153:CKH262155 CUD262153:CUD262155 DDZ262153:DDZ262155 DNV262153:DNV262155 DXR262153:DXR262155 EHN262153:EHN262155 ERJ262153:ERJ262155 FBF262153:FBF262155 FLB262153:FLB262155 FUX262153:FUX262155 GET262153:GET262155 GOP262153:GOP262155 GYL262153:GYL262155 HIH262153:HIH262155 HSD262153:HSD262155 IBZ262153:IBZ262155 ILV262153:ILV262155 IVR262153:IVR262155 JFN262153:JFN262155 JPJ262153:JPJ262155 JZF262153:JZF262155 KJB262153:KJB262155 KSX262153:KSX262155 LCT262153:LCT262155 LMP262153:LMP262155 LWL262153:LWL262155 MGH262153:MGH262155 MQD262153:MQD262155 MZZ262153:MZZ262155 NJV262153:NJV262155 NTR262153:NTR262155 ODN262153:ODN262155 ONJ262153:ONJ262155 OXF262153:OXF262155 PHB262153:PHB262155 PQX262153:PQX262155 QAT262153:QAT262155 QKP262153:QKP262155 QUL262153:QUL262155 REH262153:REH262155 ROD262153:ROD262155 RXZ262153:RXZ262155 SHV262153:SHV262155 SRR262153:SRR262155 TBN262153:TBN262155 TLJ262153:TLJ262155 TVF262153:TVF262155 UFB262153:UFB262155 UOX262153:UOX262155 UYT262153:UYT262155 VIP262153:VIP262155 VSL262153:VSL262155 WCH262153:WCH262155 WMD262153:WMD262155 WVZ262153:WVZ262155 R327689:R327691 JN327689:JN327691 TJ327689:TJ327691 ADF327689:ADF327691 ANB327689:ANB327691 AWX327689:AWX327691 BGT327689:BGT327691 BQP327689:BQP327691 CAL327689:CAL327691 CKH327689:CKH327691 CUD327689:CUD327691 DDZ327689:DDZ327691 DNV327689:DNV327691 DXR327689:DXR327691 EHN327689:EHN327691 ERJ327689:ERJ327691 FBF327689:FBF327691 FLB327689:FLB327691 FUX327689:FUX327691 GET327689:GET327691 GOP327689:GOP327691 GYL327689:GYL327691 HIH327689:HIH327691 HSD327689:HSD327691 IBZ327689:IBZ327691 ILV327689:ILV327691 IVR327689:IVR327691 JFN327689:JFN327691 JPJ327689:JPJ327691 JZF327689:JZF327691 KJB327689:KJB327691 KSX327689:KSX327691 LCT327689:LCT327691 LMP327689:LMP327691 LWL327689:LWL327691 MGH327689:MGH327691 MQD327689:MQD327691 MZZ327689:MZZ327691 NJV327689:NJV327691 NTR327689:NTR327691 ODN327689:ODN327691 ONJ327689:ONJ327691 OXF327689:OXF327691 PHB327689:PHB327691 PQX327689:PQX327691 QAT327689:QAT327691 QKP327689:QKP327691 QUL327689:QUL327691 REH327689:REH327691 ROD327689:ROD327691 RXZ327689:RXZ327691 SHV327689:SHV327691 SRR327689:SRR327691 TBN327689:TBN327691 TLJ327689:TLJ327691 TVF327689:TVF327691 UFB327689:UFB327691 UOX327689:UOX327691 UYT327689:UYT327691 VIP327689:VIP327691 VSL327689:VSL327691 WCH327689:WCH327691 WMD327689:WMD327691 WVZ327689:WVZ327691 R393225:R393227 JN393225:JN393227 TJ393225:TJ393227 ADF393225:ADF393227 ANB393225:ANB393227 AWX393225:AWX393227 BGT393225:BGT393227 BQP393225:BQP393227 CAL393225:CAL393227 CKH393225:CKH393227 CUD393225:CUD393227 DDZ393225:DDZ393227 DNV393225:DNV393227 DXR393225:DXR393227 EHN393225:EHN393227 ERJ393225:ERJ393227 FBF393225:FBF393227 FLB393225:FLB393227 FUX393225:FUX393227 GET393225:GET393227 GOP393225:GOP393227 GYL393225:GYL393227 HIH393225:HIH393227 HSD393225:HSD393227 IBZ393225:IBZ393227 ILV393225:ILV393227 IVR393225:IVR393227 JFN393225:JFN393227 JPJ393225:JPJ393227 JZF393225:JZF393227 KJB393225:KJB393227 KSX393225:KSX393227 LCT393225:LCT393227 LMP393225:LMP393227 LWL393225:LWL393227 MGH393225:MGH393227 MQD393225:MQD393227 MZZ393225:MZZ393227 NJV393225:NJV393227 NTR393225:NTR393227 ODN393225:ODN393227 ONJ393225:ONJ393227 OXF393225:OXF393227 PHB393225:PHB393227 PQX393225:PQX393227 QAT393225:QAT393227 QKP393225:QKP393227 QUL393225:QUL393227 REH393225:REH393227 ROD393225:ROD393227 RXZ393225:RXZ393227 SHV393225:SHV393227 SRR393225:SRR393227 TBN393225:TBN393227 TLJ393225:TLJ393227 TVF393225:TVF393227 UFB393225:UFB393227 UOX393225:UOX393227 UYT393225:UYT393227 VIP393225:VIP393227 VSL393225:VSL393227 WCH393225:WCH393227 WMD393225:WMD393227 WVZ393225:WVZ393227 R458761:R458763 JN458761:JN458763 TJ458761:TJ458763 ADF458761:ADF458763 ANB458761:ANB458763 AWX458761:AWX458763 BGT458761:BGT458763 BQP458761:BQP458763 CAL458761:CAL458763 CKH458761:CKH458763 CUD458761:CUD458763 DDZ458761:DDZ458763 DNV458761:DNV458763 DXR458761:DXR458763 EHN458761:EHN458763 ERJ458761:ERJ458763 FBF458761:FBF458763 FLB458761:FLB458763 FUX458761:FUX458763 GET458761:GET458763 GOP458761:GOP458763 GYL458761:GYL458763 HIH458761:HIH458763 HSD458761:HSD458763 IBZ458761:IBZ458763 ILV458761:ILV458763 IVR458761:IVR458763 JFN458761:JFN458763 JPJ458761:JPJ458763 JZF458761:JZF458763 KJB458761:KJB458763 KSX458761:KSX458763 LCT458761:LCT458763 LMP458761:LMP458763 LWL458761:LWL458763 MGH458761:MGH458763 MQD458761:MQD458763 MZZ458761:MZZ458763 NJV458761:NJV458763 NTR458761:NTR458763 ODN458761:ODN458763 ONJ458761:ONJ458763 OXF458761:OXF458763 PHB458761:PHB458763 PQX458761:PQX458763 QAT458761:QAT458763 QKP458761:QKP458763 QUL458761:QUL458763 REH458761:REH458763 ROD458761:ROD458763 RXZ458761:RXZ458763 SHV458761:SHV458763 SRR458761:SRR458763 TBN458761:TBN458763 TLJ458761:TLJ458763 TVF458761:TVF458763 UFB458761:UFB458763 UOX458761:UOX458763 UYT458761:UYT458763 VIP458761:VIP458763 VSL458761:VSL458763 WCH458761:WCH458763 WMD458761:WMD458763 WVZ458761:WVZ458763 R524297:R524299 JN524297:JN524299 TJ524297:TJ524299 ADF524297:ADF524299 ANB524297:ANB524299 AWX524297:AWX524299 BGT524297:BGT524299 BQP524297:BQP524299 CAL524297:CAL524299 CKH524297:CKH524299 CUD524297:CUD524299 DDZ524297:DDZ524299 DNV524297:DNV524299 DXR524297:DXR524299 EHN524297:EHN524299 ERJ524297:ERJ524299 FBF524297:FBF524299 FLB524297:FLB524299 FUX524297:FUX524299 GET524297:GET524299 GOP524297:GOP524299 GYL524297:GYL524299 HIH524297:HIH524299 HSD524297:HSD524299 IBZ524297:IBZ524299 ILV524297:ILV524299 IVR524297:IVR524299 JFN524297:JFN524299 JPJ524297:JPJ524299 JZF524297:JZF524299 KJB524297:KJB524299 KSX524297:KSX524299 LCT524297:LCT524299 LMP524297:LMP524299 LWL524297:LWL524299 MGH524297:MGH524299 MQD524297:MQD524299 MZZ524297:MZZ524299 NJV524297:NJV524299 NTR524297:NTR524299 ODN524297:ODN524299 ONJ524297:ONJ524299 OXF524297:OXF524299 PHB524297:PHB524299 PQX524297:PQX524299 QAT524297:QAT524299 QKP524297:QKP524299 QUL524297:QUL524299 REH524297:REH524299 ROD524297:ROD524299 RXZ524297:RXZ524299 SHV524297:SHV524299 SRR524297:SRR524299 TBN524297:TBN524299 TLJ524297:TLJ524299 TVF524297:TVF524299 UFB524297:UFB524299 UOX524297:UOX524299 UYT524297:UYT524299 VIP524297:VIP524299 VSL524297:VSL524299 WCH524297:WCH524299 WMD524297:WMD524299 WVZ524297:WVZ524299 R589833:R589835 JN589833:JN589835 TJ589833:TJ589835 ADF589833:ADF589835 ANB589833:ANB589835 AWX589833:AWX589835 BGT589833:BGT589835 BQP589833:BQP589835 CAL589833:CAL589835 CKH589833:CKH589835 CUD589833:CUD589835 DDZ589833:DDZ589835 DNV589833:DNV589835 DXR589833:DXR589835 EHN589833:EHN589835 ERJ589833:ERJ589835 FBF589833:FBF589835 FLB589833:FLB589835 FUX589833:FUX589835 GET589833:GET589835 GOP589833:GOP589835 GYL589833:GYL589835 HIH589833:HIH589835 HSD589833:HSD589835 IBZ589833:IBZ589835 ILV589833:ILV589835 IVR589833:IVR589835 JFN589833:JFN589835 JPJ589833:JPJ589835 JZF589833:JZF589835 KJB589833:KJB589835 KSX589833:KSX589835 LCT589833:LCT589835 LMP589833:LMP589835 LWL589833:LWL589835 MGH589833:MGH589835 MQD589833:MQD589835 MZZ589833:MZZ589835 NJV589833:NJV589835 NTR589833:NTR589835 ODN589833:ODN589835 ONJ589833:ONJ589835 OXF589833:OXF589835 PHB589833:PHB589835 PQX589833:PQX589835 QAT589833:QAT589835 QKP589833:QKP589835 QUL589833:QUL589835 REH589833:REH589835 ROD589833:ROD589835 RXZ589833:RXZ589835 SHV589833:SHV589835 SRR589833:SRR589835 TBN589833:TBN589835 TLJ589833:TLJ589835 TVF589833:TVF589835 UFB589833:UFB589835 UOX589833:UOX589835 UYT589833:UYT589835 VIP589833:VIP589835 VSL589833:VSL589835 WCH589833:WCH589835 WMD589833:WMD589835 WVZ589833:WVZ589835 R655369:R655371 JN655369:JN655371 TJ655369:TJ655371 ADF655369:ADF655371 ANB655369:ANB655371 AWX655369:AWX655371 BGT655369:BGT655371 BQP655369:BQP655371 CAL655369:CAL655371 CKH655369:CKH655371 CUD655369:CUD655371 DDZ655369:DDZ655371 DNV655369:DNV655371 DXR655369:DXR655371 EHN655369:EHN655371 ERJ655369:ERJ655371 FBF655369:FBF655371 FLB655369:FLB655371 FUX655369:FUX655371 GET655369:GET655371 GOP655369:GOP655371 GYL655369:GYL655371 HIH655369:HIH655371 HSD655369:HSD655371 IBZ655369:IBZ655371 ILV655369:ILV655371 IVR655369:IVR655371 JFN655369:JFN655371 JPJ655369:JPJ655371 JZF655369:JZF655371 KJB655369:KJB655371 KSX655369:KSX655371 LCT655369:LCT655371 LMP655369:LMP655371 LWL655369:LWL655371 MGH655369:MGH655371 MQD655369:MQD655371 MZZ655369:MZZ655371 NJV655369:NJV655371 NTR655369:NTR655371 ODN655369:ODN655371 ONJ655369:ONJ655371 OXF655369:OXF655371 PHB655369:PHB655371 PQX655369:PQX655371 QAT655369:QAT655371 QKP655369:QKP655371 QUL655369:QUL655371 REH655369:REH655371 ROD655369:ROD655371 RXZ655369:RXZ655371 SHV655369:SHV655371 SRR655369:SRR655371 TBN655369:TBN655371 TLJ655369:TLJ655371 TVF655369:TVF655371 UFB655369:UFB655371 UOX655369:UOX655371 UYT655369:UYT655371 VIP655369:VIP655371 VSL655369:VSL655371 WCH655369:WCH655371 WMD655369:WMD655371 WVZ655369:WVZ655371 R720905:R720907 JN720905:JN720907 TJ720905:TJ720907 ADF720905:ADF720907 ANB720905:ANB720907 AWX720905:AWX720907 BGT720905:BGT720907 BQP720905:BQP720907 CAL720905:CAL720907 CKH720905:CKH720907 CUD720905:CUD720907 DDZ720905:DDZ720907 DNV720905:DNV720907 DXR720905:DXR720907 EHN720905:EHN720907 ERJ720905:ERJ720907 FBF720905:FBF720907 FLB720905:FLB720907 FUX720905:FUX720907 GET720905:GET720907 GOP720905:GOP720907 GYL720905:GYL720907 HIH720905:HIH720907 HSD720905:HSD720907 IBZ720905:IBZ720907 ILV720905:ILV720907 IVR720905:IVR720907 JFN720905:JFN720907 JPJ720905:JPJ720907 JZF720905:JZF720907 KJB720905:KJB720907 KSX720905:KSX720907 LCT720905:LCT720907 LMP720905:LMP720907 LWL720905:LWL720907 MGH720905:MGH720907 MQD720905:MQD720907 MZZ720905:MZZ720907 NJV720905:NJV720907 NTR720905:NTR720907 ODN720905:ODN720907 ONJ720905:ONJ720907 OXF720905:OXF720907 PHB720905:PHB720907 PQX720905:PQX720907 QAT720905:QAT720907 QKP720905:QKP720907 QUL720905:QUL720907 REH720905:REH720907 ROD720905:ROD720907 RXZ720905:RXZ720907 SHV720905:SHV720907 SRR720905:SRR720907 TBN720905:TBN720907 TLJ720905:TLJ720907 TVF720905:TVF720907 UFB720905:UFB720907 UOX720905:UOX720907 UYT720905:UYT720907 VIP720905:VIP720907 VSL720905:VSL720907 WCH720905:WCH720907 WMD720905:WMD720907 WVZ720905:WVZ720907 R786441:R786443 JN786441:JN786443 TJ786441:TJ786443 ADF786441:ADF786443 ANB786441:ANB786443 AWX786441:AWX786443 BGT786441:BGT786443 BQP786441:BQP786443 CAL786441:CAL786443 CKH786441:CKH786443 CUD786441:CUD786443 DDZ786441:DDZ786443 DNV786441:DNV786443 DXR786441:DXR786443 EHN786441:EHN786443 ERJ786441:ERJ786443 FBF786441:FBF786443 FLB786441:FLB786443 FUX786441:FUX786443 GET786441:GET786443 GOP786441:GOP786443 GYL786441:GYL786443 HIH786441:HIH786443 HSD786441:HSD786443 IBZ786441:IBZ786443 ILV786441:ILV786443 IVR786441:IVR786443 JFN786441:JFN786443 JPJ786441:JPJ786443 JZF786441:JZF786443 KJB786441:KJB786443 KSX786441:KSX786443 LCT786441:LCT786443 LMP786441:LMP786443 LWL786441:LWL786443 MGH786441:MGH786443 MQD786441:MQD786443 MZZ786441:MZZ786443 NJV786441:NJV786443 NTR786441:NTR786443 ODN786441:ODN786443 ONJ786441:ONJ786443 OXF786441:OXF786443 PHB786441:PHB786443 PQX786441:PQX786443 QAT786441:QAT786443 QKP786441:QKP786443 QUL786441:QUL786443 REH786441:REH786443 ROD786441:ROD786443 RXZ786441:RXZ786443 SHV786441:SHV786443 SRR786441:SRR786443 TBN786441:TBN786443 TLJ786441:TLJ786443 TVF786441:TVF786443 UFB786441:UFB786443 UOX786441:UOX786443 UYT786441:UYT786443 VIP786441:VIP786443 VSL786441:VSL786443 WCH786441:WCH786443 WMD786441:WMD786443 WVZ786441:WVZ786443 R851977:R851979 JN851977:JN851979 TJ851977:TJ851979 ADF851977:ADF851979 ANB851977:ANB851979 AWX851977:AWX851979 BGT851977:BGT851979 BQP851977:BQP851979 CAL851977:CAL851979 CKH851977:CKH851979 CUD851977:CUD851979 DDZ851977:DDZ851979 DNV851977:DNV851979 DXR851977:DXR851979 EHN851977:EHN851979 ERJ851977:ERJ851979 FBF851977:FBF851979 FLB851977:FLB851979 FUX851977:FUX851979 GET851977:GET851979 GOP851977:GOP851979 GYL851977:GYL851979 HIH851977:HIH851979 HSD851977:HSD851979 IBZ851977:IBZ851979 ILV851977:ILV851979 IVR851977:IVR851979 JFN851977:JFN851979 JPJ851977:JPJ851979 JZF851977:JZF851979 KJB851977:KJB851979 KSX851977:KSX851979 LCT851977:LCT851979 LMP851977:LMP851979 LWL851977:LWL851979 MGH851977:MGH851979 MQD851977:MQD851979 MZZ851977:MZZ851979 NJV851977:NJV851979 NTR851977:NTR851979 ODN851977:ODN851979 ONJ851977:ONJ851979 OXF851977:OXF851979 PHB851977:PHB851979 PQX851977:PQX851979 QAT851977:QAT851979 QKP851977:QKP851979 QUL851977:QUL851979 REH851977:REH851979 ROD851977:ROD851979 RXZ851977:RXZ851979 SHV851977:SHV851979 SRR851977:SRR851979 TBN851977:TBN851979 TLJ851977:TLJ851979 TVF851977:TVF851979 UFB851977:UFB851979 UOX851977:UOX851979 UYT851977:UYT851979 VIP851977:VIP851979 VSL851977:VSL851979 WCH851977:WCH851979 WMD851977:WMD851979 WVZ851977:WVZ851979 R917513:R917515 JN917513:JN917515 TJ917513:TJ917515 ADF917513:ADF917515 ANB917513:ANB917515 AWX917513:AWX917515 BGT917513:BGT917515 BQP917513:BQP917515 CAL917513:CAL917515 CKH917513:CKH917515 CUD917513:CUD917515 DDZ917513:DDZ917515 DNV917513:DNV917515 DXR917513:DXR917515 EHN917513:EHN917515 ERJ917513:ERJ917515 FBF917513:FBF917515 FLB917513:FLB917515 FUX917513:FUX917515 GET917513:GET917515 GOP917513:GOP917515 GYL917513:GYL917515 HIH917513:HIH917515 HSD917513:HSD917515 IBZ917513:IBZ917515 ILV917513:ILV917515 IVR917513:IVR917515 JFN917513:JFN917515 JPJ917513:JPJ917515 JZF917513:JZF917515 KJB917513:KJB917515 KSX917513:KSX917515 LCT917513:LCT917515 LMP917513:LMP917515 LWL917513:LWL917515 MGH917513:MGH917515 MQD917513:MQD917515 MZZ917513:MZZ917515 NJV917513:NJV917515 NTR917513:NTR917515 ODN917513:ODN917515 ONJ917513:ONJ917515 OXF917513:OXF917515 PHB917513:PHB917515 PQX917513:PQX917515 QAT917513:QAT917515 QKP917513:QKP917515 QUL917513:QUL917515 REH917513:REH917515 ROD917513:ROD917515 RXZ917513:RXZ917515 SHV917513:SHV917515 SRR917513:SRR917515 TBN917513:TBN917515 TLJ917513:TLJ917515 TVF917513:TVF917515 UFB917513:UFB917515 UOX917513:UOX917515 UYT917513:UYT917515 VIP917513:VIP917515 VSL917513:VSL917515 WCH917513:WCH917515 WMD917513:WMD917515 WVZ917513:WVZ917515 R983049:R983051 JN983049:JN983051 TJ983049:TJ983051 ADF983049:ADF983051 ANB983049:ANB983051 AWX983049:AWX983051 BGT983049:BGT983051 BQP983049:BQP983051 CAL983049:CAL983051 CKH983049:CKH983051 CUD983049:CUD983051 DDZ983049:DDZ983051 DNV983049:DNV983051 DXR983049:DXR983051 EHN983049:EHN983051 ERJ983049:ERJ983051 FBF983049:FBF983051 FLB983049:FLB983051 FUX983049:FUX983051 GET983049:GET983051 GOP983049:GOP983051 GYL983049:GYL983051 HIH983049:HIH983051 HSD983049:HSD983051 IBZ983049:IBZ983051 ILV983049:ILV983051 IVR983049:IVR983051 JFN983049:JFN983051 JPJ983049:JPJ983051 JZF983049:JZF983051 KJB983049:KJB983051 KSX983049:KSX983051 LCT983049:LCT983051 LMP983049:LMP983051 LWL983049:LWL983051 MGH983049:MGH983051 MQD983049:MQD983051 MZZ983049:MZZ983051 NJV983049:NJV983051 NTR983049:NTR983051 ODN983049:ODN983051 ONJ983049:ONJ983051 OXF983049:OXF983051 PHB983049:PHB983051 PQX983049:PQX983051 QAT983049:QAT983051 QKP983049:QKP983051 QUL983049:QUL983051 REH983049:REH983051 ROD983049:ROD983051 RXZ983049:RXZ983051 SHV983049:SHV983051 SRR983049:SRR983051 TBN983049:TBN983051 TLJ983049:TLJ983051 TVF983049:TVF983051 UFB983049:UFB983051 UOX983049:UOX983051 UYT983049:UYT983051 VIP983049:VIP983051 VSL983049:VSL983051 WCH983049:WCH983051 WMD983049:WMD983051 WVZ983049:WVZ983051">
      <formula1>$R$12:$R$101</formula1>
    </dataValidation>
    <dataValidation type="list" allowBlank="1" showInputMessage="1" showErrorMessage="1" sqref="Q9:Q863 JM9:JM863 TI9:TI863 ADE9:ADE863 ANA9:ANA863 AWW9:AWW863 BGS9:BGS863 BQO9:BQO863 CAK9:CAK863 CKG9:CKG863 CUC9:CUC863 DDY9:DDY863 DNU9:DNU863 DXQ9:DXQ863 EHM9:EHM863 ERI9:ERI863 FBE9:FBE863 FLA9:FLA863 FUW9:FUW863 GES9:GES863 GOO9:GOO863 GYK9:GYK863 HIG9:HIG863 HSC9:HSC863 IBY9:IBY863 ILU9:ILU863 IVQ9:IVQ863 JFM9:JFM863 JPI9:JPI863 JZE9:JZE863 KJA9:KJA863 KSW9:KSW863 LCS9:LCS863 LMO9:LMO863 LWK9:LWK863 MGG9:MGG863 MQC9:MQC863 MZY9:MZY863 NJU9:NJU863 NTQ9:NTQ863 ODM9:ODM863 ONI9:ONI863 OXE9:OXE863 PHA9:PHA863 PQW9:PQW863 QAS9:QAS863 QKO9:QKO863 QUK9:QUK863 REG9:REG863 ROC9:ROC863 RXY9:RXY863 SHU9:SHU863 SRQ9:SRQ863 TBM9:TBM863 TLI9:TLI863 TVE9:TVE863 UFA9:UFA863 UOW9:UOW863 UYS9:UYS863 VIO9:VIO863 VSK9:VSK863 WCG9:WCG863 WMC9:WMC863 WVY9:WVY863 Q65545:Q66399 JM65545:JM66399 TI65545:TI66399 ADE65545:ADE66399 ANA65545:ANA66399 AWW65545:AWW66399 BGS65545:BGS66399 BQO65545:BQO66399 CAK65545:CAK66399 CKG65545:CKG66399 CUC65545:CUC66399 DDY65545:DDY66399 DNU65545:DNU66399 DXQ65545:DXQ66399 EHM65545:EHM66399 ERI65545:ERI66399 FBE65545:FBE66399 FLA65545:FLA66399 FUW65545:FUW66399 GES65545:GES66399 GOO65545:GOO66399 GYK65545:GYK66399 HIG65545:HIG66399 HSC65545:HSC66399 IBY65545:IBY66399 ILU65545:ILU66399 IVQ65545:IVQ66399 JFM65545:JFM66399 JPI65545:JPI66399 JZE65545:JZE66399 KJA65545:KJA66399 KSW65545:KSW66399 LCS65545:LCS66399 LMO65545:LMO66399 LWK65545:LWK66399 MGG65545:MGG66399 MQC65545:MQC66399 MZY65545:MZY66399 NJU65545:NJU66399 NTQ65545:NTQ66399 ODM65545:ODM66399 ONI65545:ONI66399 OXE65545:OXE66399 PHA65545:PHA66399 PQW65545:PQW66399 QAS65545:QAS66399 QKO65545:QKO66399 QUK65545:QUK66399 REG65545:REG66399 ROC65545:ROC66399 RXY65545:RXY66399 SHU65545:SHU66399 SRQ65545:SRQ66399 TBM65545:TBM66399 TLI65545:TLI66399 TVE65545:TVE66399 UFA65545:UFA66399 UOW65545:UOW66399 UYS65545:UYS66399 VIO65545:VIO66399 VSK65545:VSK66399 WCG65545:WCG66399 WMC65545:WMC66399 WVY65545:WVY66399 Q131081:Q131935 JM131081:JM131935 TI131081:TI131935 ADE131081:ADE131935 ANA131081:ANA131935 AWW131081:AWW131935 BGS131081:BGS131935 BQO131081:BQO131935 CAK131081:CAK131935 CKG131081:CKG131935 CUC131081:CUC131935 DDY131081:DDY131935 DNU131081:DNU131935 DXQ131081:DXQ131935 EHM131081:EHM131935 ERI131081:ERI131935 FBE131081:FBE131935 FLA131081:FLA131935 FUW131081:FUW131935 GES131081:GES131935 GOO131081:GOO131935 GYK131081:GYK131935 HIG131081:HIG131935 HSC131081:HSC131935 IBY131081:IBY131935 ILU131081:ILU131935 IVQ131081:IVQ131935 JFM131081:JFM131935 JPI131081:JPI131935 JZE131081:JZE131935 KJA131081:KJA131935 KSW131081:KSW131935 LCS131081:LCS131935 LMO131081:LMO131935 LWK131081:LWK131935 MGG131081:MGG131935 MQC131081:MQC131935 MZY131081:MZY131935 NJU131081:NJU131935 NTQ131081:NTQ131935 ODM131081:ODM131935 ONI131081:ONI131935 OXE131081:OXE131935 PHA131081:PHA131935 PQW131081:PQW131935 QAS131081:QAS131935 QKO131081:QKO131935 QUK131081:QUK131935 REG131081:REG131935 ROC131081:ROC131935 RXY131081:RXY131935 SHU131081:SHU131935 SRQ131081:SRQ131935 TBM131081:TBM131935 TLI131081:TLI131935 TVE131081:TVE131935 UFA131081:UFA131935 UOW131081:UOW131935 UYS131081:UYS131935 VIO131081:VIO131935 VSK131081:VSK131935 WCG131081:WCG131935 WMC131081:WMC131935 WVY131081:WVY131935 Q196617:Q197471 JM196617:JM197471 TI196617:TI197471 ADE196617:ADE197471 ANA196617:ANA197471 AWW196617:AWW197471 BGS196617:BGS197471 BQO196617:BQO197471 CAK196617:CAK197471 CKG196617:CKG197471 CUC196617:CUC197471 DDY196617:DDY197471 DNU196617:DNU197471 DXQ196617:DXQ197471 EHM196617:EHM197471 ERI196617:ERI197471 FBE196617:FBE197471 FLA196617:FLA197471 FUW196617:FUW197471 GES196617:GES197471 GOO196617:GOO197471 GYK196617:GYK197471 HIG196617:HIG197471 HSC196617:HSC197471 IBY196617:IBY197471 ILU196617:ILU197471 IVQ196617:IVQ197471 JFM196617:JFM197471 JPI196617:JPI197471 JZE196617:JZE197471 KJA196617:KJA197471 KSW196617:KSW197471 LCS196617:LCS197471 LMO196617:LMO197471 LWK196617:LWK197471 MGG196617:MGG197471 MQC196617:MQC197471 MZY196617:MZY197471 NJU196617:NJU197471 NTQ196617:NTQ197471 ODM196617:ODM197471 ONI196617:ONI197471 OXE196617:OXE197471 PHA196617:PHA197471 PQW196617:PQW197471 QAS196617:QAS197471 QKO196617:QKO197471 QUK196617:QUK197471 REG196617:REG197471 ROC196617:ROC197471 RXY196617:RXY197471 SHU196617:SHU197471 SRQ196617:SRQ197471 TBM196617:TBM197471 TLI196617:TLI197471 TVE196617:TVE197471 UFA196617:UFA197471 UOW196617:UOW197471 UYS196617:UYS197471 VIO196617:VIO197471 VSK196617:VSK197471 WCG196617:WCG197471 WMC196617:WMC197471 WVY196617:WVY197471 Q262153:Q263007 JM262153:JM263007 TI262153:TI263007 ADE262153:ADE263007 ANA262153:ANA263007 AWW262153:AWW263007 BGS262153:BGS263007 BQO262153:BQO263007 CAK262153:CAK263007 CKG262153:CKG263007 CUC262153:CUC263007 DDY262153:DDY263007 DNU262153:DNU263007 DXQ262153:DXQ263007 EHM262153:EHM263007 ERI262153:ERI263007 FBE262153:FBE263007 FLA262153:FLA263007 FUW262153:FUW263007 GES262153:GES263007 GOO262153:GOO263007 GYK262153:GYK263007 HIG262153:HIG263007 HSC262153:HSC263007 IBY262153:IBY263007 ILU262153:ILU263007 IVQ262153:IVQ263007 JFM262153:JFM263007 JPI262153:JPI263007 JZE262153:JZE263007 KJA262153:KJA263007 KSW262153:KSW263007 LCS262153:LCS263007 LMO262153:LMO263007 LWK262153:LWK263007 MGG262153:MGG263007 MQC262153:MQC263007 MZY262153:MZY263007 NJU262153:NJU263007 NTQ262153:NTQ263007 ODM262153:ODM263007 ONI262153:ONI263007 OXE262153:OXE263007 PHA262153:PHA263007 PQW262153:PQW263007 QAS262153:QAS263007 QKO262153:QKO263007 QUK262153:QUK263007 REG262153:REG263007 ROC262153:ROC263007 RXY262153:RXY263007 SHU262153:SHU263007 SRQ262153:SRQ263007 TBM262153:TBM263007 TLI262153:TLI263007 TVE262153:TVE263007 UFA262153:UFA263007 UOW262153:UOW263007 UYS262153:UYS263007 VIO262153:VIO263007 VSK262153:VSK263007 WCG262153:WCG263007 WMC262153:WMC263007 WVY262153:WVY263007 Q327689:Q328543 JM327689:JM328543 TI327689:TI328543 ADE327689:ADE328543 ANA327689:ANA328543 AWW327689:AWW328543 BGS327689:BGS328543 BQO327689:BQO328543 CAK327689:CAK328543 CKG327689:CKG328543 CUC327689:CUC328543 DDY327689:DDY328543 DNU327689:DNU328543 DXQ327689:DXQ328543 EHM327689:EHM328543 ERI327689:ERI328543 FBE327689:FBE328543 FLA327689:FLA328543 FUW327689:FUW328543 GES327689:GES328543 GOO327689:GOO328543 GYK327689:GYK328543 HIG327689:HIG328543 HSC327689:HSC328543 IBY327689:IBY328543 ILU327689:ILU328543 IVQ327689:IVQ328543 JFM327689:JFM328543 JPI327689:JPI328543 JZE327689:JZE328543 KJA327689:KJA328543 KSW327689:KSW328543 LCS327689:LCS328543 LMO327689:LMO328543 LWK327689:LWK328543 MGG327689:MGG328543 MQC327689:MQC328543 MZY327689:MZY328543 NJU327689:NJU328543 NTQ327689:NTQ328543 ODM327689:ODM328543 ONI327689:ONI328543 OXE327689:OXE328543 PHA327689:PHA328543 PQW327689:PQW328543 QAS327689:QAS328543 QKO327689:QKO328543 QUK327689:QUK328543 REG327689:REG328543 ROC327689:ROC328543 RXY327689:RXY328543 SHU327689:SHU328543 SRQ327689:SRQ328543 TBM327689:TBM328543 TLI327689:TLI328543 TVE327689:TVE328543 UFA327689:UFA328543 UOW327689:UOW328543 UYS327689:UYS328543 VIO327689:VIO328543 VSK327689:VSK328543 WCG327689:WCG328543 WMC327689:WMC328543 WVY327689:WVY328543 Q393225:Q394079 JM393225:JM394079 TI393225:TI394079 ADE393225:ADE394079 ANA393225:ANA394079 AWW393225:AWW394079 BGS393225:BGS394079 BQO393225:BQO394079 CAK393225:CAK394079 CKG393225:CKG394079 CUC393225:CUC394079 DDY393225:DDY394079 DNU393225:DNU394079 DXQ393225:DXQ394079 EHM393225:EHM394079 ERI393225:ERI394079 FBE393225:FBE394079 FLA393225:FLA394079 FUW393225:FUW394079 GES393225:GES394079 GOO393225:GOO394079 GYK393225:GYK394079 HIG393225:HIG394079 HSC393225:HSC394079 IBY393225:IBY394079 ILU393225:ILU394079 IVQ393225:IVQ394079 JFM393225:JFM394079 JPI393225:JPI394079 JZE393225:JZE394079 KJA393225:KJA394079 KSW393225:KSW394079 LCS393225:LCS394079 LMO393225:LMO394079 LWK393225:LWK394079 MGG393225:MGG394079 MQC393225:MQC394079 MZY393225:MZY394079 NJU393225:NJU394079 NTQ393225:NTQ394079 ODM393225:ODM394079 ONI393225:ONI394079 OXE393225:OXE394079 PHA393225:PHA394079 PQW393225:PQW394079 QAS393225:QAS394079 QKO393225:QKO394079 QUK393225:QUK394079 REG393225:REG394079 ROC393225:ROC394079 RXY393225:RXY394079 SHU393225:SHU394079 SRQ393225:SRQ394079 TBM393225:TBM394079 TLI393225:TLI394079 TVE393225:TVE394079 UFA393225:UFA394079 UOW393225:UOW394079 UYS393225:UYS394079 VIO393225:VIO394079 VSK393225:VSK394079 WCG393225:WCG394079 WMC393225:WMC394079 WVY393225:WVY394079 Q458761:Q459615 JM458761:JM459615 TI458761:TI459615 ADE458761:ADE459615 ANA458761:ANA459615 AWW458761:AWW459615 BGS458761:BGS459615 BQO458761:BQO459615 CAK458761:CAK459615 CKG458761:CKG459615 CUC458761:CUC459615 DDY458761:DDY459615 DNU458761:DNU459615 DXQ458761:DXQ459615 EHM458761:EHM459615 ERI458761:ERI459615 FBE458761:FBE459615 FLA458761:FLA459615 FUW458761:FUW459615 GES458761:GES459615 GOO458761:GOO459615 GYK458761:GYK459615 HIG458761:HIG459615 HSC458761:HSC459615 IBY458761:IBY459615 ILU458761:ILU459615 IVQ458761:IVQ459615 JFM458761:JFM459615 JPI458761:JPI459615 JZE458761:JZE459615 KJA458761:KJA459615 KSW458761:KSW459615 LCS458761:LCS459615 LMO458761:LMO459615 LWK458761:LWK459615 MGG458761:MGG459615 MQC458761:MQC459615 MZY458761:MZY459615 NJU458761:NJU459615 NTQ458761:NTQ459615 ODM458761:ODM459615 ONI458761:ONI459615 OXE458761:OXE459615 PHA458761:PHA459615 PQW458761:PQW459615 QAS458761:QAS459615 QKO458761:QKO459615 QUK458761:QUK459615 REG458761:REG459615 ROC458761:ROC459615 RXY458761:RXY459615 SHU458761:SHU459615 SRQ458761:SRQ459615 TBM458761:TBM459615 TLI458761:TLI459615 TVE458761:TVE459615 UFA458761:UFA459615 UOW458761:UOW459615 UYS458761:UYS459615 VIO458761:VIO459615 VSK458761:VSK459615 WCG458761:WCG459615 WMC458761:WMC459615 WVY458761:WVY459615 Q524297:Q525151 JM524297:JM525151 TI524297:TI525151 ADE524297:ADE525151 ANA524297:ANA525151 AWW524297:AWW525151 BGS524297:BGS525151 BQO524297:BQO525151 CAK524297:CAK525151 CKG524297:CKG525151 CUC524297:CUC525151 DDY524297:DDY525151 DNU524297:DNU525151 DXQ524297:DXQ525151 EHM524297:EHM525151 ERI524297:ERI525151 FBE524297:FBE525151 FLA524297:FLA525151 FUW524297:FUW525151 GES524297:GES525151 GOO524297:GOO525151 GYK524297:GYK525151 HIG524297:HIG525151 HSC524297:HSC525151 IBY524297:IBY525151 ILU524297:ILU525151 IVQ524297:IVQ525151 JFM524297:JFM525151 JPI524297:JPI525151 JZE524297:JZE525151 KJA524297:KJA525151 KSW524297:KSW525151 LCS524297:LCS525151 LMO524297:LMO525151 LWK524297:LWK525151 MGG524297:MGG525151 MQC524297:MQC525151 MZY524297:MZY525151 NJU524297:NJU525151 NTQ524297:NTQ525151 ODM524297:ODM525151 ONI524297:ONI525151 OXE524297:OXE525151 PHA524297:PHA525151 PQW524297:PQW525151 QAS524297:QAS525151 QKO524297:QKO525151 QUK524297:QUK525151 REG524297:REG525151 ROC524297:ROC525151 RXY524297:RXY525151 SHU524297:SHU525151 SRQ524297:SRQ525151 TBM524297:TBM525151 TLI524297:TLI525151 TVE524297:TVE525151 UFA524297:UFA525151 UOW524297:UOW525151 UYS524297:UYS525151 VIO524297:VIO525151 VSK524297:VSK525151 WCG524297:WCG525151 WMC524297:WMC525151 WVY524297:WVY525151 Q589833:Q590687 JM589833:JM590687 TI589833:TI590687 ADE589833:ADE590687 ANA589833:ANA590687 AWW589833:AWW590687 BGS589833:BGS590687 BQO589833:BQO590687 CAK589833:CAK590687 CKG589833:CKG590687 CUC589833:CUC590687 DDY589833:DDY590687 DNU589833:DNU590687 DXQ589833:DXQ590687 EHM589833:EHM590687 ERI589833:ERI590687 FBE589833:FBE590687 FLA589833:FLA590687 FUW589833:FUW590687 GES589833:GES590687 GOO589833:GOO590687 GYK589833:GYK590687 HIG589833:HIG590687 HSC589833:HSC590687 IBY589833:IBY590687 ILU589833:ILU590687 IVQ589833:IVQ590687 JFM589833:JFM590687 JPI589833:JPI590687 JZE589833:JZE590687 KJA589833:KJA590687 KSW589833:KSW590687 LCS589833:LCS590687 LMO589833:LMO590687 LWK589833:LWK590687 MGG589833:MGG590687 MQC589833:MQC590687 MZY589833:MZY590687 NJU589833:NJU590687 NTQ589833:NTQ590687 ODM589833:ODM590687 ONI589833:ONI590687 OXE589833:OXE590687 PHA589833:PHA590687 PQW589833:PQW590687 QAS589833:QAS590687 QKO589833:QKO590687 QUK589833:QUK590687 REG589833:REG590687 ROC589833:ROC590687 RXY589833:RXY590687 SHU589833:SHU590687 SRQ589833:SRQ590687 TBM589833:TBM590687 TLI589833:TLI590687 TVE589833:TVE590687 UFA589833:UFA590687 UOW589833:UOW590687 UYS589833:UYS590687 VIO589833:VIO590687 VSK589833:VSK590687 WCG589833:WCG590687 WMC589833:WMC590687 WVY589833:WVY590687 Q655369:Q656223 JM655369:JM656223 TI655369:TI656223 ADE655369:ADE656223 ANA655369:ANA656223 AWW655369:AWW656223 BGS655369:BGS656223 BQO655369:BQO656223 CAK655369:CAK656223 CKG655369:CKG656223 CUC655369:CUC656223 DDY655369:DDY656223 DNU655369:DNU656223 DXQ655369:DXQ656223 EHM655369:EHM656223 ERI655369:ERI656223 FBE655369:FBE656223 FLA655369:FLA656223 FUW655369:FUW656223 GES655369:GES656223 GOO655369:GOO656223 GYK655369:GYK656223 HIG655369:HIG656223 HSC655369:HSC656223 IBY655369:IBY656223 ILU655369:ILU656223 IVQ655369:IVQ656223 JFM655369:JFM656223 JPI655369:JPI656223 JZE655369:JZE656223 KJA655369:KJA656223 KSW655369:KSW656223 LCS655369:LCS656223 LMO655369:LMO656223 LWK655369:LWK656223 MGG655369:MGG656223 MQC655369:MQC656223 MZY655369:MZY656223 NJU655369:NJU656223 NTQ655369:NTQ656223 ODM655369:ODM656223 ONI655369:ONI656223 OXE655369:OXE656223 PHA655369:PHA656223 PQW655369:PQW656223 QAS655369:QAS656223 QKO655369:QKO656223 QUK655369:QUK656223 REG655369:REG656223 ROC655369:ROC656223 RXY655369:RXY656223 SHU655369:SHU656223 SRQ655369:SRQ656223 TBM655369:TBM656223 TLI655369:TLI656223 TVE655369:TVE656223 UFA655369:UFA656223 UOW655369:UOW656223 UYS655369:UYS656223 VIO655369:VIO656223 VSK655369:VSK656223 WCG655369:WCG656223 WMC655369:WMC656223 WVY655369:WVY656223 Q720905:Q721759 JM720905:JM721759 TI720905:TI721759 ADE720905:ADE721759 ANA720905:ANA721759 AWW720905:AWW721759 BGS720905:BGS721759 BQO720905:BQO721759 CAK720905:CAK721759 CKG720905:CKG721759 CUC720905:CUC721759 DDY720905:DDY721759 DNU720905:DNU721759 DXQ720905:DXQ721759 EHM720905:EHM721759 ERI720905:ERI721759 FBE720905:FBE721759 FLA720905:FLA721759 FUW720905:FUW721759 GES720905:GES721759 GOO720905:GOO721759 GYK720905:GYK721759 HIG720905:HIG721759 HSC720905:HSC721759 IBY720905:IBY721759 ILU720905:ILU721759 IVQ720905:IVQ721759 JFM720905:JFM721759 JPI720905:JPI721759 JZE720905:JZE721759 KJA720905:KJA721759 KSW720905:KSW721759 LCS720905:LCS721759 LMO720905:LMO721759 LWK720905:LWK721759 MGG720905:MGG721759 MQC720905:MQC721759 MZY720905:MZY721759 NJU720905:NJU721759 NTQ720905:NTQ721759 ODM720905:ODM721759 ONI720905:ONI721759 OXE720905:OXE721759 PHA720905:PHA721759 PQW720905:PQW721759 QAS720905:QAS721759 QKO720905:QKO721759 QUK720905:QUK721759 REG720905:REG721759 ROC720905:ROC721759 RXY720905:RXY721759 SHU720905:SHU721759 SRQ720905:SRQ721759 TBM720905:TBM721759 TLI720905:TLI721759 TVE720905:TVE721759 UFA720905:UFA721759 UOW720905:UOW721759 UYS720905:UYS721759 VIO720905:VIO721759 VSK720905:VSK721759 WCG720905:WCG721759 WMC720905:WMC721759 WVY720905:WVY721759 Q786441:Q787295 JM786441:JM787295 TI786441:TI787295 ADE786441:ADE787295 ANA786441:ANA787295 AWW786441:AWW787295 BGS786441:BGS787295 BQO786441:BQO787295 CAK786441:CAK787295 CKG786441:CKG787295 CUC786441:CUC787295 DDY786441:DDY787295 DNU786441:DNU787295 DXQ786441:DXQ787295 EHM786441:EHM787295 ERI786441:ERI787295 FBE786441:FBE787295 FLA786441:FLA787295 FUW786441:FUW787295 GES786441:GES787295 GOO786441:GOO787295 GYK786441:GYK787295 HIG786441:HIG787295 HSC786441:HSC787295 IBY786441:IBY787295 ILU786441:ILU787295 IVQ786441:IVQ787295 JFM786441:JFM787295 JPI786441:JPI787295 JZE786441:JZE787295 KJA786441:KJA787295 KSW786441:KSW787295 LCS786441:LCS787295 LMO786441:LMO787295 LWK786441:LWK787295 MGG786441:MGG787295 MQC786441:MQC787295 MZY786441:MZY787295 NJU786441:NJU787295 NTQ786441:NTQ787295 ODM786441:ODM787295 ONI786441:ONI787295 OXE786441:OXE787295 PHA786441:PHA787295 PQW786441:PQW787295 QAS786441:QAS787295 QKO786441:QKO787295 QUK786441:QUK787295 REG786441:REG787295 ROC786441:ROC787295 RXY786441:RXY787295 SHU786441:SHU787295 SRQ786441:SRQ787295 TBM786441:TBM787295 TLI786441:TLI787295 TVE786441:TVE787295 UFA786441:UFA787295 UOW786441:UOW787295 UYS786441:UYS787295 VIO786441:VIO787295 VSK786441:VSK787295 WCG786441:WCG787295 WMC786441:WMC787295 WVY786441:WVY787295 Q851977:Q852831 JM851977:JM852831 TI851977:TI852831 ADE851977:ADE852831 ANA851977:ANA852831 AWW851977:AWW852831 BGS851977:BGS852831 BQO851977:BQO852831 CAK851977:CAK852831 CKG851977:CKG852831 CUC851977:CUC852831 DDY851977:DDY852831 DNU851977:DNU852831 DXQ851977:DXQ852831 EHM851977:EHM852831 ERI851977:ERI852831 FBE851977:FBE852831 FLA851977:FLA852831 FUW851977:FUW852831 GES851977:GES852831 GOO851977:GOO852831 GYK851977:GYK852831 HIG851977:HIG852831 HSC851977:HSC852831 IBY851977:IBY852831 ILU851977:ILU852831 IVQ851977:IVQ852831 JFM851977:JFM852831 JPI851977:JPI852831 JZE851977:JZE852831 KJA851977:KJA852831 KSW851977:KSW852831 LCS851977:LCS852831 LMO851977:LMO852831 LWK851977:LWK852831 MGG851977:MGG852831 MQC851977:MQC852831 MZY851977:MZY852831 NJU851977:NJU852831 NTQ851977:NTQ852831 ODM851977:ODM852831 ONI851977:ONI852831 OXE851977:OXE852831 PHA851977:PHA852831 PQW851977:PQW852831 QAS851977:QAS852831 QKO851977:QKO852831 QUK851977:QUK852831 REG851977:REG852831 ROC851977:ROC852831 RXY851977:RXY852831 SHU851977:SHU852831 SRQ851977:SRQ852831 TBM851977:TBM852831 TLI851977:TLI852831 TVE851977:TVE852831 UFA851977:UFA852831 UOW851977:UOW852831 UYS851977:UYS852831 VIO851977:VIO852831 VSK851977:VSK852831 WCG851977:WCG852831 WMC851977:WMC852831 WVY851977:WVY852831 Q917513:Q918367 JM917513:JM918367 TI917513:TI918367 ADE917513:ADE918367 ANA917513:ANA918367 AWW917513:AWW918367 BGS917513:BGS918367 BQO917513:BQO918367 CAK917513:CAK918367 CKG917513:CKG918367 CUC917513:CUC918367 DDY917513:DDY918367 DNU917513:DNU918367 DXQ917513:DXQ918367 EHM917513:EHM918367 ERI917513:ERI918367 FBE917513:FBE918367 FLA917513:FLA918367 FUW917513:FUW918367 GES917513:GES918367 GOO917513:GOO918367 GYK917513:GYK918367 HIG917513:HIG918367 HSC917513:HSC918367 IBY917513:IBY918367 ILU917513:ILU918367 IVQ917513:IVQ918367 JFM917513:JFM918367 JPI917513:JPI918367 JZE917513:JZE918367 KJA917513:KJA918367 KSW917513:KSW918367 LCS917513:LCS918367 LMO917513:LMO918367 LWK917513:LWK918367 MGG917513:MGG918367 MQC917513:MQC918367 MZY917513:MZY918367 NJU917513:NJU918367 NTQ917513:NTQ918367 ODM917513:ODM918367 ONI917513:ONI918367 OXE917513:OXE918367 PHA917513:PHA918367 PQW917513:PQW918367 QAS917513:QAS918367 QKO917513:QKO918367 QUK917513:QUK918367 REG917513:REG918367 ROC917513:ROC918367 RXY917513:RXY918367 SHU917513:SHU918367 SRQ917513:SRQ918367 TBM917513:TBM918367 TLI917513:TLI918367 TVE917513:TVE918367 UFA917513:UFA918367 UOW917513:UOW918367 UYS917513:UYS918367 VIO917513:VIO918367 VSK917513:VSK918367 WCG917513:WCG918367 WMC917513:WMC918367 WVY917513:WVY918367 Q983049:Q983903 JM983049:JM983903 TI983049:TI983903 ADE983049:ADE983903 ANA983049:ANA983903 AWW983049:AWW983903 BGS983049:BGS983903 BQO983049:BQO983903 CAK983049:CAK983903 CKG983049:CKG983903 CUC983049:CUC983903 DDY983049:DDY983903 DNU983049:DNU983903 DXQ983049:DXQ983903 EHM983049:EHM983903 ERI983049:ERI983903 FBE983049:FBE983903 FLA983049:FLA983903 FUW983049:FUW983903 GES983049:GES983903 GOO983049:GOO983903 GYK983049:GYK983903 HIG983049:HIG983903 HSC983049:HSC983903 IBY983049:IBY983903 ILU983049:ILU983903 IVQ983049:IVQ983903 JFM983049:JFM983903 JPI983049:JPI983903 JZE983049:JZE983903 KJA983049:KJA983903 KSW983049:KSW983903 LCS983049:LCS983903 LMO983049:LMO983903 LWK983049:LWK983903 MGG983049:MGG983903 MQC983049:MQC983903 MZY983049:MZY983903 NJU983049:NJU983903 NTQ983049:NTQ983903 ODM983049:ODM983903 ONI983049:ONI983903 OXE983049:OXE983903 PHA983049:PHA983903 PQW983049:PQW983903 QAS983049:QAS983903 QKO983049:QKO983903 QUK983049:QUK983903 REG983049:REG983903 ROC983049:ROC983903 RXY983049:RXY983903 SHU983049:SHU983903 SRQ983049:SRQ983903 TBM983049:TBM983903 TLI983049:TLI983903 TVE983049:TVE983903 UFA983049:UFA983903 UOW983049:UOW983903 UYS983049:UYS983903 VIO983049:VIO983903 VSK983049:VSK983903 WCG983049:WCG983903 WMC983049:WMC983903 WVY983049:WVY983903">
      <formula1>$Q$12:$Q$863</formula1>
    </dataValidation>
    <dataValidation type="list" allowBlank="1" showInputMessage="1" showErrorMessage="1" sqref="S9:S11 JO9:JO11 TK9:TK11 ADG9:ADG11 ANC9:ANC11 AWY9:AWY11 BGU9:BGU11 BQQ9:BQQ11 CAM9:CAM11 CKI9:CKI11 CUE9:CUE11 DEA9:DEA11 DNW9:DNW11 DXS9:DXS11 EHO9:EHO11 ERK9:ERK11 FBG9:FBG11 FLC9:FLC11 FUY9:FUY11 GEU9:GEU11 GOQ9:GOQ11 GYM9:GYM11 HII9:HII11 HSE9:HSE11 ICA9:ICA11 ILW9:ILW11 IVS9:IVS11 JFO9:JFO11 JPK9:JPK11 JZG9:JZG11 KJC9:KJC11 KSY9:KSY11 LCU9:LCU11 LMQ9:LMQ11 LWM9:LWM11 MGI9:MGI11 MQE9:MQE11 NAA9:NAA11 NJW9:NJW11 NTS9:NTS11 ODO9:ODO11 ONK9:ONK11 OXG9:OXG11 PHC9:PHC11 PQY9:PQY11 QAU9:QAU11 QKQ9:QKQ11 QUM9:QUM11 REI9:REI11 ROE9:ROE11 RYA9:RYA11 SHW9:SHW11 SRS9:SRS11 TBO9:TBO11 TLK9:TLK11 TVG9:TVG11 UFC9:UFC11 UOY9:UOY11 UYU9:UYU11 VIQ9:VIQ11 VSM9:VSM11 WCI9:WCI11 WME9:WME11 WWA9:WWA11 S65545:S65547 JO65545:JO65547 TK65545:TK65547 ADG65545:ADG65547 ANC65545:ANC65547 AWY65545:AWY65547 BGU65545:BGU65547 BQQ65545:BQQ65547 CAM65545:CAM65547 CKI65545:CKI65547 CUE65545:CUE65547 DEA65545:DEA65547 DNW65545:DNW65547 DXS65545:DXS65547 EHO65545:EHO65547 ERK65545:ERK65547 FBG65545:FBG65547 FLC65545:FLC65547 FUY65545:FUY65547 GEU65545:GEU65547 GOQ65545:GOQ65547 GYM65545:GYM65547 HII65545:HII65547 HSE65545:HSE65547 ICA65545:ICA65547 ILW65545:ILW65547 IVS65545:IVS65547 JFO65545:JFO65547 JPK65545:JPK65547 JZG65545:JZG65547 KJC65545:KJC65547 KSY65545:KSY65547 LCU65545:LCU65547 LMQ65545:LMQ65547 LWM65545:LWM65547 MGI65545:MGI65547 MQE65545:MQE65547 NAA65545:NAA65547 NJW65545:NJW65547 NTS65545:NTS65547 ODO65545:ODO65547 ONK65545:ONK65547 OXG65545:OXG65547 PHC65545:PHC65547 PQY65545:PQY65547 QAU65545:QAU65547 QKQ65545:QKQ65547 QUM65545:QUM65547 REI65545:REI65547 ROE65545:ROE65547 RYA65545:RYA65547 SHW65545:SHW65547 SRS65545:SRS65547 TBO65545:TBO65547 TLK65545:TLK65547 TVG65545:TVG65547 UFC65545:UFC65547 UOY65545:UOY65547 UYU65545:UYU65547 VIQ65545:VIQ65547 VSM65545:VSM65547 WCI65545:WCI65547 WME65545:WME65547 WWA65545:WWA65547 S131081:S131083 JO131081:JO131083 TK131081:TK131083 ADG131081:ADG131083 ANC131081:ANC131083 AWY131081:AWY131083 BGU131081:BGU131083 BQQ131081:BQQ131083 CAM131081:CAM131083 CKI131081:CKI131083 CUE131081:CUE131083 DEA131081:DEA131083 DNW131081:DNW131083 DXS131081:DXS131083 EHO131081:EHO131083 ERK131081:ERK131083 FBG131081:FBG131083 FLC131081:FLC131083 FUY131081:FUY131083 GEU131081:GEU131083 GOQ131081:GOQ131083 GYM131081:GYM131083 HII131081:HII131083 HSE131081:HSE131083 ICA131081:ICA131083 ILW131081:ILW131083 IVS131081:IVS131083 JFO131081:JFO131083 JPK131081:JPK131083 JZG131081:JZG131083 KJC131081:KJC131083 KSY131081:KSY131083 LCU131081:LCU131083 LMQ131081:LMQ131083 LWM131081:LWM131083 MGI131081:MGI131083 MQE131081:MQE131083 NAA131081:NAA131083 NJW131081:NJW131083 NTS131081:NTS131083 ODO131081:ODO131083 ONK131081:ONK131083 OXG131081:OXG131083 PHC131081:PHC131083 PQY131081:PQY131083 QAU131081:QAU131083 QKQ131081:QKQ131083 QUM131081:QUM131083 REI131081:REI131083 ROE131081:ROE131083 RYA131081:RYA131083 SHW131081:SHW131083 SRS131081:SRS131083 TBO131081:TBO131083 TLK131081:TLK131083 TVG131081:TVG131083 UFC131081:UFC131083 UOY131081:UOY131083 UYU131081:UYU131083 VIQ131081:VIQ131083 VSM131081:VSM131083 WCI131081:WCI131083 WME131081:WME131083 WWA131081:WWA131083 S196617:S196619 JO196617:JO196619 TK196617:TK196619 ADG196617:ADG196619 ANC196617:ANC196619 AWY196617:AWY196619 BGU196617:BGU196619 BQQ196617:BQQ196619 CAM196617:CAM196619 CKI196617:CKI196619 CUE196617:CUE196619 DEA196617:DEA196619 DNW196617:DNW196619 DXS196617:DXS196619 EHO196617:EHO196619 ERK196617:ERK196619 FBG196617:FBG196619 FLC196617:FLC196619 FUY196617:FUY196619 GEU196617:GEU196619 GOQ196617:GOQ196619 GYM196617:GYM196619 HII196617:HII196619 HSE196617:HSE196619 ICA196617:ICA196619 ILW196617:ILW196619 IVS196617:IVS196619 JFO196617:JFO196619 JPK196617:JPK196619 JZG196617:JZG196619 KJC196617:KJC196619 KSY196617:KSY196619 LCU196617:LCU196619 LMQ196617:LMQ196619 LWM196617:LWM196619 MGI196617:MGI196619 MQE196617:MQE196619 NAA196617:NAA196619 NJW196617:NJW196619 NTS196617:NTS196619 ODO196617:ODO196619 ONK196617:ONK196619 OXG196617:OXG196619 PHC196617:PHC196619 PQY196617:PQY196619 QAU196617:QAU196619 QKQ196617:QKQ196619 QUM196617:QUM196619 REI196617:REI196619 ROE196617:ROE196619 RYA196617:RYA196619 SHW196617:SHW196619 SRS196617:SRS196619 TBO196617:TBO196619 TLK196617:TLK196619 TVG196617:TVG196619 UFC196617:UFC196619 UOY196617:UOY196619 UYU196617:UYU196619 VIQ196617:VIQ196619 VSM196617:VSM196619 WCI196617:WCI196619 WME196617:WME196619 WWA196617:WWA196619 S262153:S262155 JO262153:JO262155 TK262153:TK262155 ADG262153:ADG262155 ANC262153:ANC262155 AWY262153:AWY262155 BGU262153:BGU262155 BQQ262153:BQQ262155 CAM262153:CAM262155 CKI262153:CKI262155 CUE262153:CUE262155 DEA262153:DEA262155 DNW262153:DNW262155 DXS262153:DXS262155 EHO262153:EHO262155 ERK262153:ERK262155 FBG262153:FBG262155 FLC262153:FLC262155 FUY262153:FUY262155 GEU262153:GEU262155 GOQ262153:GOQ262155 GYM262153:GYM262155 HII262153:HII262155 HSE262153:HSE262155 ICA262153:ICA262155 ILW262153:ILW262155 IVS262153:IVS262155 JFO262153:JFO262155 JPK262153:JPK262155 JZG262153:JZG262155 KJC262153:KJC262155 KSY262153:KSY262155 LCU262153:LCU262155 LMQ262153:LMQ262155 LWM262153:LWM262155 MGI262153:MGI262155 MQE262153:MQE262155 NAA262153:NAA262155 NJW262153:NJW262155 NTS262153:NTS262155 ODO262153:ODO262155 ONK262153:ONK262155 OXG262153:OXG262155 PHC262153:PHC262155 PQY262153:PQY262155 QAU262153:QAU262155 QKQ262153:QKQ262155 QUM262153:QUM262155 REI262153:REI262155 ROE262153:ROE262155 RYA262153:RYA262155 SHW262153:SHW262155 SRS262153:SRS262155 TBO262153:TBO262155 TLK262153:TLK262155 TVG262153:TVG262155 UFC262153:UFC262155 UOY262153:UOY262155 UYU262153:UYU262155 VIQ262153:VIQ262155 VSM262153:VSM262155 WCI262153:WCI262155 WME262153:WME262155 WWA262153:WWA262155 S327689:S327691 JO327689:JO327691 TK327689:TK327691 ADG327689:ADG327691 ANC327689:ANC327691 AWY327689:AWY327691 BGU327689:BGU327691 BQQ327689:BQQ327691 CAM327689:CAM327691 CKI327689:CKI327691 CUE327689:CUE327691 DEA327689:DEA327691 DNW327689:DNW327691 DXS327689:DXS327691 EHO327689:EHO327691 ERK327689:ERK327691 FBG327689:FBG327691 FLC327689:FLC327691 FUY327689:FUY327691 GEU327689:GEU327691 GOQ327689:GOQ327691 GYM327689:GYM327691 HII327689:HII327691 HSE327689:HSE327691 ICA327689:ICA327691 ILW327689:ILW327691 IVS327689:IVS327691 JFO327689:JFO327691 JPK327689:JPK327691 JZG327689:JZG327691 KJC327689:KJC327691 KSY327689:KSY327691 LCU327689:LCU327691 LMQ327689:LMQ327691 LWM327689:LWM327691 MGI327689:MGI327691 MQE327689:MQE327691 NAA327689:NAA327691 NJW327689:NJW327691 NTS327689:NTS327691 ODO327689:ODO327691 ONK327689:ONK327691 OXG327689:OXG327691 PHC327689:PHC327691 PQY327689:PQY327691 QAU327689:QAU327691 QKQ327689:QKQ327691 QUM327689:QUM327691 REI327689:REI327691 ROE327689:ROE327691 RYA327689:RYA327691 SHW327689:SHW327691 SRS327689:SRS327691 TBO327689:TBO327691 TLK327689:TLK327691 TVG327689:TVG327691 UFC327689:UFC327691 UOY327689:UOY327691 UYU327689:UYU327691 VIQ327689:VIQ327691 VSM327689:VSM327691 WCI327689:WCI327691 WME327689:WME327691 WWA327689:WWA327691 S393225:S393227 JO393225:JO393227 TK393225:TK393227 ADG393225:ADG393227 ANC393225:ANC393227 AWY393225:AWY393227 BGU393225:BGU393227 BQQ393225:BQQ393227 CAM393225:CAM393227 CKI393225:CKI393227 CUE393225:CUE393227 DEA393225:DEA393227 DNW393225:DNW393227 DXS393225:DXS393227 EHO393225:EHO393227 ERK393225:ERK393227 FBG393225:FBG393227 FLC393225:FLC393227 FUY393225:FUY393227 GEU393225:GEU393227 GOQ393225:GOQ393227 GYM393225:GYM393227 HII393225:HII393227 HSE393225:HSE393227 ICA393225:ICA393227 ILW393225:ILW393227 IVS393225:IVS393227 JFO393225:JFO393227 JPK393225:JPK393227 JZG393225:JZG393227 KJC393225:KJC393227 KSY393225:KSY393227 LCU393225:LCU393227 LMQ393225:LMQ393227 LWM393225:LWM393227 MGI393225:MGI393227 MQE393225:MQE393227 NAA393225:NAA393227 NJW393225:NJW393227 NTS393225:NTS393227 ODO393225:ODO393227 ONK393225:ONK393227 OXG393225:OXG393227 PHC393225:PHC393227 PQY393225:PQY393227 QAU393225:QAU393227 QKQ393225:QKQ393227 QUM393225:QUM393227 REI393225:REI393227 ROE393225:ROE393227 RYA393225:RYA393227 SHW393225:SHW393227 SRS393225:SRS393227 TBO393225:TBO393227 TLK393225:TLK393227 TVG393225:TVG393227 UFC393225:UFC393227 UOY393225:UOY393227 UYU393225:UYU393227 VIQ393225:VIQ393227 VSM393225:VSM393227 WCI393225:WCI393227 WME393225:WME393227 WWA393225:WWA393227 S458761:S458763 JO458761:JO458763 TK458761:TK458763 ADG458761:ADG458763 ANC458761:ANC458763 AWY458761:AWY458763 BGU458761:BGU458763 BQQ458761:BQQ458763 CAM458761:CAM458763 CKI458761:CKI458763 CUE458761:CUE458763 DEA458761:DEA458763 DNW458761:DNW458763 DXS458761:DXS458763 EHO458761:EHO458763 ERK458761:ERK458763 FBG458761:FBG458763 FLC458761:FLC458763 FUY458761:FUY458763 GEU458761:GEU458763 GOQ458761:GOQ458763 GYM458761:GYM458763 HII458761:HII458763 HSE458761:HSE458763 ICA458761:ICA458763 ILW458761:ILW458763 IVS458761:IVS458763 JFO458761:JFO458763 JPK458761:JPK458763 JZG458761:JZG458763 KJC458761:KJC458763 KSY458761:KSY458763 LCU458761:LCU458763 LMQ458761:LMQ458763 LWM458761:LWM458763 MGI458761:MGI458763 MQE458761:MQE458763 NAA458761:NAA458763 NJW458761:NJW458763 NTS458761:NTS458763 ODO458761:ODO458763 ONK458761:ONK458763 OXG458761:OXG458763 PHC458761:PHC458763 PQY458761:PQY458763 QAU458761:QAU458763 QKQ458761:QKQ458763 QUM458761:QUM458763 REI458761:REI458763 ROE458761:ROE458763 RYA458761:RYA458763 SHW458761:SHW458763 SRS458761:SRS458763 TBO458761:TBO458763 TLK458761:TLK458763 TVG458761:TVG458763 UFC458761:UFC458763 UOY458761:UOY458763 UYU458761:UYU458763 VIQ458761:VIQ458763 VSM458761:VSM458763 WCI458761:WCI458763 WME458761:WME458763 WWA458761:WWA458763 S524297:S524299 JO524297:JO524299 TK524297:TK524299 ADG524297:ADG524299 ANC524297:ANC524299 AWY524297:AWY524299 BGU524297:BGU524299 BQQ524297:BQQ524299 CAM524297:CAM524299 CKI524297:CKI524299 CUE524297:CUE524299 DEA524297:DEA524299 DNW524297:DNW524299 DXS524297:DXS524299 EHO524297:EHO524299 ERK524297:ERK524299 FBG524297:FBG524299 FLC524297:FLC524299 FUY524297:FUY524299 GEU524297:GEU524299 GOQ524297:GOQ524299 GYM524297:GYM524299 HII524297:HII524299 HSE524297:HSE524299 ICA524297:ICA524299 ILW524297:ILW524299 IVS524297:IVS524299 JFO524297:JFO524299 JPK524297:JPK524299 JZG524297:JZG524299 KJC524297:KJC524299 KSY524297:KSY524299 LCU524297:LCU524299 LMQ524297:LMQ524299 LWM524297:LWM524299 MGI524297:MGI524299 MQE524297:MQE524299 NAA524297:NAA524299 NJW524297:NJW524299 NTS524297:NTS524299 ODO524297:ODO524299 ONK524297:ONK524299 OXG524297:OXG524299 PHC524297:PHC524299 PQY524297:PQY524299 QAU524297:QAU524299 QKQ524297:QKQ524299 QUM524297:QUM524299 REI524297:REI524299 ROE524297:ROE524299 RYA524297:RYA524299 SHW524297:SHW524299 SRS524297:SRS524299 TBO524297:TBO524299 TLK524297:TLK524299 TVG524297:TVG524299 UFC524297:UFC524299 UOY524297:UOY524299 UYU524297:UYU524299 VIQ524297:VIQ524299 VSM524297:VSM524299 WCI524297:WCI524299 WME524297:WME524299 WWA524297:WWA524299 S589833:S589835 JO589833:JO589835 TK589833:TK589835 ADG589833:ADG589835 ANC589833:ANC589835 AWY589833:AWY589835 BGU589833:BGU589835 BQQ589833:BQQ589835 CAM589833:CAM589835 CKI589833:CKI589835 CUE589833:CUE589835 DEA589833:DEA589835 DNW589833:DNW589835 DXS589833:DXS589835 EHO589833:EHO589835 ERK589833:ERK589835 FBG589833:FBG589835 FLC589833:FLC589835 FUY589833:FUY589835 GEU589833:GEU589835 GOQ589833:GOQ589835 GYM589833:GYM589835 HII589833:HII589835 HSE589833:HSE589835 ICA589833:ICA589835 ILW589833:ILW589835 IVS589833:IVS589835 JFO589833:JFO589835 JPK589833:JPK589835 JZG589833:JZG589835 KJC589833:KJC589835 KSY589833:KSY589835 LCU589833:LCU589835 LMQ589833:LMQ589835 LWM589833:LWM589835 MGI589833:MGI589835 MQE589833:MQE589835 NAA589833:NAA589835 NJW589833:NJW589835 NTS589833:NTS589835 ODO589833:ODO589835 ONK589833:ONK589835 OXG589833:OXG589835 PHC589833:PHC589835 PQY589833:PQY589835 QAU589833:QAU589835 QKQ589833:QKQ589835 QUM589833:QUM589835 REI589833:REI589835 ROE589833:ROE589835 RYA589833:RYA589835 SHW589833:SHW589835 SRS589833:SRS589835 TBO589833:TBO589835 TLK589833:TLK589835 TVG589833:TVG589835 UFC589833:UFC589835 UOY589833:UOY589835 UYU589833:UYU589835 VIQ589833:VIQ589835 VSM589833:VSM589835 WCI589833:WCI589835 WME589833:WME589835 WWA589833:WWA589835 S655369:S655371 JO655369:JO655371 TK655369:TK655371 ADG655369:ADG655371 ANC655369:ANC655371 AWY655369:AWY655371 BGU655369:BGU655371 BQQ655369:BQQ655371 CAM655369:CAM655371 CKI655369:CKI655371 CUE655369:CUE655371 DEA655369:DEA655371 DNW655369:DNW655371 DXS655369:DXS655371 EHO655369:EHO655371 ERK655369:ERK655371 FBG655369:FBG655371 FLC655369:FLC655371 FUY655369:FUY655371 GEU655369:GEU655371 GOQ655369:GOQ655371 GYM655369:GYM655371 HII655369:HII655371 HSE655369:HSE655371 ICA655369:ICA655371 ILW655369:ILW655371 IVS655369:IVS655371 JFO655369:JFO655371 JPK655369:JPK655371 JZG655369:JZG655371 KJC655369:KJC655371 KSY655369:KSY655371 LCU655369:LCU655371 LMQ655369:LMQ655371 LWM655369:LWM655371 MGI655369:MGI655371 MQE655369:MQE655371 NAA655369:NAA655371 NJW655369:NJW655371 NTS655369:NTS655371 ODO655369:ODO655371 ONK655369:ONK655371 OXG655369:OXG655371 PHC655369:PHC655371 PQY655369:PQY655371 QAU655369:QAU655371 QKQ655369:QKQ655371 QUM655369:QUM655371 REI655369:REI655371 ROE655369:ROE655371 RYA655369:RYA655371 SHW655369:SHW655371 SRS655369:SRS655371 TBO655369:TBO655371 TLK655369:TLK655371 TVG655369:TVG655371 UFC655369:UFC655371 UOY655369:UOY655371 UYU655369:UYU655371 VIQ655369:VIQ655371 VSM655369:VSM655371 WCI655369:WCI655371 WME655369:WME655371 WWA655369:WWA655371 S720905:S720907 JO720905:JO720907 TK720905:TK720907 ADG720905:ADG720907 ANC720905:ANC720907 AWY720905:AWY720907 BGU720905:BGU720907 BQQ720905:BQQ720907 CAM720905:CAM720907 CKI720905:CKI720907 CUE720905:CUE720907 DEA720905:DEA720907 DNW720905:DNW720907 DXS720905:DXS720907 EHO720905:EHO720907 ERK720905:ERK720907 FBG720905:FBG720907 FLC720905:FLC720907 FUY720905:FUY720907 GEU720905:GEU720907 GOQ720905:GOQ720907 GYM720905:GYM720907 HII720905:HII720907 HSE720905:HSE720907 ICA720905:ICA720907 ILW720905:ILW720907 IVS720905:IVS720907 JFO720905:JFO720907 JPK720905:JPK720907 JZG720905:JZG720907 KJC720905:KJC720907 KSY720905:KSY720907 LCU720905:LCU720907 LMQ720905:LMQ720907 LWM720905:LWM720907 MGI720905:MGI720907 MQE720905:MQE720907 NAA720905:NAA720907 NJW720905:NJW720907 NTS720905:NTS720907 ODO720905:ODO720907 ONK720905:ONK720907 OXG720905:OXG720907 PHC720905:PHC720907 PQY720905:PQY720907 QAU720905:QAU720907 QKQ720905:QKQ720907 QUM720905:QUM720907 REI720905:REI720907 ROE720905:ROE720907 RYA720905:RYA720907 SHW720905:SHW720907 SRS720905:SRS720907 TBO720905:TBO720907 TLK720905:TLK720907 TVG720905:TVG720907 UFC720905:UFC720907 UOY720905:UOY720907 UYU720905:UYU720907 VIQ720905:VIQ720907 VSM720905:VSM720907 WCI720905:WCI720907 WME720905:WME720907 WWA720905:WWA720907 S786441:S786443 JO786441:JO786443 TK786441:TK786443 ADG786441:ADG786443 ANC786441:ANC786443 AWY786441:AWY786443 BGU786441:BGU786443 BQQ786441:BQQ786443 CAM786441:CAM786443 CKI786441:CKI786443 CUE786441:CUE786443 DEA786441:DEA786443 DNW786441:DNW786443 DXS786441:DXS786443 EHO786441:EHO786443 ERK786441:ERK786443 FBG786441:FBG786443 FLC786441:FLC786443 FUY786441:FUY786443 GEU786441:GEU786443 GOQ786441:GOQ786443 GYM786441:GYM786443 HII786441:HII786443 HSE786441:HSE786443 ICA786441:ICA786443 ILW786441:ILW786443 IVS786441:IVS786443 JFO786441:JFO786443 JPK786441:JPK786443 JZG786441:JZG786443 KJC786441:KJC786443 KSY786441:KSY786443 LCU786441:LCU786443 LMQ786441:LMQ786443 LWM786441:LWM786443 MGI786441:MGI786443 MQE786441:MQE786443 NAA786441:NAA786443 NJW786441:NJW786443 NTS786441:NTS786443 ODO786441:ODO786443 ONK786441:ONK786443 OXG786441:OXG786443 PHC786441:PHC786443 PQY786441:PQY786443 QAU786441:QAU786443 QKQ786441:QKQ786443 QUM786441:QUM786443 REI786441:REI786443 ROE786441:ROE786443 RYA786441:RYA786443 SHW786441:SHW786443 SRS786441:SRS786443 TBO786441:TBO786443 TLK786441:TLK786443 TVG786441:TVG786443 UFC786441:UFC786443 UOY786441:UOY786443 UYU786441:UYU786443 VIQ786441:VIQ786443 VSM786441:VSM786443 WCI786441:WCI786443 WME786441:WME786443 WWA786441:WWA786443 S851977:S851979 JO851977:JO851979 TK851977:TK851979 ADG851977:ADG851979 ANC851977:ANC851979 AWY851977:AWY851979 BGU851977:BGU851979 BQQ851977:BQQ851979 CAM851977:CAM851979 CKI851977:CKI851979 CUE851977:CUE851979 DEA851977:DEA851979 DNW851977:DNW851979 DXS851977:DXS851979 EHO851977:EHO851979 ERK851977:ERK851979 FBG851977:FBG851979 FLC851977:FLC851979 FUY851977:FUY851979 GEU851977:GEU851979 GOQ851977:GOQ851979 GYM851977:GYM851979 HII851977:HII851979 HSE851977:HSE851979 ICA851977:ICA851979 ILW851977:ILW851979 IVS851977:IVS851979 JFO851977:JFO851979 JPK851977:JPK851979 JZG851977:JZG851979 KJC851977:KJC851979 KSY851977:KSY851979 LCU851977:LCU851979 LMQ851977:LMQ851979 LWM851977:LWM851979 MGI851977:MGI851979 MQE851977:MQE851979 NAA851977:NAA851979 NJW851977:NJW851979 NTS851977:NTS851979 ODO851977:ODO851979 ONK851977:ONK851979 OXG851977:OXG851979 PHC851977:PHC851979 PQY851977:PQY851979 QAU851977:QAU851979 QKQ851977:QKQ851979 QUM851977:QUM851979 REI851977:REI851979 ROE851977:ROE851979 RYA851977:RYA851979 SHW851977:SHW851979 SRS851977:SRS851979 TBO851977:TBO851979 TLK851977:TLK851979 TVG851977:TVG851979 UFC851977:UFC851979 UOY851977:UOY851979 UYU851977:UYU851979 VIQ851977:VIQ851979 VSM851977:VSM851979 WCI851977:WCI851979 WME851977:WME851979 WWA851977:WWA851979 S917513:S917515 JO917513:JO917515 TK917513:TK917515 ADG917513:ADG917515 ANC917513:ANC917515 AWY917513:AWY917515 BGU917513:BGU917515 BQQ917513:BQQ917515 CAM917513:CAM917515 CKI917513:CKI917515 CUE917513:CUE917515 DEA917513:DEA917515 DNW917513:DNW917515 DXS917513:DXS917515 EHO917513:EHO917515 ERK917513:ERK917515 FBG917513:FBG917515 FLC917513:FLC917515 FUY917513:FUY917515 GEU917513:GEU917515 GOQ917513:GOQ917515 GYM917513:GYM917515 HII917513:HII917515 HSE917513:HSE917515 ICA917513:ICA917515 ILW917513:ILW917515 IVS917513:IVS917515 JFO917513:JFO917515 JPK917513:JPK917515 JZG917513:JZG917515 KJC917513:KJC917515 KSY917513:KSY917515 LCU917513:LCU917515 LMQ917513:LMQ917515 LWM917513:LWM917515 MGI917513:MGI917515 MQE917513:MQE917515 NAA917513:NAA917515 NJW917513:NJW917515 NTS917513:NTS917515 ODO917513:ODO917515 ONK917513:ONK917515 OXG917513:OXG917515 PHC917513:PHC917515 PQY917513:PQY917515 QAU917513:QAU917515 QKQ917513:QKQ917515 QUM917513:QUM917515 REI917513:REI917515 ROE917513:ROE917515 RYA917513:RYA917515 SHW917513:SHW917515 SRS917513:SRS917515 TBO917513:TBO917515 TLK917513:TLK917515 TVG917513:TVG917515 UFC917513:UFC917515 UOY917513:UOY917515 UYU917513:UYU917515 VIQ917513:VIQ917515 VSM917513:VSM917515 WCI917513:WCI917515 WME917513:WME917515 WWA917513:WWA917515 S983049:S983051 JO983049:JO983051 TK983049:TK983051 ADG983049:ADG983051 ANC983049:ANC983051 AWY983049:AWY983051 BGU983049:BGU983051 BQQ983049:BQQ983051 CAM983049:CAM983051 CKI983049:CKI983051 CUE983049:CUE983051 DEA983049:DEA983051 DNW983049:DNW983051 DXS983049:DXS983051 EHO983049:EHO983051 ERK983049:ERK983051 FBG983049:FBG983051 FLC983049:FLC983051 FUY983049:FUY983051 GEU983049:GEU983051 GOQ983049:GOQ983051 GYM983049:GYM983051 HII983049:HII983051 HSE983049:HSE983051 ICA983049:ICA983051 ILW983049:ILW983051 IVS983049:IVS983051 JFO983049:JFO983051 JPK983049:JPK983051 JZG983049:JZG983051 KJC983049:KJC983051 KSY983049:KSY983051 LCU983049:LCU983051 LMQ983049:LMQ983051 LWM983049:LWM983051 MGI983049:MGI983051 MQE983049:MQE983051 NAA983049:NAA983051 NJW983049:NJW983051 NTS983049:NTS983051 ODO983049:ODO983051 ONK983049:ONK983051 OXG983049:OXG983051 PHC983049:PHC983051 PQY983049:PQY983051 QAU983049:QAU983051 QKQ983049:QKQ983051 QUM983049:QUM983051 REI983049:REI983051 ROE983049:ROE983051 RYA983049:RYA983051 SHW983049:SHW983051 SRS983049:SRS983051 TBO983049:TBO983051 TLK983049:TLK983051 TVG983049:TVG983051 UFC983049:UFC983051 UOY983049:UOY983051 UYU983049:UYU983051 VIQ983049:VIQ983051 VSM983049:VSM983051 WCI983049:WCI983051 WME983049:WME983051 WWA983049:WWA983051">
      <formula1>$S$12:$S$46</formula1>
    </dataValidation>
    <dataValidation type="list" allowBlank="1" showInputMessage="1" showErrorMessage="1" sqref="X9:X11 JT9:JT11 TP9:TP11 ADL9:ADL11 ANH9:ANH11 AXD9:AXD11 BGZ9:BGZ11 BQV9:BQV11 CAR9:CAR11 CKN9:CKN11 CUJ9:CUJ11 DEF9:DEF11 DOB9:DOB11 DXX9:DXX11 EHT9:EHT11 ERP9:ERP11 FBL9:FBL11 FLH9:FLH11 FVD9:FVD11 GEZ9:GEZ11 GOV9:GOV11 GYR9:GYR11 HIN9:HIN11 HSJ9:HSJ11 ICF9:ICF11 IMB9:IMB11 IVX9:IVX11 JFT9:JFT11 JPP9:JPP11 JZL9:JZL11 KJH9:KJH11 KTD9:KTD11 LCZ9:LCZ11 LMV9:LMV11 LWR9:LWR11 MGN9:MGN11 MQJ9:MQJ11 NAF9:NAF11 NKB9:NKB11 NTX9:NTX11 ODT9:ODT11 ONP9:ONP11 OXL9:OXL11 PHH9:PHH11 PRD9:PRD11 QAZ9:QAZ11 QKV9:QKV11 QUR9:QUR11 REN9:REN11 ROJ9:ROJ11 RYF9:RYF11 SIB9:SIB11 SRX9:SRX11 TBT9:TBT11 TLP9:TLP11 TVL9:TVL11 UFH9:UFH11 UPD9:UPD11 UYZ9:UYZ11 VIV9:VIV11 VSR9:VSR11 WCN9:WCN11 WMJ9:WMJ11 WWF9:WWF11 X65545:X65547 JT65545:JT65547 TP65545:TP65547 ADL65545:ADL65547 ANH65545:ANH65547 AXD65545:AXD65547 BGZ65545:BGZ65547 BQV65545:BQV65547 CAR65545:CAR65547 CKN65545:CKN65547 CUJ65545:CUJ65547 DEF65545:DEF65547 DOB65545:DOB65547 DXX65545:DXX65547 EHT65545:EHT65547 ERP65545:ERP65547 FBL65545:FBL65547 FLH65545:FLH65547 FVD65545:FVD65547 GEZ65545:GEZ65547 GOV65545:GOV65547 GYR65545:GYR65547 HIN65545:HIN65547 HSJ65545:HSJ65547 ICF65545:ICF65547 IMB65545:IMB65547 IVX65545:IVX65547 JFT65545:JFT65547 JPP65545:JPP65547 JZL65545:JZL65547 KJH65545:KJH65547 KTD65545:KTD65547 LCZ65545:LCZ65547 LMV65545:LMV65547 LWR65545:LWR65547 MGN65545:MGN65547 MQJ65545:MQJ65547 NAF65545:NAF65547 NKB65545:NKB65547 NTX65545:NTX65547 ODT65545:ODT65547 ONP65545:ONP65547 OXL65545:OXL65547 PHH65545:PHH65547 PRD65545:PRD65547 QAZ65545:QAZ65547 QKV65545:QKV65547 QUR65545:QUR65547 REN65545:REN65547 ROJ65545:ROJ65547 RYF65545:RYF65547 SIB65545:SIB65547 SRX65545:SRX65547 TBT65545:TBT65547 TLP65545:TLP65547 TVL65545:TVL65547 UFH65545:UFH65547 UPD65545:UPD65547 UYZ65545:UYZ65547 VIV65545:VIV65547 VSR65545:VSR65547 WCN65545:WCN65547 WMJ65545:WMJ65547 WWF65545:WWF65547 X131081:X131083 JT131081:JT131083 TP131081:TP131083 ADL131081:ADL131083 ANH131081:ANH131083 AXD131081:AXD131083 BGZ131081:BGZ131083 BQV131081:BQV131083 CAR131081:CAR131083 CKN131081:CKN131083 CUJ131081:CUJ131083 DEF131081:DEF131083 DOB131081:DOB131083 DXX131081:DXX131083 EHT131081:EHT131083 ERP131081:ERP131083 FBL131081:FBL131083 FLH131081:FLH131083 FVD131081:FVD131083 GEZ131081:GEZ131083 GOV131081:GOV131083 GYR131081:GYR131083 HIN131081:HIN131083 HSJ131081:HSJ131083 ICF131081:ICF131083 IMB131081:IMB131083 IVX131081:IVX131083 JFT131081:JFT131083 JPP131081:JPP131083 JZL131081:JZL131083 KJH131081:KJH131083 KTD131081:KTD131083 LCZ131081:LCZ131083 LMV131081:LMV131083 LWR131081:LWR131083 MGN131081:MGN131083 MQJ131081:MQJ131083 NAF131081:NAF131083 NKB131081:NKB131083 NTX131081:NTX131083 ODT131081:ODT131083 ONP131081:ONP131083 OXL131081:OXL131083 PHH131081:PHH131083 PRD131081:PRD131083 QAZ131081:QAZ131083 QKV131081:QKV131083 QUR131081:QUR131083 REN131081:REN131083 ROJ131081:ROJ131083 RYF131081:RYF131083 SIB131081:SIB131083 SRX131081:SRX131083 TBT131081:TBT131083 TLP131081:TLP131083 TVL131081:TVL131083 UFH131081:UFH131083 UPD131081:UPD131083 UYZ131081:UYZ131083 VIV131081:VIV131083 VSR131081:VSR131083 WCN131081:WCN131083 WMJ131081:WMJ131083 WWF131081:WWF131083 X196617:X196619 JT196617:JT196619 TP196617:TP196619 ADL196617:ADL196619 ANH196617:ANH196619 AXD196617:AXD196619 BGZ196617:BGZ196619 BQV196617:BQV196619 CAR196617:CAR196619 CKN196617:CKN196619 CUJ196617:CUJ196619 DEF196617:DEF196619 DOB196617:DOB196619 DXX196617:DXX196619 EHT196617:EHT196619 ERP196617:ERP196619 FBL196617:FBL196619 FLH196617:FLH196619 FVD196617:FVD196619 GEZ196617:GEZ196619 GOV196617:GOV196619 GYR196617:GYR196619 HIN196617:HIN196619 HSJ196617:HSJ196619 ICF196617:ICF196619 IMB196617:IMB196619 IVX196617:IVX196619 JFT196617:JFT196619 JPP196617:JPP196619 JZL196617:JZL196619 KJH196617:KJH196619 KTD196617:KTD196619 LCZ196617:LCZ196619 LMV196617:LMV196619 LWR196617:LWR196619 MGN196617:MGN196619 MQJ196617:MQJ196619 NAF196617:NAF196619 NKB196617:NKB196619 NTX196617:NTX196619 ODT196617:ODT196619 ONP196617:ONP196619 OXL196617:OXL196619 PHH196617:PHH196619 PRD196617:PRD196619 QAZ196617:QAZ196619 QKV196617:QKV196619 QUR196617:QUR196619 REN196617:REN196619 ROJ196617:ROJ196619 RYF196617:RYF196619 SIB196617:SIB196619 SRX196617:SRX196619 TBT196617:TBT196619 TLP196617:TLP196619 TVL196617:TVL196619 UFH196617:UFH196619 UPD196617:UPD196619 UYZ196617:UYZ196619 VIV196617:VIV196619 VSR196617:VSR196619 WCN196617:WCN196619 WMJ196617:WMJ196619 WWF196617:WWF196619 X262153:X262155 JT262153:JT262155 TP262153:TP262155 ADL262153:ADL262155 ANH262153:ANH262155 AXD262153:AXD262155 BGZ262153:BGZ262155 BQV262153:BQV262155 CAR262153:CAR262155 CKN262153:CKN262155 CUJ262153:CUJ262155 DEF262153:DEF262155 DOB262153:DOB262155 DXX262153:DXX262155 EHT262153:EHT262155 ERP262153:ERP262155 FBL262153:FBL262155 FLH262153:FLH262155 FVD262153:FVD262155 GEZ262153:GEZ262155 GOV262153:GOV262155 GYR262153:GYR262155 HIN262153:HIN262155 HSJ262153:HSJ262155 ICF262153:ICF262155 IMB262153:IMB262155 IVX262153:IVX262155 JFT262153:JFT262155 JPP262153:JPP262155 JZL262153:JZL262155 KJH262153:KJH262155 KTD262153:KTD262155 LCZ262153:LCZ262155 LMV262153:LMV262155 LWR262153:LWR262155 MGN262153:MGN262155 MQJ262153:MQJ262155 NAF262153:NAF262155 NKB262153:NKB262155 NTX262153:NTX262155 ODT262153:ODT262155 ONP262153:ONP262155 OXL262153:OXL262155 PHH262153:PHH262155 PRD262153:PRD262155 QAZ262153:QAZ262155 QKV262153:QKV262155 QUR262153:QUR262155 REN262153:REN262155 ROJ262153:ROJ262155 RYF262153:RYF262155 SIB262153:SIB262155 SRX262153:SRX262155 TBT262153:TBT262155 TLP262153:TLP262155 TVL262153:TVL262155 UFH262153:UFH262155 UPD262153:UPD262155 UYZ262153:UYZ262155 VIV262153:VIV262155 VSR262153:VSR262155 WCN262153:WCN262155 WMJ262153:WMJ262155 WWF262153:WWF262155 X327689:X327691 JT327689:JT327691 TP327689:TP327691 ADL327689:ADL327691 ANH327689:ANH327691 AXD327689:AXD327691 BGZ327689:BGZ327691 BQV327689:BQV327691 CAR327689:CAR327691 CKN327689:CKN327691 CUJ327689:CUJ327691 DEF327689:DEF327691 DOB327689:DOB327691 DXX327689:DXX327691 EHT327689:EHT327691 ERP327689:ERP327691 FBL327689:FBL327691 FLH327689:FLH327691 FVD327689:FVD327691 GEZ327689:GEZ327691 GOV327689:GOV327691 GYR327689:GYR327691 HIN327689:HIN327691 HSJ327689:HSJ327691 ICF327689:ICF327691 IMB327689:IMB327691 IVX327689:IVX327691 JFT327689:JFT327691 JPP327689:JPP327691 JZL327689:JZL327691 KJH327689:KJH327691 KTD327689:KTD327691 LCZ327689:LCZ327691 LMV327689:LMV327691 LWR327689:LWR327691 MGN327689:MGN327691 MQJ327689:MQJ327691 NAF327689:NAF327691 NKB327689:NKB327691 NTX327689:NTX327691 ODT327689:ODT327691 ONP327689:ONP327691 OXL327689:OXL327691 PHH327689:PHH327691 PRD327689:PRD327691 QAZ327689:QAZ327691 QKV327689:QKV327691 QUR327689:QUR327691 REN327689:REN327691 ROJ327689:ROJ327691 RYF327689:RYF327691 SIB327689:SIB327691 SRX327689:SRX327691 TBT327689:TBT327691 TLP327689:TLP327691 TVL327689:TVL327691 UFH327689:UFH327691 UPD327689:UPD327691 UYZ327689:UYZ327691 VIV327689:VIV327691 VSR327689:VSR327691 WCN327689:WCN327691 WMJ327689:WMJ327691 WWF327689:WWF327691 X393225:X393227 JT393225:JT393227 TP393225:TP393227 ADL393225:ADL393227 ANH393225:ANH393227 AXD393225:AXD393227 BGZ393225:BGZ393227 BQV393225:BQV393227 CAR393225:CAR393227 CKN393225:CKN393227 CUJ393225:CUJ393227 DEF393225:DEF393227 DOB393225:DOB393227 DXX393225:DXX393227 EHT393225:EHT393227 ERP393225:ERP393227 FBL393225:FBL393227 FLH393225:FLH393227 FVD393225:FVD393227 GEZ393225:GEZ393227 GOV393225:GOV393227 GYR393225:GYR393227 HIN393225:HIN393227 HSJ393225:HSJ393227 ICF393225:ICF393227 IMB393225:IMB393227 IVX393225:IVX393227 JFT393225:JFT393227 JPP393225:JPP393227 JZL393225:JZL393227 KJH393225:KJH393227 KTD393225:KTD393227 LCZ393225:LCZ393227 LMV393225:LMV393227 LWR393225:LWR393227 MGN393225:MGN393227 MQJ393225:MQJ393227 NAF393225:NAF393227 NKB393225:NKB393227 NTX393225:NTX393227 ODT393225:ODT393227 ONP393225:ONP393227 OXL393225:OXL393227 PHH393225:PHH393227 PRD393225:PRD393227 QAZ393225:QAZ393227 QKV393225:QKV393227 QUR393225:QUR393227 REN393225:REN393227 ROJ393225:ROJ393227 RYF393225:RYF393227 SIB393225:SIB393227 SRX393225:SRX393227 TBT393225:TBT393227 TLP393225:TLP393227 TVL393225:TVL393227 UFH393225:UFH393227 UPD393225:UPD393227 UYZ393225:UYZ393227 VIV393225:VIV393227 VSR393225:VSR393227 WCN393225:WCN393227 WMJ393225:WMJ393227 WWF393225:WWF393227 X458761:X458763 JT458761:JT458763 TP458761:TP458763 ADL458761:ADL458763 ANH458761:ANH458763 AXD458761:AXD458763 BGZ458761:BGZ458763 BQV458761:BQV458763 CAR458761:CAR458763 CKN458761:CKN458763 CUJ458761:CUJ458763 DEF458761:DEF458763 DOB458761:DOB458763 DXX458761:DXX458763 EHT458761:EHT458763 ERP458761:ERP458763 FBL458761:FBL458763 FLH458761:FLH458763 FVD458761:FVD458763 GEZ458761:GEZ458763 GOV458761:GOV458763 GYR458761:GYR458763 HIN458761:HIN458763 HSJ458761:HSJ458763 ICF458761:ICF458763 IMB458761:IMB458763 IVX458761:IVX458763 JFT458761:JFT458763 JPP458761:JPP458763 JZL458761:JZL458763 KJH458761:KJH458763 KTD458761:KTD458763 LCZ458761:LCZ458763 LMV458761:LMV458763 LWR458761:LWR458763 MGN458761:MGN458763 MQJ458761:MQJ458763 NAF458761:NAF458763 NKB458761:NKB458763 NTX458761:NTX458763 ODT458761:ODT458763 ONP458761:ONP458763 OXL458761:OXL458763 PHH458761:PHH458763 PRD458761:PRD458763 QAZ458761:QAZ458763 QKV458761:QKV458763 QUR458761:QUR458763 REN458761:REN458763 ROJ458761:ROJ458763 RYF458761:RYF458763 SIB458761:SIB458763 SRX458761:SRX458763 TBT458761:TBT458763 TLP458761:TLP458763 TVL458761:TVL458763 UFH458761:UFH458763 UPD458761:UPD458763 UYZ458761:UYZ458763 VIV458761:VIV458763 VSR458761:VSR458763 WCN458761:WCN458763 WMJ458761:WMJ458763 WWF458761:WWF458763 X524297:X524299 JT524297:JT524299 TP524297:TP524299 ADL524297:ADL524299 ANH524297:ANH524299 AXD524297:AXD524299 BGZ524297:BGZ524299 BQV524297:BQV524299 CAR524297:CAR524299 CKN524297:CKN524299 CUJ524297:CUJ524299 DEF524297:DEF524299 DOB524297:DOB524299 DXX524297:DXX524299 EHT524297:EHT524299 ERP524297:ERP524299 FBL524297:FBL524299 FLH524297:FLH524299 FVD524297:FVD524299 GEZ524297:GEZ524299 GOV524297:GOV524299 GYR524297:GYR524299 HIN524297:HIN524299 HSJ524297:HSJ524299 ICF524297:ICF524299 IMB524297:IMB524299 IVX524297:IVX524299 JFT524297:JFT524299 JPP524297:JPP524299 JZL524297:JZL524299 KJH524297:KJH524299 KTD524297:KTD524299 LCZ524297:LCZ524299 LMV524297:LMV524299 LWR524297:LWR524299 MGN524297:MGN524299 MQJ524297:MQJ524299 NAF524297:NAF524299 NKB524297:NKB524299 NTX524297:NTX524299 ODT524297:ODT524299 ONP524297:ONP524299 OXL524297:OXL524299 PHH524297:PHH524299 PRD524297:PRD524299 QAZ524297:QAZ524299 QKV524297:QKV524299 QUR524297:QUR524299 REN524297:REN524299 ROJ524297:ROJ524299 RYF524297:RYF524299 SIB524297:SIB524299 SRX524297:SRX524299 TBT524297:TBT524299 TLP524297:TLP524299 TVL524297:TVL524299 UFH524297:UFH524299 UPD524297:UPD524299 UYZ524297:UYZ524299 VIV524297:VIV524299 VSR524297:VSR524299 WCN524297:WCN524299 WMJ524297:WMJ524299 WWF524297:WWF524299 X589833:X589835 JT589833:JT589835 TP589833:TP589835 ADL589833:ADL589835 ANH589833:ANH589835 AXD589833:AXD589835 BGZ589833:BGZ589835 BQV589833:BQV589835 CAR589833:CAR589835 CKN589833:CKN589835 CUJ589833:CUJ589835 DEF589833:DEF589835 DOB589833:DOB589835 DXX589833:DXX589835 EHT589833:EHT589835 ERP589833:ERP589835 FBL589833:FBL589835 FLH589833:FLH589835 FVD589833:FVD589835 GEZ589833:GEZ589835 GOV589833:GOV589835 GYR589833:GYR589835 HIN589833:HIN589835 HSJ589833:HSJ589835 ICF589833:ICF589835 IMB589833:IMB589835 IVX589833:IVX589835 JFT589833:JFT589835 JPP589833:JPP589835 JZL589833:JZL589835 KJH589833:KJH589835 KTD589833:KTD589835 LCZ589833:LCZ589835 LMV589833:LMV589835 LWR589833:LWR589835 MGN589833:MGN589835 MQJ589833:MQJ589835 NAF589833:NAF589835 NKB589833:NKB589835 NTX589833:NTX589835 ODT589833:ODT589835 ONP589833:ONP589835 OXL589833:OXL589835 PHH589833:PHH589835 PRD589833:PRD589835 QAZ589833:QAZ589835 QKV589833:QKV589835 QUR589833:QUR589835 REN589833:REN589835 ROJ589833:ROJ589835 RYF589833:RYF589835 SIB589833:SIB589835 SRX589833:SRX589835 TBT589833:TBT589835 TLP589833:TLP589835 TVL589833:TVL589835 UFH589833:UFH589835 UPD589833:UPD589835 UYZ589833:UYZ589835 VIV589833:VIV589835 VSR589833:VSR589835 WCN589833:WCN589835 WMJ589833:WMJ589835 WWF589833:WWF589835 X655369:X655371 JT655369:JT655371 TP655369:TP655371 ADL655369:ADL655371 ANH655369:ANH655371 AXD655369:AXD655371 BGZ655369:BGZ655371 BQV655369:BQV655371 CAR655369:CAR655371 CKN655369:CKN655371 CUJ655369:CUJ655371 DEF655369:DEF655371 DOB655369:DOB655371 DXX655369:DXX655371 EHT655369:EHT655371 ERP655369:ERP655371 FBL655369:FBL655371 FLH655369:FLH655371 FVD655369:FVD655371 GEZ655369:GEZ655371 GOV655369:GOV655371 GYR655369:GYR655371 HIN655369:HIN655371 HSJ655369:HSJ655371 ICF655369:ICF655371 IMB655369:IMB655371 IVX655369:IVX655371 JFT655369:JFT655371 JPP655369:JPP655371 JZL655369:JZL655371 KJH655369:KJH655371 KTD655369:KTD655371 LCZ655369:LCZ655371 LMV655369:LMV655371 LWR655369:LWR655371 MGN655369:MGN655371 MQJ655369:MQJ655371 NAF655369:NAF655371 NKB655369:NKB655371 NTX655369:NTX655371 ODT655369:ODT655371 ONP655369:ONP655371 OXL655369:OXL655371 PHH655369:PHH655371 PRD655369:PRD655371 QAZ655369:QAZ655371 QKV655369:QKV655371 QUR655369:QUR655371 REN655369:REN655371 ROJ655369:ROJ655371 RYF655369:RYF655371 SIB655369:SIB655371 SRX655369:SRX655371 TBT655369:TBT655371 TLP655369:TLP655371 TVL655369:TVL655371 UFH655369:UFH655371 UPD655369:UPD655371 UYZ655369:UYZ655371 VIV655369:VIV655371 VSR655369:VSR655371 WCN655369:WCN655371 WMJ655369:WMJ655371 WWF655369:WWF655371 X720905:X720907 JT720905:JT720907 TP720905:TP720907 ADL720905:ADL720907 ANH720905:ANH720907 AXD720905:AXD720907 BGZ720905:BGZ720907 BQV720905:BQV720907 CAR720905:CAR720907 CKN720905:CKN720907 CUJ720905:CUJ720907 DEF720905:DEF720907 DOB720905:DOB720907 DXX720905:DXX720907 EHT720905:EHT720907 ERP720905:ERP720907 FBL720905:FBL720907 FLH720905:FLH720907 FVD720905:FVD720907 GEZ720905:GEZ720907 GOV720905:GOV720907 GYR720905:GYR720907 HIN720905:HIN720907 HSJ720905:HSJ720907 ICF720905:ICF720907 IMB720905:IMB720907 IVX720905:IVX720907 JFT720905:JFT720907 JPP720905:JPP720907 JZL720905:JZL720907 KJH720905:KJH720907 KTD720905:KTD720907 LCZ720905:LCZ720907 LMV720905:LMV720907 LWR720905:LWR720907 MGN720905:MGN720907 MQJ720905:MQJ720907 NAF720905:NAF720907 NKB720905:NKB720907 NTX720905:NTX720907 ODT720905:ODT720907 ONP720905:ONP720907 OXL720905:OXL720907 PHH720905:PHH720907 PRD720905:PRD720907 QAZ720905:QAZ720907 QKV720905:QKV720907 QUR720905:QUR720907 REN720905:REN720907 ROJ720905:ROJ720907 RYF720905:RYF720907 SIB720905:SIB720907 SRX720905:SRX720907 TBT720905:TBT720907 TLP720905:TLP720907 TVL720905:TVL720907 UFH720905:UFH720907 UPD720905:UPD720907 UYZ720905:UYZ720907 VIV720905:VIV720907 VSR720905:VSR720907 WCN720905:WCN720907 WMJ720905:WMJ720907 WWF720905:WWF720907 X786441:X786443 JT786441:JT786443 TP786441:TP786443 ADL786441:ADL786443 ANH786441:ANH786443 AXD786441:AXD786443 BGZ786441:BGZ786443 BQV786441:BQV786443 CAR786441:CAR786443 CKN786441:CKN786443 CUJ786441:CUJ786443 DEF786441:DEF786443 DOB786441:DOB786443 DXX786441:DXX786443 EHT786441:EHT786443 ERP786441:ERP786443 FBL786441:FBL786443 FLH786441:FLH786443 FVD786441:FVD786443 GEZ786441:GEZ786443 GOV786441:GOV786443 GYR786441:GYR786443 HIN786441:HIN786443 HSJ786441:HSJ786443 ICF786441:ICF786443 IMB786441:IMB786443 IVX786441:IVX786443 JFT786441:JFT786443 JPP786441:JPP786443 JZL786441:JZL786443 KJH786441:KJH786443 KTD786441:KTD786443 LCZ786441:LCZ786443 LMV786441:LMV786443 LWR786441:LWR786443 MGN786441:MGN786443 MQJ786441:MQJ786443 NAF786441:NAF786443 NKB786441:NKB786443 NTX786441:NTX786443 ODT786441:ODT786443 ONP786441:ONP786443 OXL786441:OXL786443 PHH786441:PHH786443 PRD786441:PRD786443 QAZ786441:QAZ786443 QKV786441:QKV786443 QUR786441:QUR786443 REN786441:REN786443 ROJ786441:ROJ786443 RYF786441:RYF786443 SIB786441:SIB786443 SRX786441:SRX786443 TBT786441:TBT786443 TLP786441:TLP786443 TVL786441:TVL786443 UFH786441:UFH786443 UPD786441:UPD786443 UYZ786441:UYZ786443 VIV786441:VIV786443 VSR786441:VSR786443 WCN786441:WCN786443 WMJ786441:WMJ786443 WWF786441:WWF786443 X851977:X851979 JT851977:JT851979 TP851977:TP851979 ADL851977:ADL851979 ANH851977:ANH851979 AXD851977:AXD851979 BGZ851977:BGZ851979 BQV851977:BQV851979 CAR851977:CAR851979 CKN851977:CKN851979 CUJ851977:CUJ851979 DEF851977:DEF851979 DOB851977:DOB851979 DXX851977:DXX851979 EHT851977:EHT851979 ERP851977:ERP851979 FBL851977:FBL851979 FLH851977:FLH851979 FVD851977:FVD851979 GEZ851977:GEZ851979 GOV851977:GOV851979 GYR851977:GYR851979 HIN851977:HIN851979 HSJ851977:HSJ851979 ICF851977:ICF851979 IMB851977:IMB851979 IVX851977:IVX851979 JFT851977:JFT851979 JPP851977:JPP851979 JZL851977:JZL851979 KJH851977:KJH851979 KTD851977:KTD851979 LCZ851977:LCZ851979 LMV851977:LMV851979 LWR851977:LWR851979 MGN851977:MGN851979 MQJ851977:MQJ851979 NAF851977:NAF851979 NKB851977:NKB851979 NTX851977:NTX851979 ODT851977:ODT851979 ONP851977:ONP851979 OXL851977:OXL851979 PHH851977:PHH851979 PRD851977:PRD851979 QAZ851977:QAZ851979 QKV851977:QKV851979 QUR851977:QUR851979 REN851977:REN851979 ROJ851977:ROJ851979 RYF851977:RYF851979 SIB851977:SIB851979 SRX851977:SRX851979 TBT851977:TBT851979 TLP851977:TLP851979 TVL851977:TVL851979 UFH851977:UFH851979 UPD851977:UPD851979 UYZ851977:UYZ851979 VIV851977:VIV851979 VSR851977:VSR851979 WCN851977:WCN851979 WMJ851977:WMJ851979 WWF851977:WWF851979 X917513:X917515 JT917513:JT917515 TP917513:TP917515 ADL917513:ADL917515 ANH917513:ANH917515 AXD917513:AXD917515 BGZ917513:BGZ917515 BQV917513:BQV917515 CAR917513:CAR917515 CKN917513:CKN917515 CUJ917513:CUJ917515 DEF917513:DEF917515 DOB917513:DOB917515 DXX917513:DXX917515 EHT917513:EHT917515 ERP917513:ERP917515 FBL917513:FBL917515 FLH917513:FLH917515 FVD917513:FVD917515 GEZ917513:GEZ917515 GOV917513:GOV917515 GYR917513:GYR917515 HIN917513:HIN917515 HSJ917513:HSJ917515 ICF917513:ICF917515 IMB917513:IMB917515 IVX917513:IVX917515 JFT917513:JFT917515 JPP917513:JPP917515 JZL917513:JZL917515 KJH917513:KJH917515 KTD917513:KTD917515 LCZ917513:LCZ917515 LMV917513:LMV917515 LWR917513:LWR917515 MGN917513:MGN917515 MQJ917513:MQJ917515 NAF917513:NAF917515 NKB917513:NKB917515 NTX917513:NTX917515 ODT917513:ODT917515 ONP917513:ONP917515 OXL917513:OXL917515 PHH917513:PHH917515 PRD917513:PRD917515 QAZ917513:QAZ917515 QKV917513:QKV917515 QUR917513:QUR917515 REN917513:REN917515 ROJ917513:ROJ917515 RYF917513:RYF917515 SIB917513:SIB917515 SRX917513:SRX917515 TBT917513:TBT917515 TLP917513:TLP917515 TVL917513:TVL917515 UFH917513:UFH917515 UPD917513:UPD917515 UYZ917513:UYZ917515 VIV917513:VIV917515 VSR917513:VSR917515 WCN917513:WCN917515 WMJ917513:WMJ917515 WWF917513:WWF917515 X983049:X983051 JT983049:JT983051 TP983049:TP983051 ADL983049:ADL983051 ANH983049:ANH983051 AXD983049:AXD983051 BGZ983049:BGZ983051 BQV983049:BQV983051 CAR983049:CAR983051 CKN983049:CKN983051 CUJ983049:CUJ983051 DEF983049:DEF983051 DOB983049:DOB983051 DXX983049:DXX983051 EHT983049:EHT983051 ERP983049:ERP983051 FBL983049:FBL983051 FLH983049:FLH983051 FVD983049:FVD983051 GEZ983049:GEZ983051 GOV983049:GOV983051 GYR983049:GYR983051 HIN983049:HIN983051 HSJ983049:HSJ983051 ICF983049:ICF983051 IMB983049:IMB983051 IVX983049:IVX983051 JFT983049:JFT983051 JPP983049:JPP983051 JZL983049:JZL983051 KJH983049:KJH983051 KTD983049:KTD983051 LCZ983049:LCZ983051 LMV983049:LMV983051 LWR983049:LWR983051 MGN983049:MGN983051 MQJ983049:MQJ983051 NAF983049:NAF983051 NKB983049:NKB983051 NTX983049:NTX983051 ODT983049:ODT983051 ONP983049:ONP983051 OXL983049:OXL983051 PHH983049:PHH983051 PRD983049:PRD983051 QAZ983049:QAZ983051 QKV983049:QKV983051 QUR983049:QUR983051 REN983049:REN983051 ROJ983049:ROJ983051 RYF983049:RYF983051 SIB983049:SIB983051 SRX983049:SRX983051 TBT983049:TBT983051 TLP983049:TLP983051 TVL983049:TVL983051 UFH983049:UFH983051 UPD983049:UPD983051 UYZ983049:UYZ983051 VIV983049:VIV983051 VSR983049:VSR983051 WCN983049:WCN983051 WMJ983049:WMJ983051 WWF983049:WWF983051">
      <formula1>$X$12:$X$197</formula1>
    </dataValidation>
    <dataValidation type="list" allowBlank="1" showInputMessage="1" showErrorMessage="1" sqref="H9:H11 JD9:JD11 SZ9:SZ11 ACV9:ACV11 AMR9:AMR11 AWN9:AWN11 BGJ9:BGJ11 BQF9:BQF11 CAB9:CAB11 CJX9:CJX11 CTT9:CTT11 DDP9:DDP11 DNL9:DNL11 DXH9:DXH11 EHD9:EHD11 EQZ9:EQZ11 FAV9:FAV11 FKR9:FKR11 FUN9:FUN11 GEJ9:GEJ11 GOF9:GOF11 GYB9:GYB11 HHX9:HHX11 HRT9:HRT11 IBP9:IBP11 ILL9:ILL11 IVH9:IVH11 JFD9:JFD11 JOZ9:JOZ11 JYV9:JYV11 KIR9:KIR11 KSN9:KSN11 LCJ9:LCJ11 LMF9:LMF11 LWB9:LWB11 MFX9:MFX11 MPT9:MPT11 MZP9:MZP11 NJL9:NJL11 NTH9:NTH11 ODD9:ODD11 OMZ9:OMZ11 OWV9:OWV11 PGR9:PGR11 PQN9:PQN11 QAJ9:QAJ11 QKF9:QKF11 QUB9:QUB11 RDX9:RDX11 RNT9:RNT11 RXP9:RXP11 SHL9:SHL11 SRH9:SRH11 TBD9:TBD11 TKZ9:TKZ11 TUV9:TUV11 UER9:UER11 UON9:UON11 UYJ9:UYJ11 VIF9:VIF11 VSB9:VSB11 WBX9:WBX11 WLT9:WLT11 WVP9:WVP11 H65545:H65547 JD65545:JD65547 SZ65545:SZ65547 ACV65545:ACV65547 AMR65545:AMR65547 AWN65545:AWN65547 BGJ65545:BGJ65547 BQF65545:BQF65547 CAB65545:CAB65547 CJX65545:CJX65547 CTT65545:CTT65547 DDP65545:DDP65547 DNL65545:DNL65547 DXH65545:DXH65547 EHD65545:EHD65547 EQZ65545:EQZ65547 FAV65545:FAV65547 FKR65545:FKR65547 FUN65545:FUN65547 GEJ65545:GEJ65547 GOF65545:GOF65547 GYB65545:GYB65547 HHX65545:HHX65547 HRT65545:HRT65547 IBP65545:IBP65547 ILL65545:ILL65547 IVH65545:IVH65547 JFD65545:JFD65547 JOZ65545:JOZ65547 JYV65545:JYV65547 KIR65545:KIR65547 KSN65545:KSN65547 LCJ65545:LCJ65547 LMF65545:LMF65547 LWB65545:LWB65547 MFX65545:MFX65547 MPT65545:MPT65547 MZP65545:MZP65547 NJL65545:NJL65547 NTH65545:NTH65547 ODD65545:ODD65547 OMZ65545:OMZ65547 OWV65545:OWV65547 PGR65545:PGR65547 PQN65545:PQN65547 QAJ65545:QAJ65547 QKF65545:QKF65547 QUB65545:QUB65547 RDX65545:RDX65547 RNT65545:RNT65547 RXP65545:RXP65547 SHL65545:SHL65547 SRH65545:SRH65547 TBD65545:TBD65547 TKZ65545:TKZ65547 TUV65545:TUV65547 UER65545:UER65547 UON65545:UON65547 UYJ65545:UYJ65547 VIF65545:VIF65547 VSB65545:VSB65547 WBX65545:WBX65547 WLT65545:WLT65547 WVP65545:WVP65547 H131081:H131083 JD131081:JD131083 SZ131081:SZ131083 ACV131081:ACV131083 AMR131081:AMR131083 AWN131081:AWN131083 BGJ131081:BGJ131083 BQF131081:BQF131083 CAB131081:CAB131083 CJX131081:CJX131083 CTT131081:CTT131083 DDP131081:DDP131083 DNL131081:DNL131083 DXH131081:DXH131083 EHD131081:EHD131083 EQZ131081:EQZ131083 FAV131081:FAV131083 FKR131081:FKR131083 FUN131081:FUN131083 GEJ131081:GEJ131083 GOF131081:GOF131083 GYB131081:GYB131083 HHX131081:HHX131083 HRT131081:HRT131083 IBP131081:IBP131083 ILL131081:ILL131083 IVH131081:IVH131083 JFD131081:JFD131083 JOZ131081:JOZ131083 JYV131081:JYV131083 KIR131081:KIR131083 KSN131081:KSN131083 LCJ131081:LCJ131083 LMF131081:LMF131083 LWB131081:LWB131083 MFX131081:MFX131083 MPT131081:MPT131083 MZP131081:MZP131083 NJL131081:NJL131083 NTH131081:NTH131083 ODD131081:ODD131083 OMZ131081:OMZ131083 OWV131081:OWV131083 PGR131081:PGR131083 PQN131081:PQN131083 QAJ131081:QAJ131083 QKF131081:QKF131083 QUB131081:QUB131083 RDX131081:RDX131083 RNT131081:RNT131083 RXP131081:RXP131083 SHL131081:SHL131083 SRH131081:SRH131083 TBD131081:TBD131083 TKZ131081:TKZ131083 TUV131081:TUV131083 UER131081:UER131083 UON131081:UON131083 UYJ131081:UYJ131083 VIF131081:VIF131083 VSB131081:VSB131083 WBX131081:WBX131083 WLT131081:WLT131083 WVP131081:WVP131083 H196617:H196619 JD196617:JD196619 SZ196617:SZ196619 ACV196617:ACV196619 AMR196617:AMR196619 AWN196617:AWN196619 BGJ196617:BGJ196619 BQF196617:BQF196619 CAB196617:CAB196619 CJX196617:CJX196619 CTT196617:CTT196619 DDP196617:DDP196619 DNL196617:DNL196619 DXH196617:DXH196619 EHD196617:EHD196619 EQZ196617:EQZ196619 FAV196617:FAV196619 FKR196617:FKR196619 FUN196617:FUN196619 GEJ196617:GEJ196619 GOF196617:GOF196619 GYB196617:GYB196619 HHX196617:HHX196619 HRT196617:HRT196619 IBP196617:IBP196619 ILL196617:ILL196619 IVH196617:IVH196619 JFD196617:JFD196619 JOZ196617:JOZ196619 JYV196617:JYV196619 KIR196617:KIR196619 KSN196617:KSN196619 LCJ196617:LCJ196619 LMF196617:LMF196619 LWB196617:LWB196619 MFX196617:MFX196619 MPT196617:MPT196619 MZP196617:MZP196619 NJL196617:NJL196619 NTH196617:NTH196619 ODD196617:ODD196619 OMZ196617:OMZ196619 OWV196617:OWV196619 PGR196617:PGR196619 PQN196617:PQN196619 QAJ196617:QAJ196619 QKF196617:QKF196619 QUB196617:QUB196619 RDX196617:RDX196619 RNT196617:RNT196619 RXP196617:RXP196619 SHL196617:SHL196619 SRH196617:SRH196619 TBD196617:TBD196619 TKZ196617:TKZ196619 TUV196617:TUV196619 UER196617:UER196619 UON196617:UON196619 UYJ196617:UYJ196619 VIF196617:VIF196619 VSB196617:VSB196619 WBX196617:WBX196619 WLT196617:WLT196619 WVP196617:WVP196619 H262153:H262155 JD262153:JD262155 SZ262153:SZ262155 ACV262153:ACV262155 AMR262153:AMR262155 AWN262153:AWN262155 BGJ262153:BGJ262155 BQF262153:BQF262155 CAB262153:CAB262155 CJX262153:CJX262155 CTT262153:CTT262155 DDP262153:DDP262155 DNL262153:DNL262155 DXH262153:DXH262155 EHD262153:EHD262155 EQZ262153:EQZ262155 FAV262153:FAV262155 FKR262153:FKR262155 FUN262153:FUN262155 GEJ262153:GEJ262155 GOF262153:GOF262155 GYB262153:GYB262155 HHX262153:HHX262155 HRT262153:HRT262155 IBP262153:IBP262155 ILL262153:ILL262155 IVH262153:IVH262155 JFD262153:JFD262155 JOZ262153:JOZ262155 JYV262153:JYV262155 KIR262153:KIR262155 KSN262153:KSN262155 LCJ262153:LCJ262155 LMF262153:LMF262155 LWB262153:LWB262155 MFX262153:MFX262155 MPT262153:MPT262155 MZP262153:MZP262155 NJL262153:NJL262155 NTH262153:NTH262155 ODD262153:ODD262155 OMZ262153:OMZ262155 OWV262153:OWV262155 PGR262153:PGR262155 PQN262153:PQN262155 QAJ262153:QAJ262155 QKF262153:QKF262155 QUB262153:QUB262155 RDX262153:RDX262155 RNT262153:RNT262155 RXP262153:RXP262155 SHL262153:SHL262155 SRH262153:SRH262155 TBD262153:TBD262155 TKZ262153:TKZ262155 TUV262153:TUV262155 UER262153:UER262155 UON262153:UON262155 UYJ262153:UYJ262155 VIF262153:VIF262155 VSB262153:VSB262155 WBX262153:WBX262155 WLT262153:WLT262155 WVP262153:WVP262155 H327689:H327691 JD327689:JD327691 SZ327689:SZ327691 ACV327689:ACV327691 AMR327689:AMR327691 AWN327689:AWN327691 BGJ327689:BGJ327691 BQF327689:BQF327691 CAB327689:CAB327691 CJX327689:CJX327691 CTT327689:CTT327691 DDP327689:DDP327691 DNL327689:DNL327691 DXH327689:DXH327691 EHD327689:EHD327691 EQZ327689:EQZ327691 FAV327689:FAV327691 FKR327689:FKR327691 FUN327689:FUN327691 GEJ327689:GEJ327691 GOF327689:GOF327691 GYB327689:GYB327691 HHX327689:HHX327691 HRT327689:HRT327691 IBP327689:IBP327691 ILL327689:ILL327691 IVH327689:IVH327691 JFD327689:JFD327691 JOZ327689:JOZ327691 JYV327689:JYV327691 KIR327689:KIR327691 KSN327689:KSN327691 LCJ327689:LCJ327691 LMF327689:LMF327691 LWB327689:LWB327691 MFX327689:MFX327691 MPT327689:MPT327691 MZP327689:MZP327691 NJL327689:NJL327691 NTH327689:NTH327691 ODD327689:ODD327691 OMZ327689:OMZ327691 OWV327689:OWV327691 PGR327689:PGR327691 PQN327689:PQN327691 QAJ327689:QAJ327691 QKF327689:QKF327691 QUB327689:QUB327691 RDX327689:RDX327691 RNT327689:RNT327691 RXP327689:RXP327691 SHL327689:SHL327691 SRH327689:SRH327691 TBD327689:TBD327691 TKZ327689:TKZ327691 TUV327689:TUV327691 UER327689:UER327691 UON327689:UON327691 UYJ327689:UYJ327691 VIF327689:VIF327691 VSB327689:VSB327691 WBX327689:WBX327691 WLT327689:WLT327691 WVP327689:WVP327691 H393225:H393227 JD393225:JD393227 SZ393225:SZ393227 ACV393225:ACV393227 AMR393225:AMR393227 AWN393225:AWN393227 BGJ393225:BGJ393227 BQF393225:BQF393227 CAB393225:CAB393227 CJX393225:CJX393227 CTT393225:CTT393227 DDP393225:DDP393227 DNL393225:DNL393227 DXH393225:DXH393227 EHD393225:EHD393227 EQZ393225:EQZ393227 FAV393225:FAV393227 FKR393225:FKR393227 FUN393225:FUN393227 GEJ393225:GEJ393227 GOF393225:GOF393227 GYB393225:GYB393227 HHX393225:HHX393227 HRT393225:HRT393227 IBP393225:IBP393227 ILL393225:ILL393227 IVH393225:IVH393227 JFD393225:JFD393227 JOZ393225:JOZ393227 JYV393225:JYV393227 KIR393225:KIR393227 KSN393225:KSN393227 LCJ393225:LCJ393227 LMF393225:LMF393227 LWB393225:LWB393227 MFX393225:MFX393227 MPT393225:MPT393227 MZP393225:MZP393227 NJL393225:NJL393227 NTH393225:NTH393227 ODD393225:ODD393227 OMZ393225:OMZ393227 OWV393225:OWV393227 PGR393225:PGR393227 PQN393225:PQN393227 QAJ393225:QAJ393227 QKF393225:QKF393227 QUB393225:QUB393227 RDX393225:RDX393227 RNT393225:RNT393227 RXP393225:RXP393227 SHL393225:SHL393227 SRH393225:SRH393227 TBD393225:TBD393227 TKZ393225:TKZ393227 TUV393225:TUV393227 UER393225:UER393227 UON393225:UON393227 UYJ393225:UYJ393227 VIF393225:VIF393227 VSB393225:VSB393227 WBX393225:WBX393227 WLT393225:WLT393227 WVP393225:WVP393227 H458761:H458763 JD458761:JD458763 SZ458761:SZ458763 ACV458761:ACV458763 AMR458761:AMR458763 AWN458761:AWN458763 BGJ458761:BGJ458763 BQF458761:BQF458763 CAB458761:CAB458763 CJX458761:CJX458763 CTT458761:CTT458763 DDP458761:DDP458763 DNL458761:DNL458763 DXH458761:DXH458763 EHD458761:EHD458763 EQZ458761:EQZ458763 FAV458761:FAV458763 FKR458761:FKR458763 FUN458761:FUN458763 GEJ458761:GEJ458763 GOF458761:GOF458763 GYB458761:GYB458763 HHX458761:HHX458763 HRT458761:HRT458763 IBP458761:IBP458763 ILL458761:ILL458763 IVH458761:IVH458763 JFD458761:JFD458763 JOZ458761:JOZ458763 JYV458761:JYV458763 KIR458761:KIR458763 KSN458761:KSN458763 LCJ458761:LCJ458763 LMF458761:LMF458763 LWB458761:LWB458763 MFX458761:MFX458763 MPT458761:MPT458763 MZP458761:MZP458763 NJL458761:NJL458763 NTH458761:NTH458763 ODD458761:ODD458763 OMZ458761:OMZ458763 OWV458761:OWV458763 PGR458761:PGR458763 PQN458761:PQN458763 QAJ458761:QAJ458763 QKF458761:QKF458763 QUB458761:QUB458763 RDX458761:RDX458763 RNT458761:RNT458763 RXP458761:RXP458763 SHL458761:SHL458763 SRH458761:SRH458763 TBD458761:TBD458763 TKZ458761:TKZ458763 TUV458761:TUV458763 UER458761:UER458763 UON458761:UON458763 UYJ458761:UYJ458763 VIF458761:VIF458763 VSB458761:VSB458763 WBX458761:WBX458763 WLT458761:WLT458763 WVP458761:WVP458763 H524297:H524299 JD524297:JD524299 SZ524297:SZ524299 ACV524297:ACV524299 AMR524297:AMR524299 AWN524297:AWN524299 BGJ524297:BGJ524299 BQF524297:BQF524299 CAB524297:CAB524299 CJX524297:CJX524299 CTT524297:CTT524299 DDP524297:DDP524299 DNL524297:DNL524299 DXH524297:DXH524299 EHD524297:EHD524299 EQZ524297:EQZ524299 FAV524297:FAV524299 FKR524297:FKR524299 FUN524297:FUN524299 GEJ524297:GEJ524299 GOF524297:GOF524299 GYB524297:GYB524299 HHX524297:HHX524299 HRT524297:HRT524299 IBP524297:IBP524299 ILL524297:ILL524299 IVH524297:IVH524299 JFD524297:JFD524299 JOZ524297:JOZ524299 JYV524297:JYV524299 KIR524297:KIR524299 KSN524297:KSN524299 LCJ524297:LCJ524299 LMF524297:LMF524299 LWB524297:LWB524299 MFX524297:MFX524299 MPT524297:MPT524299 MZP524297:MZP524299 NJL524297:NJL524299 NTH524297:NTH524299 ODD524297:ODD524299 OMZ524297:OMZ524299 OWV524297:OWV524299 PGR524297:PGR524299 PQN524297:PQN524299 QAJ524297:QAJ524299 QKF524297:QKF524299 QUB524297:QUB524299 RDX524297:RDX524299 RNT524297:RNT524299 RXP524297:RXP524299 SHL524297:SHL524299 SRH524297:SRH524299 TBD524297:TBD524299 TKZ524297:TKZ524299 TUV524297:TUV524299 UER524297:UER524299 UON524297:UON524299 UYJ524297:UYJ524299 VIF524297:VIF524299 VSB524297:VSB524299 WBX524297:WBX524299 WLT524297:WLT524299 WVP524297:WVP524299 H589833:H589835 JD589833:JD589835 SZ589833:SZ589835 ACV589833:ACV589835 AMR589833:AMR589835 AWN589833:AWN589835 BGJ589833:BGJ589835 BQF589833:BQF589835 CAB589833:CAB589835 CJX589833:CJX589835 CTT589833:CTT589835 DDP589833:DDP589835 DNL589833:DNL589835 DXH589833:DXH589835 EHD589833:EHD589835 EQZ589833:EQZ589835 FAV589833:FAV589835 FKR589833:FKR589835 FUN589833:FUN589835 GEJ589833:GEJ589835 GOF589833:GOF589835 GYB589833:GYB589835 HHX589833:HHX589835 HRT589833:HRT589835 IBP589833:IBP589835 ILL589833:ILL589835 IVH589833:IVH589835 JFD589833:JFD589835 JOZ589833:JOZ589835 JYV589833:JYV589835 KIR589833:KIR589835 KSN589833:KSN589835 LCJ589833:LCJ589835 LMF589833:LMF589835 LWB589833:LWB589835 MFX589833:MFX589835 MPT589833:MPT589835 MZP589833:MZP589835 NJL589833:NJL589835 NTH589833:NTH589835 ODD589833:ODD589835 OMZ589833:OMZ589835 OWV589833:OWV589835 PGR589833:PGR589835 PQN589833:PQN589835 QAJ589833:QAJ589835 QKF589833:QKF589835 QUB589833:QUB589835 RDX589833:RDX589835 RNT589833:RNT589835 RXP589833:RXP589835 SHL589833:SHL589835 SRH589833:SRH589835 TBD589833:TBD589835 TKZ589833:TKZ589835 TUV589833:TUV589835 UER589833:UER589835 UON589833:UON589835 UYJ589833:UYJ589835 VIF589833:VIF589835 VSB589833:VSB589835 WBX589833:WBX589835 WLT589833:WLT589835 WVP589833:WVP589835 H655369:H655371 JD655369:JD655371 SZ655369:SZ655371 ACV655369:ACV655371 AMR655369:AMR655371 AWN655369:AWN655371 BGJ655369:BGJ655371 BQF655369:BQF655371 CAB655369:CAB655371 CJX655369:CJX655371 CTT655369:CTT655371 DDP655369:DDP655371 DNL655369:DNL655371 DXH655369:DXH655371 EHD655369:EHD655371 EQZ655369:EQZ655371 FAV655369:FAV655371 FKR655369:FKR655371 FUN655369:FUN655371 GEJ655369:GEJ655371 GOF655369:GOF655371 GYB655369:GYB655371 HHX655369:HHX655371 HRT655369:HRT655371 IBP655369:IBP655371 ILL655369:ILL655371 IVH655369:IVH655371 JFD655369:JFD655371 JOZ655369:JOZ655371 JYV655369:JYV655371 KIR655369:KIR655371 KSN655369:KSN655371 LCJ655369:LCJ655371 LMF655369:LMF655371 LWB655369:LWB655371 MFX655369:MFX655371 MPT655369:MPT655371 MZP655369:MZP655371 NJL655369:NJL655371 NTH655369:NTH655371 ODD655369:ODD655371 OMZ655369:OMZ655371 OWV655369:OWV655371 PGR655369:PGR655371 PQN655369:PQN655371 QAJ655369:QAJ655371 QKF655369:QKF655371 QUB655369:QUB655371 RDX655369:RDX655371 RNT655369:RNT655371 RXP655369:RXP655371 SHL655369:SHL655371 SRH655369:SRH655371 TBD655369:TBD655371 TKZ655369:TKZ655371 TUV655369:TUV655371 UER655369:UER655371 UON655369:UON655371 UYJ655369:UYJ655371 VIF655369:VIF655371 VSB655369:VSB655371 WBX655369:WBX655371 WLT655369:WLT655371 WVP655369:WVP655371 H720905:H720907 JD720905:JD720907 SZ720905:SZ720907 ACV720905:ACV720907 AMR720905:AMR720907 AWN720905:AWN720907 BGJ720905:BGJ720907 BQF720905:BQF720907 CAB720905:CAB720907 CJX720905:CJX720907 CTT720905:CTT720907 DDP720905:DDP720907 DNL720905:DNL720907 DXH720905:DXH720907 EHD720905:EHD720907 EQZ720905:EQZ720907 FAV720905:FAV720907 FKR720905:FKR720907 FUN720905:FUN720907 GEJ720905:GEJ720907 GOF720905:GOF720907 GYB720905:GYB720907 HHX720905:HHX720907 HRT720905:HRT720907 IBP720905:IBP720907 ILL720905:ILL720907 IVH720905:IVH720907 JFD720905:JFD720907 JOZ720905:JOZ720907 JYV720905:JYV720907 KIR720905:KIR720907 KSN720905:KSN720907 LCJ720905:LCJ720907 LMF720905:LMF720907 LWB720905:LWB720907 MFX720905:MFX720907 MPT720905:MPT720907 MZP720905:MZP720907 NJL720905:NJL720907 NTH720905:NTH720907 ODD720905:ODD720907 OMZ720905:OMZ720907 OWV720905:OWV720907 PGR720905:PGR720907 PQN720905:PQN720907 QAJ720905:QAJ720907 QKF720905:QKF720907 QUB720905:QUB720907 RDX720905:RDX720907 RNT720905:RNT720907 RXP720905:RXP720907 SHL720905:SHL720907 SRH720905:SRH720907 TBD720905:TBD720907 TKZ720905:TKZ720907 TUV720905:TUV720907 UER720905:UER720907 UON720905:UON720907 UYJ720905:UYJ720907 VIF720905:VIF720907 VSB720905:VSB720907 WBX720905:WBX720907 WLT720905:WLT720907 WVP720905:WVP720907 H786441:H786443 JD786441:JD786443 SZ786441:SZ786443 ACV786441:ACV786443 AMR786441:AMR786443 AWN786441:AWN786443 BGJ786441:BGJ786443 BQF786441:BQF786443 CAB786441:CAB786443 CJX786441:CJX786443 CTT786441:CTT786443 DDP786441:DDP786443 DNL786441:DNL786443 DXH786441:DXH786443 EHD786441:EHD786443 EQZ786441:EQZ786443 FAV786441:FAV786443 FKR786441:FKR786443 FUN786441:FUN786443 GEJ786441:GEJ786443 GOF786441:GOF786443 GYB786441:GYB786443 HHX786441:HHX786443 HRT786441:HRT786443 IBP786441:IBP786443 ILL786441:ILL786443 IVH786441:IVH786443 JFD786441:JFD786443 JOZ786441:JOZ786443 JYV786441:JYV786443 KIR786441:KIR786443 KSN786441:KSN786443 LCJ786441:LCJ786443 LMF786441:LMF786443 LWB786441:LWB786443 MFX786441:MFX786443 MPT786441:MPT786443 MZP786441:MZP786443 NJL786441:NJL786443 NTH786441:NTH786443 ODD786441:ODD786443 OMZ786441:OMZ786443 OWV786441:OWV786443 PGR786441:PGR786443 PQN786441:PQN786443 QAJ786441:QAJ786443 QKF786441:QKF786443 QUB786441:QUB786443 RDX786441:RDX786443 RNT786441:RNT786443 RXP786441:RXP786443 SHL786441:SHL786443 SRH786441:SRH786443 TBD786441:TBD786443 TKZ786441:TKZ786443 TUV786441:TUV786443 UER786441:UER786443 UON786441:UON786443 UYJ786441:UYJ786443 VIF786441:VIF786443 VSB786441:VSB786443 WBX786441:WBX786443 WLT786441:WLT786443 WVP786441:WVP786443 H851977:H851979 JD851977:JD851979 SZ851977:SZ851979 ACV851977:ACV851979 AMR851977:AMR851979 AWN851977:AWN851979 BGJ851977:BGJ851979 BQF851977:BQF851979 CAB851977:CAB851979 CJX851977:CJX851979 CTT851977:CTT851979 DDP851977:DDP851979 DNL851977:DNL851979 DXH851977:DXH851979 EHD851977:EHD851979 EQZ851977:EQZ851979 FAV851977:FAV851979 FKR851977:FKR851979 FUN851977:FUN851979 GEJ851977:GEJ851979 GOF851977:GOF851979 GYB851977:GYB851979 HHX851977:HHX851979 HRT851977:HRT851979 IBP851977:IBP851979 ILL851977:ILL851979 IVH851977:IVH851979 JFD851977:JFD851979 JOZ851977:JOZ851979 JYV851977:JYV851979 KIR851977:KIR851979 KSN851977:KSN851979 LCJ851977:LCJ851979 LMF851977:LMF851979 LWB851977:LWB851979 MFX851977:MFX851979 MPT851977:MPT851979 MZP851977:MZP851979 NJL851977:NJL851979 NTH851977:NTH851979 ODD851977:ODD851979 OMZ851977:OMZ851979 OWV851977:OWV851979 PGR851977:PGR851979 PQN851977:PQN851979 QAJ851977:QAJ851979 QKF851977:QKF851979 QUB851977:QUB851979 RDX851977:RDX851979 RNT851977:RNT851979 RXP851977:RXP851979 SHL851977:SHL851979 SRH851977:SRH851979 TBD851977:TBD851979 TKZ851977:TKZ851979 TUV851977:TUV851979 UER851977:UER851979 UON851977:UON851979 UYJ851977:UYJ851979 VIF851977:VIF851979 VSB851977:VSB851979 WBX851977:WBX851979 WLT851977:WLT851979 WVP851977:WVP851979 H917513:H917515 JD917513:JD917515 SZ917513:SZ917515 ACV917513:ACV917515 AMR917513:AMR917515 AWN917513:AWN917515 BGJ917513:BGJ917515 BQF917513:BQF917515 CAB917513:CAB917515 CJX917513:CJX917515 CTT917513:CTT917515 DDP917513:DDP917515 DNL917513:DNL917515 DXH917513:DXH917515 EHD917513:EHD917515 EQZ917513:EQZ917515 FAV917513:FAV917515 FKR917513:FKR917515 FUN917513:FUN917515 GEJ917513:GEJ917515 GOF917513:GOF917515 GYB917513:GYB917515 HHX917513:HHX917515 HRT917513:HRT917515 IBP917513:IBP917515 ILL917513:ILL917515 IVH917513:IVH917515 JFD917513:JFD917515 JOZ917513:JOZ917515 JYV917513:JYV917515 KIR917513:KIR917515 KSN917513:KSN917515 LCJ917513:LCJ917515 LMF917513:LMF917515 LWB917513:LWB917515 MFX917513:MFX917515 MPT917513:MPT917515 MZP917513:MZP917515 NJL917513:NJL917515 NTH917513:NTH917515 ODD917513:ODD917515 OMZ917513:OMZ917515 OWV917513:OWV917515 PGR917513:PGR917515 PQN917513:PQN917515 QAJ917513:QAJ917515 QKF917513:QKF917515 QUB917513:QUB917515 RDX917513:RDX917515 RNT917513:RNT917515 RXP917513:RXP917515 SHL917513:SHL917515 SRH917513:SRH917515 TBD917513:TBD917515 TKZ917513:TKZ917515 TUV917513:TUV917515 UER917513:UER917515 UON917513:UON917515 UYJ917513:UYJ917515 VIF917513:VIF917515 VSB917513:VSB917515 WBX917513:WBX917515 WLT917513:WLT917515 WVP917513:WVP917515 H983049:H983051 JD983049:JD983051 SZ983049:SZ983051 ACV983049:ACV983051 AMR983049:AMR983051 AWN983049:AWN983051 BGJ983049:BGJ983051 BQF983049:BQF983051 CAB983049:CAB983051 CJX983049:CJX983051 CTT983049:CTT983051 DDP983049:DDP983051 DNL983049:DNL983051 DXH983049:DXH983051 EHD983049:EHD983051 EQZ983049:EQZ983051 FAV983049:FAV983051 FKR983049:FKR983051 FUN983049:FUN983051 GEJ983049:GEJ983051 GOF983049:GOF983051 GYB983049:GYB983051 HHX983049:HHX983051 HRT983049:HRT983051 IBP983049:IBP983051 ILL983049:ILL983051 IVH983049:IVH983051 JFD983049:JFD983051 JOZ983049:JOZ983051 JYV983049:JYV983051 KIR983049:KIR983051 KSN983049:KSN983051 LCJ983049:LCJ983051 LMF983049:LMF983051 LWB983049:LWB983051 MFX983049:MFX983051 MPT983049:MPT983051 MZP983049:MZP983051 NJL983049:NJL983051 NTH983049:NTH983051 ODD983049:ODD983051 OMZ983049:OMZ983051 OWV983049:OWV983051 PGR983049:PGR983051 PQN983049:PQN983051 QAJ983049:QAJ983051 QKF983049:QKF983051 QUB983049:QUB983051 RDX983049:RDX983051 RNT983049:RNT983051 RXP983049:RXP983051 SHL983049:SHL983051 SRH983049:SRH983051 TBD983049:TBD983051 TKZ983049:TKZ983051 TUV983049:TUV983051 UER983049:UER983051 UON983049:UON983051 UYJ983049:UYJ983051 VIF983049:VIF983051 VSB983049:VSB983051 WBX983049:WBX983051 WLT983049:WLT983051 WVP983049:WVP983051">
      <formula1>$H$12:$H$22</formula1>
    </dataValidation>
    <dataValidation type="list" showInputMessage="1" showErrorMessage="1" sqref="S12 JO12 TK12 ADG12 ANC12 AWY12 BGU12 BQQ12 CAM12 CKI12 CUE12 DEA12 DNW12 DXS12 EHO12 ERK12 FBG12 FLC12 FUY12 GEU12 GOQ12 GYM12 HII12 HSE12 ICA12 ILW12 IVS12 JFO12 JPK12 JZG12 KJC12 KSY12 LCU12 LMQ12 LWM12 MGI12 MQE12 NAA12 NJW12 NTS12 ODO12 ONK12 OXG12 PHC12 PQY12 QAU12 QKQ12 QUM12 REI12 ROE12 RYA12 SHW12 SRS12 TBO12 TLK12 TVG12 UFC12 UOY12 UYU12 VIQ12 VSM12 WCI12 WME12 WWA12 S65548 JO65548 TK65548 ADG65548 ANC65548 AWY65548 BGU65548 BQQ65548 CAM65548 CKI65548 CUE65548 DEA65548 DNW65548 DXS65548 EHO65548 ERK65548 FBG65548 FLC65548 FUY65548 GEU65548 GOQ65548 GYM65548 HII65548 HSE65548 ICA65548 ILW65548 IVS65548 JFO65548 JPK65548 JZG65548 KJC65548 KSY65548 LCU65548 LMQ65548 LWM65548 MGI65548 MQE65548 NAA65548 NJW65548 NTS65548 ODO65548 ONK65548 OXG65548 PHC65548 PQY65548 QAU65548 QKQ65548 QUM65548 REI65548 ROE65548 RYA65548 SHW65548 SRS65548 TBO65548 TLK65548 TVG65548 UFC65548 UOY65548 UYU65548 VIQ65548 VSM65548 WCI65548 WME65548 WWA65548 S131084 JO131084 TK131084 ADG131084 ANC131084 AWY131084 BGU131084 BQQ131084 CAM131084 CKI131084 CUE131084 DEA131084 DNW131084 DXS131084 EHO131084 ERK131084 FBG131084 FLC131084 FUY131084 GEU131084 GOQ131084 GYM131084 HII131084 HSE131084 ICA131084 ILW131084 IVS131084 JFO131084 JPK131084 JZG131084 KJC131084 KSY131084 LCU131084 LMQ131084 LWM131084 MGI131084 MQE131084 NAA131084 NJW131084 NTS131084 ODO131084 ONK131084 OXG131084 PHC131084 PQY131084 QAU131084 QKQ131084 QUM131084 REI131084 ROE131084 RYA131084 SHW131084 SRS131084 TBO131084 TLK131084 TVG131084 UFC131084 UOY131084 UYU131084 VIQ131084 VSM131084 WCI131084 WME131084 WWA131084 S196620 JO196620 TK196620 ADG196620 ANC196620 AWY196620 BGU196620 BQQ196620 CAM196620 CKI196620 CUE196620 DEA196620 DNW196620 DXS196620 EHO196620 ERK196620 FBG196620 FLC196620 FUY196620 GEU196620 GOQ196620 GYM196620 HII196620 HSE196620 ICA196620 ILW196620 IVS196620 JFO196620 JPK196620 JZG196620 KJC196620 KSY196620 LCU196620 LMQ196620 LWM196620 MGI196620 MQE196620 NAA196620 NJW196620 NTS196620 ODO196620 ONK196620 OXG196620 PHC196620 PQY196620 QAU196620 QKQ196620 QUM196620 REI196620 ROE196620 RYA196620 SHW196620 SRS196620 TBO196620 TLK196620 TVG196620 UFC196620 UOY196620 UYU196620 VIQ196620 VSM196620 WCI196620 WME196620 WWA196620 S262156 JO262156 TK262156 ADG262156 ANC262156 AWY262156 BGU262156 BQQ262156 CAM262156 CKI262156 CUE262156 DEA262156 DNW262156 DXS262156 EHO262156 ERK262156 FBG262156 FLC262156 FUY262156 GEU262156 GOQ262156 GYM262156 HII262156 HSE262156 ICA262156 ILW262156 IVS262156 JFO262156 JPK262156 JZG262156 KJC262156 KSY262156 LCU262156 LMQ262156 LWM262156 MGI262156 MQE262156 NAA262156 NJW262156 NTS262156 ODO262156 ONK262156 OXG262156 PHC262156 PQY262156 QAU262156 QKQ262156 QUM262156 REI262156 ROE262156 RYA262156 SHW262156 SRS262156 TBO262156 TLK262156 TVG262156 UFC262156 UOY262156 UYU262156 VIQ262156 VSM262156 WCI262156 WME262156 WWA262156 S327692 JO327692 TK327692 ADG327692 ANC327692 AWY327692 BGU327692 BQQ327692 CAM327692 CKI327692 CUE327692 DEA327692 DNW327692 DXS327692 EHO327692 ERK327692 FBG327692 FLC327692 FUY327692 GEU327692 GOQ327692 GYM327692 HII327692 HSE327692 ICA327692 ILW327692 IVS327692 JFO327692 JPK327692 JZG327692 KJC327692 KSY327692 LCU327692 LMQ327692 LWM327692 MGI327692 MQE327692 NAA327692 NJW327692 NTS327692 ODO327692 ONK327692 OXG327692 PHC327692 PQY327692 QAU327692 QKQ327692 QUM327692 REI327692 ROE327692 RYA327692 SHW327692 SRS327692 TBO327692 TLK327692 TVG327692 UFC327692 UOY327692 UYU327692 VIQ327692 VSM327692 WCI327692 WME327692 WWA327692 S393228 JO393228 TK393228 ADG393228 ANC393228 AWY393228 BGU393228 BQQ393228 CAM393228 CKI393228 CUE393228 DEA393228 DNW393228 DXS393228 EHO393228 ERK393228 FBG393228 FLC393228 FUY393228 GEU393228 GOQ393228 GYM393228 HII393228 HSE393228 ICA393228 ILW393228 IVS393228 JFO393228 JPK393228 JZG393228 KJC393228 KSY393228 LCU393228 LMQ393228 LWM393228 MGI393228 MQE393228 NAA393228 NJW393228 NTS393228 ODO393228 ONK393228 OXG393228 PHC393228 PQY393228 QAU393228 QKQ393228 QUM393228 REI393228 ROE393228 RYA393228 SHW393228 SRS393228 TBO393228 TLK393228 TVG393228 UFC393228 UOY393228 UYU393228 VIQ393228 VSM393228 WCI393228 WME393228 WWA393228 S458764 JO458764 TK458764 ADG458764 ANC458764 AWY458764 BGU458764 BQQ458764 CAM458764 CKI458764 CUE458764 DEA458764 DNW458764 DXS458764 EHO458764 ERK458764 FBG458764 FLC458764 FUY458764 GEU458764 GOQ458764 GYM458764 HII458764 HSE458764 ICA458764 ILW458764 IVS458764 JFO458764 JPK458764 JZG458764 KJC458764 KSY458764 LCU458764 LMQ458764 LWM458764 MGI458764 MQE458764 NAA458764 NJW458764 NTS458764 ODO458764 ONK458764 OXG458764 PHC458764 PQY458764 QAU458764 QKQ458764 QUM458764 REI458764 ROE458764 RYA458764 SHW458764 SRS458764 TBO458764 TLK458764 TVG458764 UFC458764 UOY458764 UYU458764 VIQ458764 VSM458764 WCI458764 WME458764 WWA458764 S524300 JO524300 TK524300 ADG524300 ANC524300 AWY524300 BGU524300 BQQ524300 CAM524300 CKI524300 CUE524300 DEA524300 DNW524300 DXS524300 EHO524300 ERK524300 FBG524300 FLC524300 FUY524300 GEU524300 GOQ524300 GYM524300 HII524300 HSE524300 ICA524300 ILW524300 IVS524300 JFO524300 JPK524300 JZG524300 KJC524300 KSY524300 LCU524300 LMQ524300 LWM524300 MGI524300 MQE524300 NAA524300 NJW524300 NTS524300 ODO524300 ONK524300 OXG524300 PHC524300 PQY524300 QAU524300 QKQ524300 QUM524300 REI524300 ROE524300 RYA524300 SHW524300 SRS524300 TBO524300 TLK524300 TVG524300 UFC524300 UOY524300 UYU524300 VIQ524300 VSM524300 WCI524300 WME524300 WWA524300 S589836 JO589836 TK589836 ADG589836 ANC589836 AWY589836 BGU589836 BQQ589836 CAM589836 CKI589836 CUE589836 DEA589836 DNW589836 DXS589836 EHO589836 ERK589836 FBG589836 FLC589836 FUY589836 GEU589836 GOQ589836 GYM589836 HII589836 HSE589836 ICA589836 ILW589836 IVS589836 JFO589836 JPK589836 JZG589836 KJC589836 KSY589836 LCU589836 LMQ589836 LWM589836 MGI589836 MQE589836 NAA589836 NJW589836 NTS589836 ODO589836 ONK589836 OXG589836 PHC589836 PQY589836 QAU589836 QKQ589836 QUM589836 REI589836 ROE589836 RYA589836 SHW589836 SRS589836 TBO589836 TLK589836 TVG589836 UFC589836 UOY589836 UYU589836 VIQ589836 VSM589836 WCI589836 WME589836 WWA589836 S655372 JO655372 TK655372 ADG655372 ANC655372 AWY655372 BGU655372 BQQ655372 CAM655372 CKI655372 CUE655372 DEA655372 DNW655372 DXS655372 EHO655372 ERK655372 FBG655372 FLC655372 FUY655372 GEU655372 GOQ655372 GYM655372 HII655372 HSE655372 ICA655372 ILW655372 IVS655372 JFO655372 JPK655372 JZG655372 KJC655372 KSY655372 LCU655372 LMQ655372 LWM655372 MGI655372 MQE655372 NAA655372 NJW655372 NTS655372 ODO655372 ONK655372 OXG655372 PHC655372 PQY655372 QAU655372 QKQ655372 QUM655372 REI655372 ROE655372 RYA655372 SHW655372 SRS655372 TBO655372 TLK655372 TVG655372 UFC655372 UOY655372 UYU655372 VIQ655372 VSM655372 WCI655372 WME655372 WWA655372 S720908 JO720908 TK720908 ADG720908 ANC720908 AWY720908 BGU720908 BQQ720908 CAM720908 CKI720908 CUE720908 DEA720908 DNW720908 DXS720908 EHO720908 ERK720908 FBG720908 FLC720908 FUY720908 GEU720908 GOQ720908 GYM720908 HII720908 HSE720908 ICA720908 ILW720908 IVS720908 JFO720908 JPK720908 JZG720908 KJC720908 KSY720908 LCU720908 LMQ720908 LWM720908 MGI720908 MQE720908 NAA720908 NJW720908 NTS720908 ODO720908 ONK720908 OXG720908 PHC720908 PQY720908 QAU720908 QKQ720908 QUM720908 REI720908 ROE720908 RYA720908 SHW720908 SRS720908 TBO720908 TLK720908 TVG720908 UFC720908 UOY720908 UYU720908 VIQ720908 VSM720908 WCI720908 WME720908 WWA720908 S786444 JO786444 TK786444 ADG786444 ANC786444 AWY786444 BGU786444 BQQ786444 CAM786444 CKI786444 CUE786444 DEA786444 DNW786444 DXS786444 EHO786444 ERK786444 FBG786444 FLC786444 FUY786444 GEU786444 GOQ786444 GYM786444 HII786444 HSE786444 ICA786444 ILW786444 IVS786444 JFO786444 JPK786444 JZG786444 KJC786444 KSY786444 LCU786444 LMQ786444 LWM786444 MGI786444 MQE786444 NAA786444 NJW786444 NTS786444 ODO786444 ONK786444 OXG786444 PHC786444 PQY786444 QAU786444 QKQ786444 QUM786444 REI786444 ROE786444 RYA786444 SHW786444 SRS786444 TBO786444 TLK786444 TVG786444 UFC786444 UOY786444 UYU786444 VIQ786444 VSM786444 WCI786444 WME786444 WWA786444 S851980 JO851980 TK851980 ADG851980 ANC851980 AWY851980 BGU851980 BQQ851980 CAM851980 CKI851980 CUE851980 DEA851980 DNW851980 DXS851980 EHO851980 ERK851980 FBG851980 FLC851980 FUY851980 GEU851980 GOQ851980 GYM851980 HII851980 HSE851980 ICA851980 ILW851980 IVS851980 JFO851980 JPK851980 JZG851980 KJC851980 KSY851980 LCU851980 LMQ851980 LWM851980 MGI851980 MQE851980 NAA851980 NJW851980 NTS851980 ODO851980 ONK851980 OXG851980 PHC851980 PQY851980 QAU851980 QKQ851980 QUM851980 REI851980 ROE851980 RYA851980 SHW851980 SRS851980 TBO851980 TLK851980 TVG851980 UFC851980 UOY851980 UYU851980 VIQ851980 VSM851980 WCI851980 WME851980 WWA851980 S917516 JO917516 TK917516 ADG917516 ANC917516 AWY917516 BGU917516 BQQ917516 CAM917516 CKI917516 CUE917516 DEA917516 DNW917516 DXS917516 EHO917516 ERK917516 FBG917516 FLC917516 FUY917516 GEU917516 GOQ917516 GYM917516 HII917516 HSE917516 ICA917516 ILW917516 IVS917516 JFO917516 JPK917516 JZG917516 KJC917516 KSY917516 LCU917516 LMQ917516 LWM917516 MGI917516 MQE917516 NAA917516 NJW917516 NTS917516 ODO917516 ONK917516 OXG917516 PHC917516 PQY917516 QAU917516 QKQ917516 QUM917516 REI917516 ROE917516 RYA917516 SHW917516 SRS917516 TBO917516 TLK917516 TVG917516 UFC917516 UOY917516 UYU917516 VIQ917516 VSM917516 WCI917516 WME917516 WWA917516 S983052 JO983052 TK983052 ADG983052 ANC983052 AWY983052 BGU983052 BQQ983052 CAM983052 CKI983052 CUE983052 DEA983052 DNW983052 DXS983052 EHO983052 ERK983052 FBG983052 FLC983052 FUY983052 GEU983052 GOQ983052 GYM983052 HII983052 HSE983052 ICA983052 ILW983052 IVS983052 JFO983052 JPK983052 JZG983052 KJC983052 KSY983052 LCU983052 LMQ983052 LWM983052 MGI983052 MQE983052 NAA983052 NJW983052 NTS983052 ODO983052 ONK983052 OXG983052 PHC983052 PQY983052 QAU983052 QKQ983052 QUM983052 REI983052 ROE983052 RYA983052 SHW983052 SRS983052 TBO983052 TLK983052 TVG983052 UFC983052 UOY983052 UYU983052 VIQ983052 VSM983052 WCI983052 WME983052 WWA983052 S8 JO8 TK8 ADG8 ANC8 AWY8 BGU8 BQQ8 CAM8 CKI8 CUE8 DEA8 DNW8 DXS8 EHO8 ERK8 FBG8 FLC8 FUY8 GEU8 GOQ8 GYM8 HII8 HSE8 ICA8 ILW8 IVS8 JFO8 JPK8 JZG8 KJC8 KSY8 LCU8 LMQ8 LWM8 MGI8 MQE8 NAA8 NJW8 NTS8 ODO8 ONK8 OXG8 PHC8 PQY8 QAU8 QKQ8 QUM8 REI8 ROE8 RYA8 SHW8 SRS8 TBO8 TLK8 TVG8 UFC8 UOY8 UYU8 VIQ8 VSM8 WCI8 WME8 WWA8 S65544 JO65544 TK65544 ADG65544 ANC65544 AWY65544 BGU65544 BQQ65544 CAM65544 CKI65544 CUE65544 DEA65544 DNW65544 DXS65544 EHO65544 ERK65544 FBG65544 FLC65544 FUY65544 GEU65544 GOQ65544 GYM65544 HII65544 HSE65544 ICA65544 ILW65544 IVS65544 JFO65544 JPK65544 JZG65544 KJC65544 KSY65544 LCU65544 LMQ65544 LWM65544 MGI65544 MQE65544 NAA65544 NJW65544 NTS65544 ODO65544 ONK65544 OXG65544 PHC65544 PQY65544 QAU65544 QKQ65544 QUM65544 REI65544 ROE65544 RYA65544 SHW65544 SRS65544 TBO65544 TLK65544 TVG65544 UFC65544 UOY65544 UYU65544 VIQ65544 VSM65544 WCI65544 WME65544 WWA65544 S131080 JO131080 TK131080 ADG131080 ANC131080 AWY131080 BGU131080 BQQ131080 CAM131080 CKI131080 CUE131080 DEA131080 DNW131080 DXS131080 EHO131080 ERK131080 FBG131080 FLC131080 FUY131080 GEU131080 GOQ131080 GYM131080 HII131080 HSE131080 ICA131080 ILW131080 IVS131080 JFO131080 JPK131080 JZG131080 KJC131080 KSY131080 LCU131080 LMQ131080 LWM131080 MGI131080 MQE131080 NAA131080 NJW131080 NTS131080 ODO131080 ONK131080 OXG131080 PHC131080 PQY131080 QAU131080 QKQ131080 QUM131080 REI131080 ROE131080 RYA131080 SHW131080 SRS131080 TBO131080 TLK131080 TVG131080 UFC131080 UOY131080 UYU131080 VIQ131080 VSM131080 WCI131080 WME131080 WWA131080 S196616 JO196616 TK196616 ADG196616 ANC196616 AWY196616 BGU196616 BQQ196616 CAM196616 CKI196616 CUE196616 DEA196616 DNW196616 DXS196616 EHO196616 ERK196616 FBG196616 FLC196616 FUY196616 GEU196616 GOQ196616 GYM196616 HII196616 HSE196616 ICA196616 ILW196616 IVS196616 JFO196616 JPK196616 JZG196616 KJC196616 KSY196616 LCU196616 LMQ196616 LWM196616 MGI196616 MQE196616 NAA196616 NJW196616 NTS196616 ODO196616 ONK196616 OXG196616 PHC196616 PQY196616 QAU196616 QKQ196616 QUM196616 REI196616 ROE196616 RYA196616 SHW196616 SRS196616 TBO196616 TLK196616 TVG196616 UFC196616 UOY196616 UYU196616 VIQ196616 VSM196616 WCI196616 WME196616 WWA196616 S262152 JO262152 TK262152 ADG262152 ANC262152 AWY262152 BGU262152 BQQ262152 CAM262152 CKI262152 CUE262152 DEA262152 DNW262152 DXS262152 EHO262152 ERK262152 FBG262152 FLC262152 FUY262152 GEU262152 GOQ262152 GYM262152 HII262152 HSE262152 ICA262152 ILW262152 IVS262152 JFO262152 JPK262152 JZG262152 KJC262152 KSY262152 LCU262152 LMQ262152 LWM262152 MGI262152 MQE262152 NAA262152 NJW262152 NTS262152 ODO262152 ONK262152 OXG262152 PHC262152 PQY262152 QAU262152 QKQ262152 QUM262152 REI262152 ROE262152 RYA262152 SHW262152 SRS262152 TBO262152 TLK262152 TVG262152 UFC262152 UOY262152 UYU262152 VIQ262152 VSM262152 WCI262152 WME262152 WWA262152 S327688 JO327688 TK327688 ADG327688 ANC327688 AWY327688 BGU327688 BQQ327688 CAM327688 CKI327688 CUE327688 DEA327688 DNW327688 DXS327688 EHO327688 ERK327688 FBG327688 FLC327688 FUY327688 GEU327688 GOQ327688 GYM327688 HII327688 HSE327688 ICA327688 ILW327688 IVS327688 JFO327688 JPK327688 JZG327688 KJC327688 KSY327688 LCU327688 LMQ327688 LWM327688 MGI327688 MQE327688 NAA327688 NJW327688 NTS327688 ODO327688 ONK327688 OXG327688 PHC327688 PQY327688 QAU327688 QKQ327688 QUM327688 REI327688 ROE327688 RYA327688 SHW327688 SRS327688 TBO327688 TLK327688 TVG327688 UFC327688 UOY327688 UYU327688 VIQ327688 VSM327688 WCI327688 WME327688 WWA327688 S393224 JO393224 TK393224 ADG393224 ANC393224 AWY393224 BGU393224 BQQ393224 CAM393224 CKI393224 CUE393224 DEA393224 DNW393224 DXS393224 EHO393224 ERK393224 FBG393224 FLC393224 FUY393224 GEU393224 GOQ393224 GYM393224 HII393224 HSE393224 ICA393224 ILW393224 IVS393224 JFO393224 JPK393224 JZG393224 KJC393224 KSY393224 LCU393224 LMQ393224 LWM393224 MGI393224 MQE393224 NAA393224 NJW393224 NTS393224 ODO393224 ONK393224 OXG393224 PHC393224 PQY393224 QAU393224 QKQ393224 QUM393224 REI393224 ROE393224 RYA393224 SHW393224 SRS393224 TBO393224 TLK393224 TVG393224 UFC393224 UOY393224 UYU393224 VIQ393224 VSM393224 WCI393224 WME393224 WWA393224 S458760 JO458760 TK458760 ADG458760 ANC458760 AWY458760 BGU458760 BQQ458760 CAM458760 CKI458760 CUE458760 DEA458760 DNW458760 DXS458760 EHO458760 ERK458760 FBG458760 FLC458760 FUY458760 GEU458760 GOQ458760 GYM458760 HII458760 HSE458760 ICA458760 ILW458760 IVS458760 JFO458760 JPK458760 JZG458760 KJC458760 KSY458760 LCU458760 LMQ458760 LWM458760 MGI458760 MQE458760 NAA458760 NJW458760 NTS458760 ODO458760 ONK458760 OXG458760 PHC458760 PQY458760 QAU458760 QKQ458760 QUM458760 REI458760 ROE458760 RYA458760 SHW458760 SRS458760 TBO458760 TLK458760 TVG458760 UFC458760 UOY458760 UYU458760 VIQ458760 VSM458760 WCI458760 WME458760 WWA458760 S524296 JO524296 TK524296 ADG524296 ANC524296 AWY524296 BGU524296 BQQ524296 CAM524296 CKI524296 CUE524296 DEA524296 DNW524296 DXS524296 EHO524296 ERK524296 FBG524296 FLC524296 FUY524296 GEU524296 GOQ524296 GYM524296 HII524296 HSE524296 ICA524296 ILW524296 IVS524296 JFO524296 JPK524296 JZG524296 KJC524296 KSY524296 LCU524296 LMQ524296 LWM524296 MGI524296 MQE524296 NAA524296 NJW524296 NTS524296 ODO524296 ONK524296 OXG524296 PHC524296 PQY524296 QAU524296 QKQ524296 QUM524296 REI524296 ROE524296 RYA524296 SHW524296 SRS524296 TBO524296 TLK524296 TVG524296 UFC524296 UOY524296 UYU524296 VIQ524296 VSM524296 WCI524296 WME524296 WWA524296 S589832 JO589832 TK589832 ADG589832 ANC589832 AWY589832 BGU589832 BQQ589832 CAM589832 CKI589832 CUE589832 DEA589832 DNW589832 DXS589832 EHO589832 ERK589832 FBG589832 FLC589832 FUY589832 GEU589832 GOQ589832 GYM589832 HII589832 HSE589832 ICA589832 ILW589832 IVS589832 JFO589832 JPK589832 JZG589832 KJC589832 KSY589832 LCU589832 LMQ589832 LWM589832 MGI589832 MQE589832 NAA589832 NJW589832 NTS589832 ODO589832 ONK589832 OXG589832 PHC589832 PQY589832 QAU589832 QKQ589832 QUM589832 REI589832 ROE589832 RYA589832 SHW589832 SRS589832 TBO589832 TLK589832 TVG589832 UFC589832 UOY589832 UYU589832 VIQ589832 VSM589832 WCI589832 WME589832 WWA589832 S655368 JO655368 TK655368 ADG655368 ANC655368 AWY655368 BGU655368 BQQ655368 CAM655368 CKI655368 CUE655368 DEA655368 DNW655368 DXS655368 EHO655368 ERK655368 FBG655368 FLC655368 FUY655368 GEU655368 GOQ655368 GYM655368 HII655368 HSE655368 ICA655368 ILW655368 IVS655368 JFO655368 JPK655368 JZG655368 KJC655368 KSY655368 LCU655368 LMQ655368 LWM655368 MGI655368 MQE655368 NAA655368 NJW655368 NTS655368 ODO655368 ONK655368 OXG655368 PHC655368 PQY655368 QAU655368 QKQ655368 QUM655368 REI655368 ROE655368 RYA655368 SHW655368 SRS655368 TBO655368 TLK655368 TVG655368 UFC655368 UOY655368 UYU655368 VIQ655368 VSM655368 WCI655368 WME655368 WWA655368 S720904 JO720904 TK720904 ADG720904 ANC720904 AWY720904 BGU720904 BQQ720904 CAM720904 CKI720904 CUE720904 DEA720904 DNW720904 DXS720904 EHO720904 ERK720904 FBG720904 FLC720904 FUY720904 GEU720904 GOQ720904 GYM720904 HII720904 HSE720904 ICA720904 ILW720904 IVS720904 JFO720904 JPK720904 JZG720904 KJC720904 KSY720904 LCU720904 LMQ720904 LWM720904 MGI720904 MQE720904 NAA720904 NJW720904 NTS720904 ODO720904 ONK720904 OXG720904 PHC720904 PQY720904 QAU720904 QKQ720904 QUM720904 REI720904 ROE720904 RYA720904 SHW720904 SRS720904 TBO720904 TLK720904 TVG720904 UFC720904 UOY720904 UYU720904 VIQ720904 VSM720904 WCI720904 WME720904 WWA720904 S786440 JO786440 TK786440 ADG786440 ANC786440 AWY786440 BGU786440 BQQ786440 CAM786440 CKI786440 CUE786440 DEA786440 DNW786440 DXS786440 EHO786440 ERK786440 FBG786440 FLC786440 FUY786440 GEU786440 GOQ786440 GYM786440 HII786440 HSE786440 ICA786440 ILW786440 IVS786440 JFO786440 JPK786440 JZG786440 KJC786440 KSY786440 LCU786440 LMQ786440 LWM786440 MGI786440 MQE786440 NAA786440 NJW786440 NTS786440 ODO786440 ONK786440 OXG786440 PHC786440 PQY786440 QAU786440 QKQ786440 QUM786440 REI786440 ROE786440 RYA786440 SHW786440 SRS786440 TBO786440 TLK786440 TVG786440 UFC786440 UOY786440 UYU786440 VIQ786440 VSM786440 WCI786440 WME786440 WWA786440 S851976 JO851976 TK851976 ADG851976 ANC851976 AWY851976 BGU851976 BQQ851976 CAM851976 CKI851976 CUE851976 DEA851976 DNW851976 DXS851976 EHO851976 ERK851976 FBG851976 FLC851976 FUY851976 GEU851976 GOQ851976 GYM851976 HII851976 HSE851976 ICA851976 ILW851976 IVS851976 JFO851976 JPK851976 JZG851976 KJC851976 KSY851976 LCU851976 LMQ851976 LWM851976 MGI851976 MQE851976 NAA851976 NJW851976 NTS851976 ODO851976 ONK851976 OXG851976 PHC851976 PQY851976 QAU851976 QKQ851976 QUM851976 REI851976 ROE851976 RYA851976 SHW851976 SRS851976 TBO851976 TLK851976 TVG851976 UFC851976 UOY851976 UYU851976 VIQ851976 VSM851976 WCI851976 WME851976 WWA851976 S917512 JO917512 TK917512 ADG917512 ANC917512 AWY917512 BGU917512 BQQ917512 CAM917512 CKI917512 CUE917512 DEA917512 DNW917512 DXS917512 EHO917512 ERK917512 FBG917512 FLC917512 FUY917512 GEU917512 GOQ917512 GYM917512 HII917512 HSE917512 ICA917512 ILW917512 IVS917512 JFO917512 JPK917512 JZG917512 KJC917512 KSY917512 LCU917512 LMQ917512 LWM917512 MGI917512 MQE917512 NAA917512 NJW917512 NTS917512 ODO917512 ONK917512 OXG917512 PHC917512 PQY917512 QAU917512 QKQ917512 QUM917512 REI917512 ROE917512 RYA917512 SHW917512 SRS917512 TBO917512 TLK917512 TVG917512 UFC917512 UOY917512 UYU917512 VIQ917512 VSM917512 WCI917512 WME917512 WWA917512 S983048 JO983048 TK983048 ADG983048 ANC983048 AWY983048 BGU983048 BQQ983048 CAM983048 CKI983048 CUE983048 DEA983048 DNW983048 DXS983048 EHO983048 ERK983048 FBG983048 FLC983048 FUY983048 GEU983048 GOQ983048 GYM983048 HII983048 HSE983048 ICA983048 ILW983048 IVS983048 JFO983048 JPK983048 JZG983048 KJC983048 KSY983048 LCU983048 LMQ983048 LWM983048 MGI983048 MQE983048 NAA983048 NJW983048 NTS983048 ODO983048 ONK983048 OXG983048 PHC983048 PQY983048 QAU983048 QKQ983048 QUM983048 REI983048 ROE983048 RYA983048 SHW983048 SRS983048 TBO983048 TLK983048 TVG983048 UFC983048 UOY983048 UYU983048 VIQ983048 VSM983048 WCI983048 WME983048 WWA983048">
      <formula1>$S$12:$S$46</formula1>
    </dataValidation>
  </dataValidations>
  <hyperlinks>
    <hyperlink ref="M813" r:id="rId1" display="ZEP@WASHINGTON CSAH 15, MANNING AVE N, WASHINGTON COUNTY, INSTALL SIGNALS &amp; GATES"/>
    <hyperlink ref="M1433" r:id="rId2" display="ZEP@WASHINGTON CSAH 15, MANNING AVE N, WASHINGTON COUNTY, INSTALL SIGNALS &amp; GATES"/>
    <hyperlink ref="M1699" r:id="rId3" display="ZEP@WASHINGTON CSAH 15, MANNING AVE N, WASHINGTON COUNTY, INSTALL SIGNALS &amp; GATES"/>
    <hyperlink ref="M1938" r:id="rId4" display="ZEP@WASHINGTON CSAH 15, MANNING AVE N, WASHINGTON COUNTY, INSTALL SIGNALS &amp; GATES"/>
    <hyperlink ref="M1618" r:id="rId5" display="ZEP@WASHINGTON CSAH 15, MANNING AVE N, WASHINGTON COUNTY, INSTALL SIGNALS &amp; GATES"/>
    <hyperlink ref="M1594" r:id="rId6" display="ZEP@WASHINGTON CSAH 15, MANNING AVE N, WASHINGTON COUNTY, INSTALL SIGNALS &amp; GATES"/>
    <hyperlink ref="M1580" r:id="rId7" display="ZEP@WASHINGTON CSAH 15, MANNING AVE N, WASHINGTON COUNTY, INSTALL SIGNALS &amp; GATES"/>
    <hyperlink ref="M811" r:id="rId8" display="ZEP@WASHINGTON CSAH 15, MANNING AVE N, WASHINGTON COUNTY, INSTALL SIGNALS &amp; GATES"/>
    <hyperlink ref="M1429" r:id="rId9" display="ZEP@WASHINGTON CSAH 15, MANNING AVE N, WASHINGTON COUNTY, INSTALL SIGNALS &amp; GATES"/>
    <hyperlink ref="M1695" r:id="rId10" display="ZEP@WASHINGTON CSAH 15, MANNING AVE N, WASHINGTON COUNTY, INSTALL SIGNALS &amp; GATES"/>
    <hyperlink ref="M1934" r:id="rId11" display="ZEP@WASHINGTON CSAH 15, MANNING AVE N, WASHINGTON COUNTY, INSTALL SIGNALS &amp; GATES"/>
    <hyperlink ref="M1615" r:id="rId12" display="ZEP@WASHINGTON CSAH 15, MANNING AVE N, WASHINGTON COUNTY, INSTALL SIGNALS &amp; GATES"/>
    <hyperlink ref="M1591" r:id="rId13" display="ZEP@WASHINGTON CSAH 15, MANNING AVE N, WASHINGTON COUNTY, INSTALL SIGNALS &amp; GATES"/>
    <hyperlink ref="M1577" r:id="rId14" display="ZEP@WASHINGTON CSAH 15, MANNING AVE N, WASHINGTON COUNTY, INSTALL SIGNALS &amp; GATES"/>
    <hyperlink ref="M63864" r:id="rId15" display="ZEP@WASHINGTON CSAH 15, MANNING AVE N, WASHINGTON COUNTY, INSTALL SIGNALS &amp; GATES"/>
  </hyperlinks>
  <printOptions horizontalCentered="1" gridLines="1"/>
  <pageMargins left="0" right="0" top="0.5" bottom="0.5" header="0.5" footer="0.25"/>
  <pageSetup paperSize="17" scale="70" orientation="landscape" r:id="rId16"/>
  <headerFooter alignWithMargins="0">
    <oddFooter>&amp;LMETRO DISTRICT&amp;C&amp;P&amp;R&amp;D]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12"/>
  <sheetViews>
    <sheetView topLeftCell="C1" workbookViewId="0">
      <selection activeCell="D5" sqref="D5"/>
    </sheetView>
  </sheetViews>
  <sheetFormatPr defaultRowHeight="14.4" x14ac:dyDescent="0.3"/>
  <cols>
    <col min="1" max="1" width="24.88671875" bestFit="1" customWidth="1"/>
    <col min="2" max="2" width="47.109375" customWidth="1"/>
    <col min="3" max="3" width="31.5546875" customWidth="1"/>
    <col min="4" max="4" width="23.5546875" customWidth="1"/>
    <col min="5" max="5" width="25.6640625" customWidth="1"/>
    <col min="6" max="6" width="38.109375" customWidth="1"/>
    <col min="7" max="7" width="22" customWidth="1"/>
    <col min="8" max="8" width="32.6640625" bestFit="1" customWidth="1"/>
    <col min="9" max="9" width="45.44140625" bestFit="1" customWidth="1"/>
    <col min="10" max="10" width="24.88671875" bestFit="1" customWidth="1"/>
  </cols>
  <sheetData>
    <row r="1" spans="1:10" s="1" customFormat="1" x14ac:dyDescent="0.3">
      <c r="A1" s="2" t="s">
        <v>0</v>
      </c>
      <c r="B1" s="2" t="s">
        <v>3</v>
      </c>
      <c r="C1" s="2" t="s">
        <v>6</v>
      </c>
      <c r="D1" s="2" t="s">
        <v>8</v>
      </c>
      <c r="E1" s="2" t="s">
        <v>33</v>
      </c>
      <c r="F1" s="2" t="s">
        <v>34</v>
      </c>
      <c r="G1" s="2" t="s">
        <v>15</v>
      </c>
      <c r="H1" s="2" t="s">
        <v>37</v>
      </c>
      <c r="I1" s="2" t="s">
        <v>17</v>
      </c>
      <c r="J1" s="2" t="s">
        <v>18</v>
      </c>
    </row>
    <row r="2" spans="1:10" s="4" customFormat="1" x14ac:dyDescent="0.3">
      <c r="A2" s="3" t="s">
        <v>171</v>
      </c>
      <c r="B2" s="3" t="s">
        <v>170</v>
      </c>
      <c r="C2" s="3" t="s">
        <v>30</v>
      </c>
      <c r="D2" s="3" t="s">
        <v>31</v>
      </c>
      <c r="E2" s="4" t="s">
        <v>32</v>
      </c>
      <c r="F2" s="4" t="s">
        <v>35</v>
      </c>
      <c r="G2" s="4" t="s">
        <v>36</v>
      </c>
      <c r="H2" s="4" t="s">
        <v>38</v>
      </c>
      <c r="I2" s="4" t="s">
        <v>39</v>
      </c>
      <c r="J2" s="4" t="s">
        <v>40</v>
      </c>
    </row>
    <row r="3" spans="1:10" x14ac:dyDescent="0.3">
      <c r="A3" t="s">
        <v>25</v>
      </c>
      <c r="B3" t="s">
        <v>165</v>
      </c>
      <c r="C3" t="s">
        <v>97</v>
      </c>
      <c r="D3" t="s">
        <v>172</v>
      </c>
      <c r="E3" t="s">
        <v>106</v>
      </c>
      <c r="F3" t="s">
        <v>161</v>
      </c>
      <c r="G3" t="s">
        <v>163</v>
      </c>
      <c r="H3" t="s">
        <v>112</v>
      </c>
      <c r="I3" t="s">
        <v>117</v>
      </c>
      <c r="J3" t="s">
        <v>120</v>
      </c>
    </row>
    <row r="4" spans="1:10" x14ac:dyDescent="0.3">
      <c r="A4" t="s">
        <v>26</v>
      </c>
      <c r="B4" t="s">
        <v>166</v>
      </c>
      <c r="C4" t="s">
        <v>98</v>
      </c>
      <c r="D4" t="s">
        <v>105</v>
      </c>
      <c r="E4" t="s">
        <v>107</v>
      </c>
      <c r="F4" t="s">
        <v>109</v>
      </c>
      <c r="G4" t="s">
        <v>164</v>
      </c>
      <c r="H4" t="s">
        <v>113</v>
      </c>
      <c r="I4" t="s">
        <v>118</v>
      </c>
      <c r="J4" t="s">
        <v>121</v>
      </c>
    </row>
    <row r="5" spans="1:10" x14ac:dyDescent="0.3">
      <c r="A5" t="s">
        <v>27</v>
      </c>
      <c r="B5" t="s">
        <v>167</v>
      </c>
      <c r="C5" t="s">
        <v>99</v>
      </c>
      <c r="E5" t="s">
        <v>162</v>
      </c>
      <c r="F5" t="s">
        <v>110</v>
      </c>
      <c r="G5" t="s">
        <v>125</v>
      </c>
      <c r="H5" t="s">
        <v>114</v>
      </c>
      <c r="I5" t="s">
        <v>119</v>
      </c>
      <c r="J5" t="s">
        <v>122</v>
      </c>
    </row>
    <row r="6" spans="1:10" x14ac:dyDescent="0.3">
      <c r="A6" t="s">
        <v>28</v>
      </c>
      <c r="B6" t="s">
        <v>168</v>
      </c>
      <c r="C6" t="s">
        <v>100</v>
      </c>
      <c r="E6" t="s">
        <v>159</v>
      </c>
      <c r="F6" t="s">
        <v>124</v>
      </c>
      <c r="H6" t="s">
        <v>115</v>
      </c>
      <c r="J6" t="s">
        <v>123</v>
      </c>
    </row>
    <row r="7" spans="1:10" x14ac:dyDescent="0.3">
      <c r="A7" t="s">
        <v>29</v>
      </c>
      <c r="B7" t="s">
        <v>169</v>
      </c>
      <c r="C7" t="s">
        <v>101</v>
      </c>
      <c r="E7" t="s">
        <v>108</v>
      </c>
      <c r="H7" t="s">
        <v>116</v>
      </c>
    </row>
    <row r="8" spans="1:10" x14ac:dyDescent="0.3">
      <c r="A8" t="s">
        <v>125</v>
      </c>
      <c r="C8" t="s">
        <v>102</v>
      </c>
      <c r="H8" t="s">
        <v>156</v>
      </c>
    </row>
    <row r="9" spans="1:10" x14ac:dyDescent="0.3">
      <c r="C9" t="s">
        <v>103</v>
      </c>
      <c r="H9" t="s">
        <v>111</v>
      </c>
    </row>
    <row r="10" spans="1:10" x14ac:dyDescent="0.3">
      <c r="C10" t="s">
        <v>104</v>
      </c>
      <c r="H10" t="s">
        <v>125</v>
      </c>
    </row>
    <row r="11" spans="1:10" x14ac:dyDescent="0.3">
      <c r="C11" t="s">
        <v>157</v>
      </c>
    </row>
    <row r="12" spans="1:10" x14ac:dyDescent="0.3">
      <c r="C12" t="s">
        <v>158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J15"/>
  <sheetViews>
    <sheetView tabSelected="1" workbookViewId="0">
      <selection activeCell="D21" sqref="D21"/>
    </sheetView>
  </sheetViews>
  <sheetFormatPr defaultRowHeight="14.4" x14ac:dyDescent="0.3"/>
  <cols>
    <col min="4" max="4" width="11.77734375" bestFit="1" customWidth="1"/>
    <col min="7" max="7" width="72.77734375" customWidth="1"/>
    <col min="8" max="9" width="10.5546875" customWidth="1"/>
  </cols>
  <sheetData>
    <row r="1" spans="1:10" s="227" customFormat="1" ht="46.8" x14ac:dyDescent="0.3">
      <c r="A1" s="275" t="s">
        <v>43</v>
      </c>
      <c r="B1" s="275" t="s">
        <v>44</v>
      </c>
      <c r="C1" s="275" t="s">
        <v>45</v>
      </c>
      <c r="D1" s="275" t="s">
        <v>47</v>
      </c>
      <c r="E1" s="275" t="s">
        <v>1448</v>
      </c>
      <c r="F1" s="275" t="s">
        <v>48</v>
      </c>
      <c r="G1" s="275" t="s">
        <v>51</v>
      </c>
      <c r="H1" s="275" t="s">
        <v>1590</v>
      </c>
      <c r="I1" s="275" t="s">
        <v>1591</v>
      </c>
    </row>
    <row r="2" spans="1:10" ht="14.4" customHeight="1" x14ac:dyDescent="0.3">
      <c r="A2" s="165">
        <v>1</v>
      </c>
      <c r="B2" s="166" t="s">
        <v>275</v>
      </c>
      <c r="C2" s="166">
        <v>535</v>
      </c>
      <c r="D2" s="165" t="s">
        <v>1531</v>
      </c>
      <c r="E2" s="184">
        <v>9030</v>
      </c>
      <c r="F2" s="196">
        <v>2019</v>
      </c>
      <c r="G2" s="168" t="s">
        <v>1532</v>
      </c>
      <c r="H2" s="231" t="s">
        <v>1592</v>
      </c>
      <c r="I2" s="231"/>
      <c r="J2" s="159"/>
    </row>
    <row r="3" spans="1:10" ht="27.6" x14ac:dyDescent="0.3">
      <c r="A3" s="160">
        <v>1</v>
      </c>
      <c r="B3" s="160" t="s">
        <v>275</v>
      </c>
      <c r="C3" s="169">
        <v>35</v>
      </c>
      <c r="D3" s="160" t="s">
        <v>1584</v>
      </c>
      <c r="E3" s="171" t="s">
        <v>1542</v>
      </c>
      <c r="F3" s="193">
        <v>2020</v>
      </c>
      <c r="G3" s="163" t="s">
        <v>1491</v>
      </c>
      <c r="H3" s="230" t="s">
        <v>1592</v>
      </c>
      <c r="I3" s="230"/>
      <c r="J3" s="159"/>
    </row>
    <row r="4" spans="1:10" ht="41.4" x14ac:dyDescent="0.3">
      <c r="A4" s="240">
        <v>1</v>
      </c>
      <c r="B4" s="170" t="s">
        <v>370</v>
      </c>
      <c r="C4" s="276">
        <v>53</v>
      </c>
      <c r="D4" s="183" t="s">
        <v>1550</v>
      </c>
      <c r="E4" s="277" t="s">
        <v>1585</v>
      </c>
      <c r="F4" s="189">
        <v>2022</v>
      </c>
      <c r="G4" s="163" t="s">
        <v>1581</v>
      </c>
      <c r="H4" s="230" t="s">
        <v>1592</v>
      </c>
      <c r="I4" s="230" t="s">
        <v>1592</v>
      </c>
      <c r="J4" s="159"/>
    </row>
    <row r="5" spans="1:10" ht="14.4" customHeight="1" x14ac:dyDescent="0.3">
      <c r="A5" s="160">
        <v>1</v>
      </c>
      <c r="B5" s="169" t="s">
        <v>275</v>
      </c>
      <c r="C5" s="169">
        <v>35</v>
      </c>
      <c r="D5" s="160" t="s">
        <v>1438</v>
      </c>
      <c r="E5" s="167">
        <v>9790</v>
      </c>
      <c r="F5" s="210">
        <v>2024</v>
      </c>
      <c r="G5" s="250" t="s">
        <v>1447</v>
      </c>
      <c r="H5" s="230" t="s">
        <v>1592</v>
      </c>
      <c r="I5" s="230"/>
      <c r="J5" s="161"/>
    </row>
    <row r="6" spans="1:10" ht="14.4" customHeight="1" x14ac:dyDescent="0.3">
      <c r="A6" s="160">
        <v>1</v>
      </c>
      <c r="B6" s="169" t="s">
        <v>275</v>
      </c>
      <c r="C6" s="169">
        <v>35</v>
      </c>
      <c r="D6" s="160" t="s">
        <v>1439</v>
      </c>
      <c r="E6" s="162">
        <v>9789</v>
      </c>
      <c r="F6" s="210">
        <v>2024</v>
      </c>
      <c r="G6" s="278" t="s">
        <v>1440</v>
      </c>
      <c r="H6" s="230" t="s">
        <v>1592</v>
      </c>
      <c r="I6" s="230"/>
      <c r="J6" s="159"/>
    </row>
    <row r="7" spans="1:10" ht="14.4" customHeight="1" x14ac:dyDescent="0.3">
      <c r="A7" s="165">
        <v>1</v>
      </c>
      <c r="B7" s="166" t="s">
        <v>275</v>
      </c>
      <c r="C7" s="166">
        <v>35</v>
      </c>
      <c r="D7" s="165" t="s">
        <v>1470</v>
      </c>
      <c r="E7" s="167">
        <v>9787</v>
      </c>
      <c r="F7" s="211">
        <v>2024</v>
      </c>
      <c r="G7" s="168" t="s">
        <v>1471</v>
      </c>
      <c r="H7" s="231" t="s">
        <v>1592</v>
      </c>
      <c r="I7" s="231"/>
      <c r="J7" s="159"/>
    </row>
    <row r="8" spans="1:10" ht="14.4" customHeight="1" x14ac:dyDescent="0.3">
      <c r="A8" s="160">
        <v>1</v>
      </c>
      <c r="B8" s="169" t="s">
        <v>275</v>
      </c>
      <c r="C8" s="169">
        <v>35</v>
      </c>
      <c r="D8" s="160" t="s">
        <v>1472</v>
      </c>
      <c r="E8" s="162">
        <v>9788</v>
      </c>
      <c r="F8" s="210">
        <v>2024</v>
      </c>
      <c r="G8" s="163" t="s">
        <v>1473</v>
      </c>
      <c r="H8" s="230" t="s">
        <v>1592</v>
      </c>
      <c r="I8" s="230"/>
      <c r="J8" s="159"/>
    </row>
    <row r="9" spans="1:10" ht="14.4" customHeight="1" x14ac:dyDescent="0.3">
      <c r="A9" s="160">
        <v>1</v>
      </c>
      <c r="B9" s="169" t="s">
        <v>275</v>
      </c>
      <c r="C9" s="169">
        <v>535</v>
      </c>
      <c r="D9" s="160" t="s">
        <v>1551</v>
      </c>
      <c r="E9" s="171">
        <v>69808</v>
      </c>
      <c r="F9" s="210">
        <v>2024</v>
      </c>
      <c r="G9" s="163" t="s">
        <v>1552</v>
      </c>
      <c r="H9" s="230" t="s">
        <v>1592</v>
      </c>
      <c r="I9" s="230"/>
      <c r="J9" s="159"/>
    </row>
    <row r="10" spans="1:10" ht="14.4" customHeight="1" x14ac:dyDescent="0.3">
      <c r="A10" s="160">
        <v>1</v>
      </c>
      <c r="B10" s="169" t="s">
        <v>275</v>
      </c>
      <c r="C10" s="169">
        <v>535</v>
      </c>
      <c r="D10" s="160" t="s">
        <v>1474</v>
      </c>
      <c r="E10" s="171" t="s">
        <v>1476</v>
      </c>
      <c r="F10" s="210">
        <v>2024</v>
      </c>
      <c r="G10" s="163" t="s">
        <v>1477</v>
      </c>
      <c r="H10" s="230" t="s">
        <v>1592</v>
      </c>
      <c r="I10" s="230"/>
      <c r="J10" s="159"/>
    </row>
    <row r="11" spans="1:10" ht="14.4" customHeight="1" x14ac:dyDescent="0.3">
      <c r="A11" s="160">
        <v>1</v>
      </c>
      <c r="B11" s="169" t="s">
        <v>275</v>
      </c>
      <c r="C11" s="169">
        <v>535</v>
      </c>
      <c r="D11" s="160" t="s">
        <v>1475</v>
      </c>
      <c r="E11" s="171">
        <v>69809</v>
      </c>
      <c r="F11" s="210">
        <v>2024</v>
      </c>
      <c r="G11" s="163" t="s">
        <v>1478</v>
      </c>
      <c r="H11" s="230" t="s">
        <v>1592</v>
      </c>
      <c r="I11" s="230"/>
      <c r="J11" s="159"/>
    </row>
    <row r="12" spans="1:10" ht="14.4" customHeight="1" x14ac:dyDescent="0.3">
      <c r="A12" s="178">
        <v>1</v>
      </c>
      <c r="B12" s="279" t="s">
        <v>275</v>
      </c>
      <c r="C12" s="279">
        <v>35</v>
      </c>
      <c r="D12" s="178" t="s">
        <v>1481</v>
      </c>
      <c r="E12" s="184" t="s">
        <v>1482</v>
      </c>
      <c r="F12" s="280">
        <v>2025</v>
      </c>
      <c r="G12" s="250" t="s">
        <v>1483</v>
      </c>
      <c r="H12" s="230" t="s">
        <v>1592</v>
      </c>
      <c r="I12" s="230"/>
      <c r="J12" s="161"/>
    </row>
    <row r="13" spans="1:10" ht="28.8" x14ac:dyDescent="0.3">
      <c r="A13" s="244">
        <v>1</v>
      </c>
      <c r="B13" s="169" t="s">
        <v>275</v>
      </c>
      <c r="C13" s="169">
        <v>35</v>
      </c>
      <c r="D13" s="160"/>
      <c r="E13" s="171" t="s">
        <v>1582</v>
      </c>
      <c r="F13" s="229">
        <v>2026</v>
      </c>
      <c r="G13" s="163" t="s">
        <v>1583</v>
      </c>
      <c r="H13" s="230" t="s">
        <v>1592</v>
      </c>
      <c r="I13" s="230" t="s">
        <v>1592</v>
      </c>
      <c r="J13" s="159"/>
    </row>
    <row r="14" spans="1:10" ht="14.4" customHeight="1" x14ac:dyDescent="0.3">
      <c r="A14" s="160">
        <v>1</v>
      </c>
      <c r="B14" s="170" t="s">
        <v>275</v>
      </c>
      <c r="C14" s="170">
        <v>535</v>
      </c>
      <c r="D14" s="235" t="s">
        <v>1587</v>
      </c>
      <c r="E14" s="171">
        <v>9030</v>
      </c>
      <c r="F14" s="252">
        <v>2028</v>
      </c>
      <c r="G14" s="163" t="s">
        <v>1586</v>
      </c>
      <c r="H14" s="230" t="s">
        <v>1592</v>
      </c>
      <c r="I14" s="230" t="s">
        <v>1592</v>
      </c>
      <c r="J14" s="159"/>
    </row>
    <row r="15" spans="1:10" x14ac:dyDescent="0.3">
      <c r="A15" s="246"/>
      <c r="B15" s="161"/>
      <c r="C15" s="245"/>
      <c r="D15" s="247"/>
      <c r="E15" s="247"/>
    </row>
  </sheetData>
  <sortState ref="A2:J14">
    <sortCondition ref="F2:F14"/>
  </sortState>
  <dataValidations count="3">
    <dataValidation type="list" allowBlank="1" showInputMessage="1" showErrorMessage="1" sqref="B2:B11 B13:B14">
      <formula1>Route_System</formula1>
    </dataValidation>
    <dataValidation type="list" allowBlank="1" showInputMessage="1" showErrorMessage="1" sqref="A2:A11 A13:A14">
      <formula1>ATP</formula1>
    </dataValidation>
    <dataValidation allowBlank="1" showErrorMessage="1" sqref="G5:I6"/>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'[4]ATIP DROP DOWNS'!#REF!</xm:f>
          </x14:formula1>
          <xm:sqref>A12:B12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I2"/>
  <sheetViews>
    <sheetView workbookViewId="0">
      <selection activeCell="A2" sqref="A2"/>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28.8" x14ac:dyDescent="0.3">
      <c r="A2" s="160">
        <v>2</v>
      </c>
      <c r="B2" s="170" t="s">
        <v>306</v>
      </c>
      <c r="C2" s="170">
        <v>72</v>
      </c>
      <c r="D2" s="230" t="s">
        <v>1513</v>
      </c>
      <c r="E2" s="162">
        <v>9412</v>
      </c>
      <c r="F2" s="186">
        <v>2018</v>
      </c>
      <c r="G2" s="163" t="s">
        <v>1516</v>
      </c>
      <c r="H2" s="230" t="s">
        <v>1592</v>
      </c>
      <c r="I2" s="230"/>
    </row>
  </sheetData>
  <dataValidations count="2">
    <dataValidation type="list" allowBlank="1" showInputMessage="1" showErrorMessage="1" sqref="B2">
      <formula1>Route_System</formula1>
    </dataValidation>
    <dataValidation type="list" allowBlank="1" showInputMessage="1" showErrorMessage="1" sqref="A2">
      <formula1>ATP</formula1>
    </dataValidation>
  </dataValidations>
  <pageMargins left="0.7" right="0.7" top="0.75" bottom="0.75" header="0.3" footer="0.3"/>
  <pageSetup orientation="portrait" horizontalDpi="4294967292"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dimension ref="A1:J31"/>
  <sheetViews>
    <sheetView workbookViewId="0">
      <selection activeCell="E35" sqref="E35"/>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10" s="227" customFormat="1" ht="46.8" x14ac:dyDescent="0.3">
      <c r="A1" s="275" t="s">
        <v>43</v>
      </c>
      <c r="B1" s="275" t="s">
        <v>44</v>
      </c>
      <c r="C1" s="275" t="s">
        <v>45</v>
      </c>
      <c r="D1" s="275" t="s">
        <v>47</v>
      </c>
      <c r="E1" s="275" t="s">
        <v>1448</v>
      </c>
      <c r="F1" s="275" t="s">
        <v>48</v>
      </c>
      <c r="G1" s="275" t="s">
        <v>51</v>
      </c>
      <c r="H1" s="275" t="s">
        <v>1590</v>
      </c>
      <c r="I1" s="275" t="s">
        <v>1591</v>
      </c>
    </row>
    <row r="2" spans="1:10" ht="14.4" customHeight="1" x14ac:dyDescent="0.3">
      <c r="A2" s="160">
        <v>3</v>
      </c>
      <c r="B2" s="170" t="s">
        <v>370</v>
      </c>
      <c r="C2" s="170">
        <v>169</v>
      </c>
      <c r="D2" s="160" t="s">
        <v>1509</v>
      </c>
      <c r="E2" s="171">
        <v>5265</v>
      </c>
      <c r="F2" s="218">
        <v>2017</v>
      </c>
      <c r="G2" s="232" t="s">
        <v>1517</v>
      </c>
      <c r="H2" s="282"/>
      <c r="I2" s="282"/>
    </row>
    <row r="3" spans="1:10" ht="14.4" customHeight="1" x14ac:dyDescent="0.3">
      <c r="A3" s="165">
        <v>3</v>
      </c>
      <c r="B3" s="177" t="s">
        <v>370</v>
      </c>
      <c r="C3" s="177">
        <v>71</v>
      </c>
      <c r="D3" s="165" t="s">
        <v>1459</v>
      </c>
      <c r="E3" s="167">
        <v>6852</v>
      </c>
      <c r="F3" s="194">
        <v>2020</v>
      </c>
      <c r="G3" s="168" t="s">
        <v>1460</v>
      </c>
      <c r="H3" s="230" t="s">
        <v>1592</v>
      </c>
      <c r="I3" s="230"/>
    </row>
    <row r="4" spans="1:10" ht="14.4" customHeight="1" x14ac:dyDescent="0.3">
      <c r="A4" s="160">
        <v>3</v>
      </c>
      <c r="B4" s="169" t="s">
        <v>275</v>
      </c>
      <c r="C4" s="169">
        <v>94</v>
      </c>
      <c r="D4" s="160" t="s">
        <v>1589</v>
      </c>
      <c r="E4" s="171">
        <v>86817</v>
      </c>
      <c r="F4" s="188">
        <v>2021</v>
      </c>
      <c r="G4" s="163" t="s">
        <v>1461</v>
      </c>
      <c r="H4" s="230" t="s">
        <v>1592</v>
      </c>
      <c r="I4" s="230"/>
    </row>
    <row r="5" spans="1:10" ht="14.4" customHeight="1" x14ac:dyDescent="0.3">
      <c r="A5" s="160">
        <v>3</v>
      </c>
      <c r="B5" s="169" t="s">
        <v>275</v>
      </c>
      <c r="C5" s="169">
        <v>94</v>
      </c>
      <c r="D5" s="160" t="s">
        <v>1589</v>
      </c>
      <c r="E5" s="171">
        <v>86818</v>
      </c>
      <c r="F5" s="188">
        <v>2021</v>
      </c>
      <c r="G5" s="163" t="s">
        <v>1462</v>
      </c>
      <c r="H5" s="230" t="s">
        <v>1592</v>
      </c>
      <c r="I5" s="230"/>
      <c r="J5" s="161"/>
    </row>
    <row r="6" spans="1:10" ht="14.4" customHeight="1" x14ac:dyDescent="0.3">
      <c r="A6" s="160">
        <v>3</v>
      </c>
      <c r="B6" s="170" t="s">
        <v>370</v>
      </c>
      <c r="C6" s="170">
        <v>10</v>
      </c>
      <c r="D6" s="160" t="s">
        <v>1457</v>
      </c>
      <c r="E6" s="162">
        <v>49009</v>
      </c>
      <c r="F6" s="189">
        <v>2022</v>
      </c>
      <c r="G6" s="163" t="s">
        <v>1458</v>
      </c>
      <c r="H6" s="230" t="s">
        <v>1592</v>
      </c>
      <c r="I6" s="230"/>
    </row>
    <row r="7" spans="1:10" ht="14.4" customHeight="1" x14ac:dyDescent="0.3">
      <c r="A7" s="160">
        <v>3</v>
      </c>
      <c r="B7" s="170" t="s">
        <v>306</v>
      </c>
      <c r="C7" s="170">
        <v>23</v>
      </c>
      <c r="D7" s="160" t="s">
        <v>1492</v>
      </c>
      <c r="E7" s="162">
        <v>9021</v>
      </c>
      <c r="F7" s="189">
        <v>2022</v>
      </c>
      <c r="G7" s="163" t="s">
        <v>1493</v>
      </c>
      <c r="H7" s="230" t="s">
        <v>1592</v>
      </c>
      <c r="I7" s="230"/>
    </row>
    <row r="8" spans="1:10" ht="14.4" customHeight="1" x14ac:dyDescent="0.3">
      <c r="A8" s="173">
        <v>3</v>
      </c>
      <c r="B8" s="174" t="s">
        <v>306</v>
      </c>
      <c r="C8" s="174">
        <v>23</v>
      </c>
      <c r="D8" s="173" t="s">
        <v>1492</v>
      </c>
      <c r="E8" s="175">
        <v>9022</v>
      </c>
      <c r="F8" s="189">
        <v>2022</v>
      </c>
      <c r="G8" s="163" t="s">
        <v>1494</v>
      </c>
      <c r="H8" s="230" t="s">
        <v>1592</v>
      </c>
      <c r="I8" s="230"/>
    </row>
    <row r="9" spans="1:10" ht="14.4" customHeight="1" x14ac:dyDescent="0.3">
      <c r="A9" s="173">
        <v>3</v>
      </c>
      <c r="B9" s="174" t="s">
        <v>306</v>
      </c>
      <c r="C9" s="174">
        <v>65</v>
      </c>
      <c r="D9" s="160" t="s">
        <v>1554</v>
      </c>
      <c r="E9" s="162">
        <v>6778</v>
      </c>
      <c r="F9" s="281">
        <v>2022</v>
      </c>
      <c r="G9" s="163" t="s">
        <v>1553</v>
      </c>
      <c r="H9" s="230" t="s">
        <v>1592</v>
      </c>
      <c r="I9" s="230"/>
    </row>
    <row r="10" spans="1:10" ht="14.4" customHeight="1" x14ac:dyDescent="0.3">
      <c r="A10" s="160">
        <v>3</v>
      </c>
      <c r="B10" s="169" t="s">
        <v>275</v>
      </c>
      <c r="C10" s="169">
        <v>94</v>
      </c>
      <c r="D10" s="160" t="s">
        <v>1468</v>
      </c>
      <c r="E10" s="162">
        <v>73876</v>
      </c>
      <c r="F10" s="190">
        <v>2023</v>
      </c>
      <c r="G10" s="163" t="s">
        <v>1442</v>
      </c>
      <c r="H10" s="230" t="s">
        <v>1592</v>
      </c>
      <c r="I10" s="230"/>
    </row>
    <row r="11" spans="1:10" ht="14.4" customHeight="1" x14ac:dyDescent="0.3">
      <c r="A11" s="165">
        <v>3</v>
      </c>
      <c r="B11" s="177" t="s">
        <v>306</v>
      </c>
      <c r="C11" s="177">
        <v>25</v>
      </c>
      <c r="D11" s="165" t="s">
        <v>1469</v>
      </c>
      <c r="E11" s="167">
        <v>71012</v>
      </c>
      <c r="F11" s="192">
        <v>2023</v>
      </c>
      <c r="G11" s="168" t="s">
        <v>1441</v>
      </c>
      <c r="H11" s="230" t="s">
        <v>1592</v>
      </c>
      <c r="I11" s="230"/>
    </row>
    <row r="12" spans="1:10" ht="14.4" customHeight="1" x14ac:dyDescent="0.3">
      <c r="A12" s="160">
        <v>3</v>
      </c>
      <c r="B12" s="177" t="s">
        <v>370</v>
      </c>
      <c r="C12" s="170">
        <v>1</v>
      </c>
      <c r="D12" s="160"/>
      <c r="E12" s="162">
        <v>5444</v>
      </c>
      <c r="F12" s="190">
        <v>2023</v>
      </c>
      <c r="G12" s="163" t="s">
        <v>1519</v>
      </c>
      <c r="H12" s="230" t="s">
        <v>1592</v>
      </c>
      <c r="I12" s="230"/>
      <c r="J12" s="161"/>
    </row>
    <row r="13" spans="1:10" ht="14.4" customHeight="1" x14ac:dyDescent="0.3">
      <c r="A13" s="160">
        <v>3</v>
      </c>
      <c r="B13" s="179" t="s">
        <v>275</v>
      </c>
      <c r="C13" s="169">
        <v>94</v>
      </c>
      <c r="D13" s="160"/>
      <c r="E13" s="162">
        <v>73875</v>
      </c>
      <c r="F13" s="190">
        <v>2023</v>
      </c>
      <c r="G13" s="163" t="s">
        <v>1523</v>
      </c>
      <c r="H13" s="230" t="s">
        <v>1592</v>
      </c>
      <c r="I13" s="230"/>
    </row>
    <row r="14" spans="1:10" ht="14.4" customHeight="1" x14ac:dyDescent="0.3">
      <c r="A14" s="160">
        <v>3</v>
      </c>
      <c r="B14" s="170" t="s">
        <v>370</v>
      </c>
      <c r="C14" s="170">
        <v>71</v>
      </c>
      <c r="D14" s="165"/>
      <c r="E14" s="233">
        <v>5907</v>
      </c>
      <c r="F14" s="210">
        <v>2024</v>
      </c>
      <c r="G14" s="168" t="s">
        <v>1496</v>
      </c>
      <c r="H14" s="230" t="s">
        <v>1592</v>
      </c>
      <c r="I14" s="230"/>
    </row>
    <row r="15" spans="1:10" ht="14.4" customHeight="1" x14ac:dyDescent="0.3">
      <c r="A15" s="160">
        <v>3</v>
      </c>
      <c r="B15" s="174" t="s">
        <v>370</v>
      </c>
      <c r="C15" s="177">
        <v>10</v>
      </c>
      <c r="D15" s="165" t="s">
        <v>1557</v>
      </c>
      <c r="E15" s="171" t="s">
        <v>1555</v>
      </c>
      <c r="F15" s="210">
        <v>2024</v>
      </c>
      <c r="G15" s="168" t="s">
        <v>1556</v>
      </c>
      <c r="H15" s="230" t="s">
        <v>1592</v>
      </c>
      <c r="I15" s="230"/>
    </row>
    <row r="16" spans="1:10" ht="14.4" customHeight="1" x14ac:dyDescent="0.3">
      <c r="A16" s="160">
        <v>3</v>
      </c>
      <c r="B16" s="179" t="s">
        <v>275</v>
      </c>
      <c r="C16" s="166">
        <v>94</v>
      </c>
      <c r="D16" s="165"/>
      <c r="E16" s="162">
        <v>6896</v>
      </c>
      <c r="F16" s="210">
        <v>2024</v>
      </c>
      <c r="G16" s="168" t="s">
        <v>1558</v>
      </c>
      <c r="H16" s="230" t="s">
        <v>1592</v>
      </c>
      <c r="I16" s="230"/>
    </row>
    <row r="17" spans="1:9" ht="14.4" customHeight="1" x14ac:dyDescent="0.3">
      <c r="A17" s="160">
        <v>3</v>
      </c>
      <c r="B17" s="179" t="s">
        <v>275</v>
      </c>
      <c r="C17" s="166">
        <v>94</v>
      </c>
      <c r="D17" s="165"/>
      <c r="E17" s="234">
        <v>73855</v>
      </c>
      <c r="F17" s="210">
        <v>2024</v>
      </c>
      <c r="G17" s="168" t="s">
        <v>1560</v>
      </c>
      <c r="H17" s="230" t="s">
        <v>1592</v>
      </c>
      <c r="I17" s="230"/>
    </row>
    <row r="18" spans="1:9" ht="14.4" customHeight="1" x14ac:dyDescent="0.3">
      <c r="A18" s="160">
        <v>3</v>
      </c>
      <c r="B18" s="179" t="s">
        <v>275</v>
      </c>
      <c r="C18" s="166">
        <v>94</v>
      </c>
      <c r="D18" s="165"/>
      <c r="E18" s="234">
        <v>73854</v>
      </c>
      <c r="F18" s="210">
        <v>2024</v>
      </c>
      <c r="G18" s="163" t="s">
        <v>1559</v>
      </c>
      <c r="H18" s="230" t="s">
        <v>1592</v>
      </c>
      <c r="I18" s="230"/>
    </row>
    <row r="19" spans="1:9" ht="14.4" customHeight="1" x14ac:dyDescent="0.3">
      <c r="A19" s="160">
        <v>3</v>
      </c>
      <c r="B19" s="169" t="s">
        <v>306</v>
      </c>
      <c r="C19" s="169">
        <v>101</v>
      </c>
      <c r="D19" s="165"/>
      <c r="E19" s="233">
        <v>71002</v>
      </c>
      <c r="F19" s="210">
        <v>2024</v>
      </c>
      <c r="G19" s="168" t="s">
        <v>1561</v>
      </c>
      <c r="H19" s="230" t="s">
        <v>1592</v>
      </c>
      <c r="I19" s="230"/>
    </row>
    <row r="20" spans="1:9" ht="14.4" customHeight="1" x14ac:dyDescent="0.3">
      <c r="A20" s="160">
        <v>3</v>
      </c>
      <c r="B20" s="170" t="s">
        <v>370</v>
      </c>
      <c r="C20" s="170">
        <v>71</v>
      </c>
      <c r="D20" s="165"/>
      <c r="E20" s="233">
        <v>5428</v>
      </c>
      <c r="F20" s="210">
        <v>2024</v>
      </c>
      <c r="G20" s="168" t="s">
        <v>1520</v>
      </c>
      <c r="H20" s="230" t="s">
        <v>1592</v>
      </c>
      <c r="I20" s="230"/>
    </row>
    <row r="21" spans="1:9" ht="14.4" customHeight="1" x14ac:dyDescent="0.3">
      <c r="A21" s="160">
        <v>3</v>
      </c>
      <c r="B21" s="169" t="s">
        <v>275</v>
      </c>
      <c r="C21" s="169">
        <v>94</v>
      </c>
      <c r="D21" s="165" t="s">
        <v>1468</v>
      </c>
      <c r="E21" s="233">
        <v>6870</v>
      </c>
      <c r="F21" s="213">
        <v>2025</v>
      </c>
      <c r="G21" s="168" t="s">
        <v>1521</v>
      </c>
      <c r="H21" s="230" t="s">
        <v>1592</v>
      </c>
      <c r="I21" s="230"/>
    </row>
    <row r="22" spans="1:9" ht="14.4" customHeight="1" x14ac:dyDescent="0.3">
      <c r="A22" s="160">
        <v>3</v>
      </c>
      <c r="B22" s="169" t="s">
        <v>275</v>
      </c>
      <c r="C22" s="169">
        <v>94</v>
      </c>
      <c r="D22" s="165" t="s">
        <v>1468</v>
      </c>
      <c r="E22" s="233">
        <v>6897</v>
      </c>
      <c r="F22" s="213">
        <v>2025</v>
      </c>
      <c r="G22" s="168" t="s">
        <v>1522</v>
      </c>
      <c r="H22" s="230" t="s">
        <v>1592</v>
      </c>
      <c r="I22" s="230"/>
    </row>
    <row r="23" spans="1:9" ht="14.4" customHeight="1" x14ac:dyDescent="0.3">
      <c r="A23" s="160">
        <v>3</v>
      </c>
      <c r="B23" s="169" t="s">
        <v>275</v>
      </c>
      <c r="C23" s="169">
        <v>94</v>
      </c>
      <c r="D23" s="165"/>
      <c r="E23" s="162">
        <v>73820</v>
      </c>
      <c r="F23" s="213">
        <v>2025</v>
      </c>
      <c r="G23" s="168" t="s">
        <v>1562</v>
      </c>
      <c r="H23" s="230" t="s">
        <v>1592</v>
      </c>
      <c r="I23" s="230"/>
    </row>
    <row r="24" spans="1:9" ht="14.4" customHeight="1" x14ac:dyDescent="0.3">
      <c r="A24" s="160">
        <v>3</v>
      </c>
      <c r="B24" s="169" t="s">
        <v>275</v>
      </c>
      <c r="C24" s="169">
        <v>94</v>
      </c>
      <c r="D24" s="165"/>
      <c r="E24" s="233">
        <v>73816</v>
      </c>
      <c r="F24" s="213">
        <v>2025</v>
      </c>
      <c r="G24" s="168" t="s">
        <v>1563</v>
      </c>
      <c r="H24" s="230" t="s">
        <v>1592</v>
      </c>
      <c r="I24" s="230"/>
    </row>
    <row r="25" spans="1:9" ht="14.4" customHeight="1" x14ac:dyDescent="0.3">
      <c r="A25" s="160">
        <v>3</v>
      </c>
      <c r="B25" s="169" t="s">
        <v>275</v>
      </c>
      <c r="C25" s="169">
        <v>94</v>
      </c>
      <c r="D25" s="160"/>
      <c r="E25" s="171">
        <v>73856</v>
      </c>
      <c r="F25" s="214">
        <v>2025</v>
      </c>
      <c r="G25" s="163" t="s">
        <v>1564</v>
      </c>
      <c r="H25" s="230" t="s">
        <v>1592</v>
      </c>
      <c r="I25" s="230"/>
    </row>
    <row r="26" spans="1:9" ht="14.4" customHeight="1" x14ac:dyDescent="0.3">
      <c r="A26" s="160">
        <v>3</v>
      </c>
      <c r="B26" s="170" t="s">
        <v>306</v>
      </c>
      <c r="C26" s="170">
        <v>15</v>
      </c>
      <c r="D26" s="235" t="s">
        <v>1571</v>
      </c>
      <c r="E26" s="171" t="s">
        <v>1573</v>
      </c>
      <c r="F26" s="220">
        <v>2026</v>
      </c>
      <c r="G26" s="163" t="s">
        <v>1565</v>
      </c>
      <c r="H26" s="230" t="s">
        <v>1592</v>
      </c>
      <c r="I26" s="230"/>
    </row>
    <row r="27" spans="1:9" ht="14.4" customHeight="1" x14ac:dyDescent="0.3">
      <c r="A27" s="160">
        <v>3</v>
      </c>
      <c r="B27" s="170" t="s">
        <v>306</v>
      </c>
      <c r="C27" s="170">
        <v>15</v>
      </c>
      <c r="D27" s="235" t="s">
        <v>1572</v>
      </c>
      <c r="E27" s="171">
        <v>73027</v>
      </c>
      <c r="F27" s="220">
        <v>2026</v>
      </c>
      <c r="G27" s="163" t="s">
        <v>1566</v>
      </c>
      <c r="H27" s="230" t="s">
        <v>1592</v>
      </c>
      <c r="I27" s="230"/>
    </row>
    <row r="28" spans="1:9" ht="14.4" customHeight="1" x14ac:dyDescent="0.3">
      <c r="A28" s="160">
        <v>3</v>
      </c>
      <c r="B28" s="170" t="s">
        <v>306</v>
      </c>
      <c r="C28" s="170">
        <v>15</v>
      </c>
      <c r="D28" s="235" t="s">
        <v>1572</v>
      </c>
      <c r="E28" s="171">
        <v>73028</v>
      </c>
      <c r="F28" s="220">
        <v>2026</v>
      </c>
      <c r="G28" s="163" t="s">
        <v>1567</v>
      </c>
      <c r="H28" s="230" t="s">
        <v>1592</v>
      </c>
      <c r="I28" s="230"/>
    </row>
    <row r="29" spans="1:9" ht="14.4" customHeight="1" x14ac:dyDescent="0.3">
      <c r="A29" s="160">
        <v>3</v>
      </c>
      <c r="B29" s="169" t="s">
        <v>275</v>
      </c>
      <c r="C29" s="169">
        <v>94</v>
      </c>
      <c r="D29" s="235" t="s">
        <v>1468</v>
      </c>
      <c r="E29" s="162">
        <v>73805</v>
      </c>
      <c r="F29" s="220">
        <v>2026</v>
      </c>
      <c r="G29" s="163" t="s">
        <v>1568</v>
      </c>
      <c r="H29" s="230" t="s">
        <v>1592</v>
      </c>
      <c r="I29" s="230"/>
    </row>
    <row r="30" spans="1:9" ht="14.4" customHeight="1" x14ac:dyDescent="0.3">
      <c r="A30" s="160">
        <v>3</v>
      </c>
      <c r="B30" s="169" t="s">
        <v>275</v>
      </c>
      <c r="C30" s="169">
        <v>94</v>
      </c>
      <c r="D30" s="235" t="s">
        <v>1468</v>
      </c>
      <c r="E30" s="162">
        <v>73809</v>
      </c>
      <c r="F30" s="229">
        <v>2026</v>
      </c>
      <c r="G30" s="278" t="s">
        <v>1569</v>
      </c>
      <c r="H30" s="230" t="s">
        <v>1592</v>
      </c>
      <c r="I30" s="230"/>
    </row>
    <row r="31" spans="1:9" ht="14.4" customHeight="1" x14ac:dyDescent="0.3">
      <c r="A31" s="165">
        <v>3</v>
      </c>
      <c r="B31" s="166" t="s">
        <v>275</v>
      </c>
      <c r="C31" s="166">
        <v>94</v>
      </c>
      <c r="D31" s="236" t="s">
        <v>1468</v>
      </c>
      <c r="E31" s="167">
        <v>73811</v>
      </c>
      <c r="F31" s="220">
        <v>2026</v>
      </c>
      <c r="G31" s="168" t="s">
        <v>1570</v>
      </c>
      <c r="H31" s="231" t="s">
        <v>1592</v>
      </c>
      <c r="I31" s="231"/>
    </row>
  </sheetData>
  <sortState ref="A2:I31">
    <sortCondition ref="F2:F31"/>
  </sortState>
  <dataValidations count="4">
    <dataValidation type="list" allowBlank="1" showInputMessage="1" showErrorMessage="1" sqref="B2 B4:B31">
      <formula1>Route_System</formula1>
    </dataValidation>
    <dataValidation type="list" allowBlank="1" showInputMessage="1" showErrorMessage="1" sqref="A2 A4:A31">
      <formula1>ATP</formula1>
    </dataValidation>
    <dataValidation allowBlank="1" showErrorMessage="1" sqref="G8:I10"/>
    <dataValidation allowBlank="1" showErrorMessage="1" promptTitle="REFERENCE POINTS" prompt="Please enter reference points in the following format: xxx+xx.xxx" sqref="G14:I24"/>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'[4]ATIP DROP DOWNS'!#REF!</xm:f>
          </x14:formula1>
          <xm:sqref>A3:B3</xm:sqref>
        </x14:dataValidation>
      </x14:dataValidation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I4"/>
  <sheetViews>
    <sheetView workbookViewId="0">
      <selection activeCell="B8" sqref="B8"/>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28.8" x14ac:dyDescent="0.3">
      <c r="A2" s="239">
        <v>4</v>
      </c>
      <c r="B2" s="169" t="s">
        <v>275</v>
      </c>
      <c r="C2" s="169">
        <v>94</v>
      </c>
      <c r="D2" s="160" t="s">
        <v>1452</v>
      </c>
      <c r="E2" s="172" t="s">
        <v>1450</v>
      </c>
      <c r="F2" s="185">
        <v>2018</v>
      </c>
      <c r="G2" s="163" t="s">
        <v>1533</v>
      </c>
      <c r="H2" s="230" t="s">
        <v>1592</v>
      </c>
      <c r="I2" s="230"/>
    </row>
    <row r="3" spans="1:9" ht="27.6" x14ac:dyDescent="0.3">
      <c r="A3" s="160">
        <v>4</v>
      </c>
      <c r="B3" s="169" t="s">
        <v>275</v>
      </c>
      <c r="C3" s="169">
        <v>94</v>
      </c>
      <c r="D3" s="160"/>
      <c r="E3" s="171" t="s">
        <v>1538</v>
      </c>
      <c r="F3" s="210">
        <v>2024</v>
      </c>
      <c r="G3" s="163" t="s">
        <v>1524</v>
      </c>
      <c r="H3" s="230" t="s">
        <v>1592</v>
      </c>
      <c r="I3" s="230"/>
    </row>
    <row r="4" spans="1:9" x14ac:dyDescent="0.3">
      <c r="A4" s="246"/>
      <c r="B4" s="161"/>
      <c r="C4" s="245"/>
      <c r="D4" s="247"/>
      <c r="E4" s="247"/>
      <c r="F4" s="247"/>
    </row>
  </sheetData>
  <dataValidations count="2">
    <dataValidation type="list" allowBlank="1" showInputMessage="1" showErrorMessage="1" sqref="B2">
      <formula1>Route_System</formula1>
    </dataValidation>
    <dataValidation type="list" allowBlank="1" showInputMessage="1" showErrorMessage="1" sqref="A2">
      <formula1>ATP</formula1>
    </dataValidation>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'[4]ATIP DROP DOWNS'!#REF!</xm:f>
          </x14:formula1>
          <xm:sqref>B3</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A1:I21"/>
  <sheetViews>
    <sheetView workbookViewId="0">
      <selection activeCell="A9" sqref="A9:XFD9"/>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41.4" x14ac:dyDescent="0.3">
      <c r="A2" s="160" t="s">
        <v>173</v>
      </c>
      <c r="B2" s="169" t="s">
        <v>275</v>
      </c>
      <c r="C2" s="169">
        <v>94</v>
      </c>
      <c r="D2" s="160" t="s">
        <v>1444</v>
      </c>
      <c r="E2" s="171" t="s">
        <v>1456</v>
      </c>
      <c r="F2" s="187">
        <v>2019</v>
      </c>
      <c r="G2" s="163" t="s">
        <v>1514</v>
      </c>
      <c r="H2" s="230" t="s">
        <v>1592</v>
      </c>
      <c r="I2" s="230"/>
    </row>
    <row r="3" spans="1:9" ht="43.2" x14ac:dyDescent="0.3">
      <c r="A3" s="160" t="s">
        <v>173</v>
      </c>
      <c r="B3" s="169" t="s">
        <v>275</v>
      </c>
      <c r="C3" s="169" t="s">
        <v>1443</v>
      </c>
      <c r="D3" s="160" t="s">
        <v>1507</v>
      </c>
      <c r="E3" s="162">
        <v>5983</v>
      </c>
      <c r="F3" s="193">
        <v>2020</v>
      </c>
      <c r="G3" s="163" t="s">
        <v>1508</v>
      </c>
      <c r="H3" s="230" t="s">
        <v>1592</v>
      </c>
      <c r="I3" s="230" t="s">
        <v>1592</v>
      </c>
    </row>
    <row r="4" spans="1:9" x14ac:dyDescent="0.3">
      <c r="A4" s="173" t="s">
        <v>173</v>
      </c>
      <c r="B4" s="174" t="s">
        <v>275</v>
      </c>
      <c r="C4" s="174">
        <v>494</v>
      </c>
      <c r="D4" s="173"/>
      <c r="E4" s="171">
        <v>19865</v>
      </c>
      <c r="F4" s="195">
        <v>2020</v>
      </c>
      <c r="G4" s="176" t="s">
        <v>1485</v>
      </c>
      <c r="H4" s="230" t="s">
        <v>1592</v>
      </c>
      <c r="I4" s="230"/>
    </row>
    <row r="5" spans="1:9" ht="27.6" x14ac:dyDescent="0.3">
      <c r="A5" s="173" t="s">
        <v>173</v>
      </c>
      <c r="B5" s="179" t="s">
        <v>275</v>
      </c>
      <c r="C5" s="179">
        <v>394</v>
      </c>
      <c r="D5" s="173"/>
      <c r="E5" s="180" t="s">
        <v>1541</v>
      </c>
      <c r="F5" s="193">
        <v>2020</v>
      </c>
      <c r="G5" s="176" t="s">
        <v>1530</v>
      </c>
      <c r="H5" s="230" t="s">
        <v>1592</v>
      </c>
      <c r="I5" s="230" t="s">
        <v>1592</v>
      </c>
    </row>
    <row r="6" spans="1:9" x14ac:dyDescent="0.3">
      <c r="A6" s="173" t="s">
        <v>173</v>
      </c>
      <c r="B6" s="174" t="s">
        <v>306</v>
      </c>
      <c r="C6" s="174">
        <v>65</v>
      </c>
      <c r="D6" s="173" t="s">
        <v>1506</v>
      </c>
      <c r="E6" s="175">
        <v>2440</v>
      </c>
      <c r="F6" s="205">
        <v>2021</v>
      </c>
      <c r="G6" s="176" t="s">
        <v>1486</v>
      </c>
      <c r="H6" s="230" t="s">
        <v>1592</v>
      </c>
      <c r="I6" s="230" t="s">
        <v>1592</v>
      </c>
    </row>
    <row r="7" spans="1:9" ht="27.6" x14ac:dyDescent="0.3">
      <c r="A7" s="160" t="s">
        <v>173</v>
      </c>
      <c r="B7" s="170" t="s">
        <v>306</v>
      </c>
      <c r="C7" s="170">
        <v>55</v>
      </c>
      <c r="D7" s="160" t="s">
        <v>1487</v>
      </c>
      <c r="E7" s="171" t="s">
        <v>1588</v>
      </c>
      <c r="F7" s="188">
        <v>2021</v>
      </c>
      <c r="G7" s="163" t="s">
        <v>1488</v>
      </c>
      <c r="H7" s="230" t="s">
        <v>1592</v>
      </c>
      <c r="I7" s="230" t="s">
        <v>1592</v>
      </c>
    </row>
    <row r="8" spans="1:9" x14ac:dyDescent="0.3">
      <c r="A8" s="160" t="s">
        <v>173</v>
      </c>
      <c r="B8" s="170" t="s">
        <v>306</v>
      </c>
      <c r="C8" s="170">
        <v>55</v>
      </c>
      <c r="D8" s="160"/>
      <c r="E8" s="162">
        <v>4190</v>
      </c>
      <c r="F8" s="189">
        <v>2022</v>
      </c>
      <c r="G8" s="163" t="s">
        <v>1484</v>
      </c>
      <c r="H8" s="230" t="s">
        <v>1592</v>
      </c>
      <c r="I8" s="230"/>
    </row>
    <row r="9" spans="1:9" x14ac:dyDescent="0.3">
      <c r="A9" s="160" t="s">
        <v>173</v>
      </c>
      <c r="B9" s="169" t="s">
        <v>275</v>
      </c>
      <c r="C9" s="169">
        <v>94</v>
      </c>
      <c r="D9" s="160"/>
      <c r="E9" s="171">
        <v>62847</v>
      </c>
      <c r="F9" s="189">
        <v>2022</v>
      </c>
      <c r="G9" s="163" t="s">
        <v>1500</v>
      </c>
      <c r="H9" s="230" t="s">
        <v>1592</v>
      </c>
      <c r="I9" s="230"/>
    </row>
    <row r="10" spans="1:9" x14ac:dyDescent="0.3">
      <c r="A10" s="165" t="s">
        <v>173</v>
      </c>
      <c r="B10" s="177" t="s">
        <v>306</v>
      </c>
      <c r="C10" s="177">
        <v>610</v>
      </c>
      <c r="D10" s="165"/>
      <c r="E10" s="171">
        <v>27239</v>
      </c>
      <c r="F10" s="192">
        <v>2023</v>
      </c>
      <c r="G10" s="168" t="s">
        <v>1489</v>
      </c>
      <c r="H10" s="230" t="s">
        <v>1592</v>
      </c>
      <c r="I10" s="230"/>
    </row>
    <row r="11" spans="1:9" ht="28.8" x14ac:dyDescent="0.3">
      <c r="A11" s="160" t="s">
        <v>173</v>
      </c>
      <c r="B11" s="169" t="s">
        <v>275</v>
      </c>
      <c r="C11" s="169">
        <v>494</v>
      </c>
      <c r="D11" s="160"/>
      <c r="E11" s="171" t="s">
        <v>1498</v>
      </c>
      <c r="F11" s="190">
        <v>2023</v>
      </c>
      <c r="G11" s="163" t="s">
        <v>1499</v>
      </c>
      <c r="H11" s="230" t="s">
        <v>1592</v>
      </c>
      <c r="I11" s="230"/>
    </row>
    <row r="12" spans="1:9" ht="41.4" x14ac:dyDescent="0.3">
      <c r="A12" s="160" t="s">
        <v>173</v>
      </c>
      <c r="B12" s="170" t="s">
        <v>306</v>
      </c>
      <c r="C12" s="170">
        <v>7</v>
      </c>
      <c r="D12" s="160"/>
      <c r="E12" s="171" t="s">
        <v>1537</v>
      </c>
      <c r="F12" s="190">
        <v>2023</v>
      </c>
      <c r="G12" s="163" t="s">
        <v>1467</v>
      </c>
      <c r="H12" s="230" t="s">
        <v>1592</v>
      </c>
      <c r="I12" s="230"/>
    </row>
    <row r="13" spans="1:9" ht="27.6" x14ac:dyDescent="0.3">
      <c r="A13" s="160" t="s">
        <v>173</v>
      </c>
      <c r="B13" s="170" t="s">
        <v>306</v>
      </c>
      <c r="C13" s="170">
        <v>36</v>
      </c>
      <c r="D13" s="160"/>
      <c r="E13" s="171" t="s">
        <v>1502</v>
      </c>
      <c r="F13" s="190">
        <v>2023</v>
      </c>
      <c r="G13" s="278" t="s">
        <v>1501</v>
      </c>
      <c r="H13" s="171" t="s">
        <v>1592</v>
      </c>
      <c r="I13" s="171"/>
    </row>
    <row r="14" spans="1:9" ht="28.8" x14ac:dyDescent="0.3">
      <c r="A14" s="160" t="s">
        <v>173</v>
      </c>
      <c r="B14" s="170" t="s">
        <v>370</v>
      </c>
      <c r="C14" s="170">
        <v>10</v>
      </c>
      <c r="D14" s="160"/>
      <c r="E14" s="171" t="s">
        <v>1449</v>
      </c>
      <c r="F14" s="210">
        <v>2024</v>
      </c>
      <c r="G14" s="278" t="s">
        <v>1543</v>
      </c>
      <c r="H14" s="230" t="s">
        <v>1592</v>
      </c>
      <c r="I14" s="230"/>
    </row>
    <row r="15" spans="1:9" x14ac:dyDescent="0.3">
      <c r="A15" s="160" t="s">
        <v>173</v>
      </c>
      <c r="B15" s="170" t="s">
        <v>306</v>
      </c>
      <c r="C15" s="170">
        <v>55</v>
      </c>
      <c r="D15" s="160"/>
      <c r="E15" s="171">
        <v>5891</v>
      </c>
      <c r="F15" s="210">
        <v>2024</v>
      </c>
      <c r="G15" s="278" t="s">
        <v>1548</v>
      </c>
      <c r="H15" s="230" t="s">
        <v>1592</v>
      </c>
      <c r="I15" s="230"/>
    </row>
    <row r="16" spans="1:9" x14ac:dyDescent="0.3">
      <c r="A16" s="160" t="s">
        <v>173</v>
      </c>
      <c r="B16" s="169" t="s">
        <v>275</v>
      </c>
      <c r="C16" s="169">
        <v>94</v>
      </c>
      <c r="D16" s="160"/>
      <c r="E16" s="162">
        <v>62813</v>
      </c>
      <c r="F16" s="210">
        <v>2024</v>
      </c>
      <c r="G16" s="278" t="s">
        <v>1503</v>
      </c>
      <c r="H16" s="230" t="s">
        <v>1592</v>
      </c>
      <c r="I16" s="230"/>
    </row>
    <row r="17" spans="1:9" x14ac:dyDescent="0.3">
      <c r="A17" s="160" t="s">
        <v>173</v>
      </c>
      <c r="B17" s="170"/>
      <c r="C17" s="170"/>
      <c r="D17" s="160"/>
      <c r="E17" s="171">
        <v>9044</v>
      </c>
      <c r="F17" s="210">
        <v>2024</v>
      </c>
      <c r="G17" s="278" t="s">
        <v>1549</v>
      </c>
      <c r="H17" s="230" t="s">
        <v>1592</v>
      </c>
      <c r="I17" s="230"/>
    </row>
    <row r="18" spans="1:9" x14ac:dyDescent="0.3">
      <c r="A18" s="160" t="s">
        <v>173</v>
      </c>
      <c r="B18" s="170" t="s">
        <v>306</v>
      </c>
      <c r="C18" s="170">
        <v>999</v>
      </c>
      <c r="D18" s="160"/>
      <c r="E18" s="171">
        <v>27855</v>
      </c>
      <c r="F18" s="210">
        <v>2024</v>
      </c>
      <c r="G18" s="278" t="s">
        <v>1544</v>
      </c>
      <c r="H18" s="230" t="s">
        <v>1592</v>
      </c>
      <c r="I18" s="230"/>
    </row>
    <row r="19" spans="1:9" ht="27.6" x14ac:dyDescent="0.3">
      <c r="A19" s="160" t="s">
        <v>173</v>
      </c>
      <c r="B19" s="170" t="s">
        <v>306</v>
      </c>
      <c r="C19" s="170">
        <v>13</v>
      </c>
      <c r="D19" s="160"/>
      <c r="E19" s="171" t="s">
        <v>1534</v>
      </c>
      <c r="F19" s="213">
        <v>2025</v>
      </c>
      <c r="G19" s="278" t="s">
        <v>1545</v>
      </c>
      <c r="H19" s="230" t="s">
        <v>1592</v>
      </c>
      <c r="I19" s="230"/>
    </row>
    <row r="20" spans="1:9" x14ac:dyDescent="0.3">
      <c r="A20" s="160" t="s">
        <v>173</v>
      </c>
      <c r="B20" s="169" t="s">
        <v>275</v>
      </c>
      <c r="C20" s="169">
        <v>394</v>
      </c>
      <c r="D20" s="160"/>
      <c r="E20" s="162">
        <v>27831</v>
      </c>
      <c r="F20" s="213">
        <v>2025</v>
      </c>
      <c r="G20" s="278" t="s">
        <v>1529</v>
      </c>
      <c r="H20" s="160" t="s">
        <v>1592</v>
      </c>
      <c r="I20" s="160" t="s">
        <v>1592</v>
      </c>
    </row>
    <row r="21" spans="1:9" ht="28.8" x14ac:dyDescent="0.3">
      <c r="A21" s="160" t="s">
        <v>173</v>
      </c>
      <c r="B21" s="170" t="s">
        <v>306</v>
      </c>
      <c r="C21" s="170">
        <v>77</v>
      </c>
      <c r="D21" s="160"/>
      <c r="E21" s="171" t="s">
        <v>1547</v>
      </c>
      <c r="F21" s="229">
        <v>2026</v>
      </c>
      <c r="G21" s="278" t="s">
        <v>1546</v>
      </c>
      <c r="H21" s="230" t="s">
        <v>1592</v>
      </c>
      <c r="I21" s="230"/>
    </row>
  </sheetData>
  <sortState ref="A2:I21">
    <sortCondition ref="F2:F21"/>
  </sortState>
  <dataValidations count="2">
    <dataValidation type="list" allowBlank="1" showInputMessage="1" showErrorMessage="1" sqref="B2:B3 B7:B13 B15:B17 B19:B21">
      <formula1>Route_System</formula1>
    </dataValidation>
    <dataValidation type="list" allowBlank="1" showInputMessage="1" showErrorMessage="1" sqref="A2:A3 A7:A13 A15:A17 A19:A21">
      <formula1>ATP</formula1>
    </dataValidation>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'[6]DROP DOWNS'!#REF!</xm:f>
          </x14:formula1>
          <xm:sqref>F2</xm:sqref>
        </x14:dataValidation>
        <x14:dataValidation type="list" allowBlank="1" showInputMessage="1" showErrorMessage="1">
          <x14:formula1>
            <xm:f>'[2]ATIP DROP DOWNS'!#REF!</xm:f>
          </x14:formula1>
          <xm:sqref>A18:B18</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4"/>
  <dimension ref="A1:I16"/>
  <sheetViews>
    <sheetView workbookViewId="0">
      <selection activeCell="G18" sqref="G18"/>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28.8" x14ac:dyDescent="0.3">
      <c r="A2" s="160">
        <v>6</v>
      </c>
      <c r="B2" s="170" t="s">
        <v>370</v>
      </c>
      <c r="C2" s="170">
        <v>63</v>
      </c>
      <c r="D2" s="160" t="s">
        <v>1511</v>
      </c>
      <c r="E2" s="162">
        <v>9040</v>
      </c>
      <c r="F2" s="186">
        <v>2018</v>
      </c>
      <c r="G2" s="163" t="s">
        <v>1512</v>
      </c>
      <c r="H2" s="230" t="s">
        <v>1592</v>
      </c>
      <c r="I2" s="230"/>
    </row>
    <row r="3" spans="1:9" ht="28.8" x14ac:dyDescent="0.3">
      <c r="A3" s="165">
        <v>6</v>
      </c>
      <c r="B3" s="166" t="s">
        <v>275</v>
      </c>
      <c r="C3" s="166">
        <v>90</v>
      </c>
      <c r="D3" s="165" t="s">
        <v>1454</v>
      </c>
      <c r="E3" s="184" t="s">
        <v>1455</v>
      </c>
      <c r="F3" s="194">
        <v>2020</v>
      </c>
      <c r="G3" s="168" t="s">
        <v>1453</v>
      </c>
      <c r="H3" s="230" t="s">
        <v>1592</v>
      </c>
      <c r="I3" s="230"/>
    </row>
    <row r="4" spans="1:9" ht="41.4" x14ac:dyDescent="0.3">
      <c r="A4" s="160">
        <v>6</v>
      </c>
      <c r="B4" s="169" t="s">
        <v>275</v>
      </c>
      <c r="C4" s="169">
        <v>90</v>
      </c>
      <c r="D4" s="160" t="s">
        <v>1463</v>
      </c>
      <c r="E4" s="171" t="s">
        <v>1535</v>
      </c>
      <c r="F4" s="188">
        <v>2021</v>
      </c>
      <c r="G4" s="163" t="s">
        <v>1464</v>
      </c>
      <c r="H4" s="230" t="s">
        <v>1592</v>
      </c>
      <c r="I4" s="230"/>
    </row>
    <row r="5" spans="1:9" x14ac:dyDescent="0.3">
      <c r="A5" s="160">
        <v>6</v>
      </c>
      <c r="B5" s="169" t="s">
        <v>275</v>
      </c>
      <c r="C5" s="169">
        <v>90</v>
      </c>
      <c r="D5" s="160" t="s">
        <v>1495</v>
      </c>
      <c r="E5" s="171">
        <v>9180</v>
      </c>
      <c r="F5" s="188">
        <v>2021</v>
      </c>
      <c r="G5" s="163" t="s">
        <v>1497</v>
      </c>
      <c r="H5" s="230" t="s">
        <v>1592</v>
      </c>
      <c r="I5" s="230"/>
    </row>
    <row r="6" spans="1:9" ht="27.6" x14ac:dyDescent="0.3">
      <c r="A6" s="173">
        <v>6</v>
      </c>
      <c r="B6" s="179" t="s">
        <v>275</v>
      </c>
      <c r="C6" s="179">
        <v>90</v>
      </c>
      <c r="D6" s="173" t="s">
        <v>1445</v>
      </c>
      <c r="E6" s="180" t="s">
        <v>1536</v>
      </c>
      <c r="F6" s="191">
        <v>2023</v>
      </c>
      <c r="G6" s="176" t="s">
        <v>1466</v>
      </c>
      <c r="H6" s="230" t="s">
        <v>1592</v>
      </c>
      <c r="I6" s="230"/>
    </row>
    <row r="7" spans="1:9" x14ac:dyDescent="0.3">
      <c r="A7" s="160">
        <v>6</v>
      </c>
      <c r="B7" s="169" t="s">
        <v>275</v>
      </c>
      <c r="C7" s="169">
        <v>90</v>
      </c>
      <c r="D7" s="160" t="s">
        <v>1445</v>
      </c>
      <c r="E7" s="171">
        <v>9179</v>
      </c>
      <c r="F7" s="190">
        <v>2023</v>
      </c>
      <c r="G7" s="163" t="s">
        <v>1574</v>
      </c>
      <c r="H7" s="230" t="s">
        <v>1592</v>
      </c>
      <c r="I7" s="230"/>
    </row>
    <row r="8" spans="1:9" x14ac:dyDescent="0.3">
      <c r="A8" s="160">
        <v>6</v>
      </c>
      <c r="B8" s="170" t="s">
        <v>370</v>
      </c>
      <c r="C8" s="170">
        <v>61</v>
      </c>
      <c r="D8" s="160" t="s">
        <v>1445</v>
      </c>
      <c r="E8" s="162">
        <v>6776</v>
      </c>
      <c r="F8" s="190">
        <v>2023</v>
      </c>
      <c r="G8" s="163" t="s">
        <v>1446</v>
      </c>
      <c r="H8" s="230" t="s">
        <v>1592</v>
      </c>
      <c r="I8" s="230"/>
    </row>
    <row r="9" spans="1:9" ht="27.6" x14ac:dyDescent="0.3">
      <c r="A9" s="160">
        <v>6</v>
      </c>
      <c r="B9" s="170" t="s">
        <v>370</v>
      </c>
      <c r="C9" s="170">
        <v>61</v>
      </c>
      <c r="D9" s="160" t="s">
        <v>1465</v>
      </c>
      <c r="E9" s="171" t="s">
        <v>1539</v>
      </c>
      <c r="F9" s="210">
        <v>2024</v>
      </c>
      <c r="G9" s="163" t="s">
        <v>1490</v>
      </c>
      <c r="H9" s="230" t="s">
        <v>1592</v>
      </c>
      <c r="I9" s="230"/>
    </row>
    <row r="10" spans="1:9" x14ac:dyDescent="0.3">
      <c r="A10" s="160">
        <v>6</v>
      </c>
      <c r="B10" s="169" t="s">
        <v>275</v>
      </c>
      <c r="C10" s="169">
        <v>90</v>
      </c>
      <c r="D10" s="160" t="s">
        <v>1445</v>
      </c>
      <c r="E10" s="171">
        <v>6869</v>
      </c>
      <c r="F10" s="210">
        <v>2024</v>
      </c>
      <c r="G10" s="163" t="s">
        <v>1580</v>
      </c>
      <c r="H10" s="230" t="s">
        <v>1592</v>
      </c>
      <c r="I10" s="230"/>
    </row>
    <row r="11" spans="1:9" x14ac:dyDescent="0.3">
      <c r="A11" s="160">
        <v>6</v>
      </c>
      <c r="B11" s="170" t="s">
        <v>370</v>
      </c>
      <c r="C11" s="170">
        <v>218</v>
      </c>
      <c r="D11" s="160" t="s">
        <v>1445</v>
      </c>
      <c r="E11" s="162">
        <v>9201</v>
      </c>
      <c r="F11" s="210">
        <v>2024</v>
      </c>
      <c r="G11" s="163" t="s">
        <v>1479</v>
      </c>
      <c r="H11" s="230" t="s">
        <v>1592</v>
      </c>
      <c r="I11" s="230"/>
    </row>
    <row r="12" spans="1:9" x14ac:dyDescent="0.3">
      <c r="A12" s="160">
        <v>6</v>
      </c>
      <c r="B12" s="170" t="s">
        <v>370</v>
      </c>
      <c r="C12" s="170">
        <v>218</v>
      </c>
      <c r="D12" s="160" t="s">
        <v>1445</v>
      </c>
      <c r="E12" s="162">
        <v>50803</v>
      </c>
      <c r="F12" s="210">
        <v>2024</v>
      </c>
      <c r="G12" s="163" t="s">
        <v>1480</v>
      </c>
      <c r="H12" s="230" t="s">
        <v>1592</v>
      </c>
      <c r="I12" s="230"/>
    </row>
    <row r="13" spans="1:9" x14ac:dyDescent="0.3">
      <c r="A13" s="165">
        <v>6</v>
      </c>
      <c r="B13" s="170" t="s">
        <v>370</v>
      </c>
      <c r="C13" s="177">
        <v>52</v>
      </c>
      <c r="D13" s="165"/>
      <c r="E13" s="234">
        <v>9414</v>
      </c>
      <c r="F13" s="214">
        <v>2025</v>
      </c>
      <c r="G13" s="168" t="s">
        <v>1526</v>
      </c>
      <c r="H13" s="230" t="s">
        <v>1592</v>
      </c>
      <c r="I13" s="230"/>
    </row>
    <row r="14" spans="1:9" ht="28.8" x14ac:dyDescent="0.3">
      <c r="A14" s="165">
        <v>6</v>
      </c>
      <c r="B14" s="170" t="s">
        <v>370</v>
      </c>
      <c r="C14" s="177">
        <v>61</v>
      </c>
      <c r="D14" s="235" t="s">
        <v>1504</v>
      </c>
      <c r="E14" s="162">
        <v>6483</v>
      </c>
      <c r="F14" s="214">
        <v>2025</v>
      </c>
      <c r="G14" s="168" t="s">
        <v>1505</v>
      </c>
      <c r="H14" s="230" t="s">
        <v>1592</v>
      </c>
      <c r="I14" s="230" t="s">
        <v>1592</v>
      </c>
    </row>
    <row r="15" spans="1:9" x14ac:dyDescent="0.3">
      <c r="A15" s="165">
        <v>6</v>
      </c>
      <c r="B15" s="170" t="s">
        <v>306</v>
      </c>
      <c r="C15" s="177">
        <v>105</v>
      </c>
      <c r="D15" s="236"/>
      <c r="E15" s="234">
        <v>9183</v>
      </c>
      <c r="F15" s="214">
        <v>2025</v>
      </c>
      <c r="G15" s="168" t="s">
        <v>1527</v>
      </c>
      <c r="H15" s="230" t="s">
        <v>1592</v>
      </c>
      <c r="I15" s="230"/>
    </row>
    <row r="16" spans="1:9" x14ac:dyDescent="0.3">
      <c r="A16" s="165">
        <v>6</v>
      </c>
      <c r="B16" s="177" t="s">
        <v>370</v>
      </c>
      <c r="C16" s="177">
        <v>218</v>
      </c>
      <c r="D16" s="236"/>
      <c r="E16" s="234">
        <v>50804</v>
      </c>
      <c r="F16" s="214">
        <v>2025</v>
      </c>
      <c r="G16" s="168" t="s">
        <v>1528</v>
      </c>
      <c r="H16" s="230" t="s">
        <v>1592</v>
      </c>
      <c r="I16" s="230"/>
    </row>
  </sheetData>
  <sortState ref="A2:I16">
    <sortCondition ref="F2:F16"/>
  </sortState>
  <dataValidations count="4">
    <dataValidation type="list" allowBlank="1" showInputMessage="1" showErrorMessage="1" sqref="B2 B4:B6 B8 B11:B16">
      <formula1>Route_System</formula1>
    </dataValidation>
    <dataValidation type="list" allowBlank="1" showInputMessage="1" showErrorMessage="1" sqref="A2 A4:A6 A8 A11:A16">
      <formula1>ATP</formula1>
    </dataValidation>
    <dataValidation allowBlank="1" showErrorMessage="1" sqref="G8:I8 G6:I6"/>
    <dataValidation allowBlank="1" showErrorMessage="1" promptTitle="REFERENCE POINTS" prompt="Please enter reference points in the following format: xxx+xx.xxx" sqref="G13:I16"/>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'[3]ATIP DROP DOWNS'!#REF!</xm:f>
          </x14:formula1>
          <xm:sqref>A3:B3</xm:sqref>
        </x14:dataValidation>
        <x14:dataValidation type="list" allowBlank="1" showInputMessage="1" showErrorMessage="1">
          <x14:formula1>
            <xm:f>'[4]ATIP DROP DOWNS'!#REF!</xm:f>
          </x14:formula1>
          <xm:sqref>A7:B7 A10:B10</xm:sqref>
        </x14:dataValidation>
      </x14:dataValidation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6"/>
  <dimension ref="A1:I5"/>
  <sheetViews>
    <sheetView workbookViewId="0">
      <selection activeCell="F12" sqref="F12"/>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43.2" x14ac:dyDescent="0.3">
      <c r="A2" s="160">
        <v>7</v>
      </c>
      <c r="B2" s="170" t="s">
        <v>370</v>
      </c>
      <c r="C2" s="170">
        <v>14</v>
      </c>
      <c r="D2" s="230" t="s">
        <v>1515</v>
      </c>
      <c r="E2" s="171" t="s">
        <v>1451</v>
      </c>
      <c r="F2" s="186">
        <v>2018</v>
      </c>
      <c r="G2" s="163" t="s">
        <v>1518</v>
      </c>
      <c r="H2" s="230" t="s">
        <v>1592</v>
      </c>
      <c r="I2" s="230"/>
    </row>
    <row r="3" spans="1:9" ht="27.6" x14ac:dyDescent="0.3">
      <c r="A3" s="160">
        <v>7</v>
      </c>
      <c r="B3" s="170" t="s">
        <v>370</v>
      </c>
      <c r="C3" s="170">
        <v>169</v>
      </c>
      <c r="D3" s="160"/>
      <c r="E3" s="171" t="s">
        <v>1540</v>
      </c>
      <c r="F3" s="210">
        <v>2024</v>
      </c>
      <c r="G3" s="163" t="s">
        <v>1575</v>
      </c>
      <c r="H3" s="230" t="s">
        <v>1592</v>
      </c>
      <c r="I3" s="230"/>
    </row>
    <row r="4" spans="1:9" ht="55.2" x14ac:dyDescent="0.3">
      <c r="A4" s="160">
        <v>7</v>
      </c>
      <c r="B4" s="170" t="s">
        <v>370</v>
      </c>
      <c r="C4" s="170">
        <v>169</v>
      </c>
      <c r="D4" s="160"/>
      <c r="E4" s="171" t="s">
        <v>1577</v>
      </c>
      <c r="F4" s="210">
        <v>2024</v>
      </c>
      <c r="G4" s="163" t="s">
        <v>1576</v>
      </c>
      <c r="H4" s="230" t="s">
        <v>1592</v>
      </c>
      <c r="I4" s="230"/>
    </row>
    <row r="5" spans="1:9" ht="55.2" x14ac:dyDescent="0.3">
      <c r="A5" s="160">
        <v>7</v>
      </c>
      <c r="B5" s="170" t="s">
        <v>306</v>
      </c>
      <c r="C5" s="170">
        <v>22</v>
      </c>
      <c r="D5" s="160"/>
      <c r="E5" s="171" t="s">
        <v>1579</v>
      </c>
      <c r="F5" s="210">
        <v>2024</v>
      </c>
      <c r="G5" s="163" t="s">
        <v>1578</v>
      </c>
      <c r="H5" s="230" t="s">
        <v>1592</v>
      </c>
      <c r="I5" s="230"/>
    </row>
  </sheetData>
  <dataValidations count="2">
    <dataValidation type="list" allowBlank="1" showInputMessage="1" showErrorMessage="1" sqref="B2:B5">
      <formula1>Route_System</formula1>
    </dataValidation>
    <dataValidation type="list" allowBlank="1" showInputMessage="1" showErrorMessage="1" sqref="A2:A5">
      <formula1>ATP</formula1>
    </dataValidation>
  </dataValidations>
  <pageMargins left="0.7" right="0.7" top="0.75" bottom="0.75" header="0.3" footer="0.3"/>
  <pageSetup orientation="portrait" horizontalDpi="4294967292" verticalDpi="0"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'[6]DROP DOWNS'!#REF!</xm:f>
          </x14:formula1>
          <xm:sqref>F2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I2"/>
  <sheetViews>
    <sheetView workbookViewId="0">
      <selection activeCell="G19" sqref="G19"/>
    </sheetView>
  </sheetViews>
  <sheetFormatPr defaultRowHeight="14.4" x14ac:dyDescent="0.3"/>
  <cols>
    <col min="1" max="3" width="8.88671875" style="159"/>
    <col min="4" max="4" width="11.77734375" style="159" bestFit="1" customWidth="1"/>
    <col min="5" max="6" width="8.88671875" style="159"/>
    <col min="7" max="7" width="72.77734375" style="159" customWidth="1"/>
    <col min="8" max="9" width="10.5546875" style="159" customWidth="1"/>
    <col min="10" max="16384" width="8.88671875" style="159"/>
  </cols>
  <sheetData>
    <row r="1" spans="1:9" s="227" customFormat="1" ht="46.8" x14ac:dyDescent="0.3">
      <c r="A1" s="275" t="s">
        <v>43</v>
      </c>
      <c r="B1" s="275" t="s">
        <v>44</v>
      </c>
      <c r="C1" s="275" t="s">
        <v>45</v>
      </c>
      <c r="D1" s="275" t="s">
        <v>47</v>
      </c>
      <c r="E1" s="275" t="s">
        <v>1448</v>
      </c>
      <c r="F1" s="275" t="s">
        <v>48</v>
      </c>
      <c r="G1" s="275" t="s">
        <v>51</v>
      </c>
      <c r="H1" s="275" t="s">
        <v>1590</v>
      </c>
      <c r="I1" s="275" t="s">
        <v>1591</v>
      </c>
    </row>
    <row r="2" spans="1:9" ht="14.4" customHeight="1" x14ac:dyDescent="0.3">
      <c r="A2" s="160">
        <v>8</v>
      </c>
      <c r="B2" s="170" t="s">
        <v>370</v>
      </c>
      <c r="C2" s="170">
        <v>212</v>
      </c>
      <c r="D2" s="181"/>
      <c r="E2" s="171">
        <v>12000</v>
      </c>
      <c r="F2" s="190">
        <v>2023</v>
      </c>
      <c r="G2" s="163" t="s">
        <v>1525</v>
      </c>
      <c r="H2" s="230" t="s">
        <v>1592</v>
      </c>
      <c r="I2" s="230"/>
    </row>
  </sheetData>
  <dataValidations count="1">
    <dataValidation type="list" allowBlank="1" showInputMessage="1" showErrorMessage="1" sqref="A2">
      <formula1>ATP</formula1>
    </dataValidation>
  </dataValidations>
  <pageMargins left="0.7" right="0.7" top="0.75" bottom="0.75" header="0.3" footer="0.3"/>
  <pageSetup orientation="portrait" horizontalDpi="4294967292"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'[5]ATIP DROP DOWNS'!#REF!</xm:f>
          </x14:formula1>
          <xm:sqref>B2</xm:sqref>
        </x14:dataValidation>
      </x14:dataValidations>
    </ext>
  </extLs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4">
    <tabColor rgb="FFFF0000"/>
    <pageSetUpPr fitToPage="1"/>
  </sheetPr>
  <dimension ref="A1:AB90"/>
  <sheetViews>
    <sheetView zoomScale="90" zoomScaleNormal="90" workbookViewId="0">
      <selection activeCell="B11" sqref="B11"/>
    </sheetView>
  </sheetViews>
  <sheetFormatPr defaultColWidth="9.109375" defaultRowHeight="14.4" x14ac:dyDescent="0.3"/>
  <cols>
    <col min="1" max="1" width="12.6640625" style="243" customWidth="1"/>
    <col min="2" max="3" width="12.6640625" style="159" customWidth="1"/>
    <col min="4" max="4" width="15.33203125" style="159" customWidth="1"/>
    <col min="5" max="6" width="12.6640625" style="159" customWidth="1"/>
    <col min="7" max="7" width="94" style="159" customWidth="1"/>
    <col min="8" max="8" width="10.5546875" style="159" customWidth="1"/>
    <col min="9" max="9" width="11.6640625" style="159" customWidth="1"/>
    <col min="10" max="16384" width="9.109375" style="159"/>
  </cols>
  <sheetData>
    <row r="1" spans="1:9" ht="15.6" customHeight="1" x14ac:dyDescent="0.3">
      <c r="A1" s="221" t="s">
        <v>43</v>
      </c>
      <c r="B1" s="221" t="s">
        <v>44</v>
      </c>
      <c r="C1" s="221" t="s">
        <v>45</v>
      </c>
      <c r="D1" s="221" t="s">
        <v>47</v>
      </c>
      <c r="E1" s="221" t="s">
        <v>1448</v>
      </c>
      <c r="F1" s="221" t="s">
        <v>48</v>
      </c>
      <c r="G1" s="222" t="s">
        <v>51</v>
      </c>
      <c r="H1" s="273" t="s">
        <v>1590</v>
      </c>
      <c r="I1" s="273" t="s">
        <v>1591</v>
      </c>
    </row>
    <row r="2" spans="1:9" ht="15" customHeight="1" thickBot="1" x14ac:dyDescent="0.35">
      <c r="A2" s="238"/>
      <c r="B2" s="223"/>
      <c r="C2" s="223"/>
      <c r="D2" s="223"/>
      <c r="E2" s="223"/>
      <c r="F2" s="223"/>
      <c r="G2" s="224"/>
      <c r="H2" s="274"/>
      <c r="I2" s="274"/>
    </row>
    <row r="3" spans="1:9" ht="41.25" customHeight="1" thickTop="1" x14ac:dyDescent="0.3">
      <c r="A3" s="160">
        <v>6</v>
      </c>
      <c r="B3" s="170" t="s">
        <v>370</v>
      </c>
      <c r="C3" s="170">
        <v>63</v>
      </c>
      <c r="D3" s="160" t="s">
        <v>1511</v>
      </c>
      <c r="E3" s="162">
        <v>9040</v>
      </c>
      <c r="F3" s="186">
        <v>2018</v>
      </c>
      <c r="G3" s="163" t="s">
        <v>1512</v>
      </c>
      <c r="H3" s="230" t="s">
        <v>1592</v>
      </c>
      <c r="I3" s="230"/>
    </row>
    <row r="4" spans="1:9" ht="28.8" x14ac:dyDescent="0.3">
      <c r="A4" s="160">
        <v>2</v>
      </c>
      <c r="B4" s="170" t="s">
        <v>306</v>
      </c>
      <c r="C4" s="170">
        <v>72</v>
      </c>
      <c r="D4" s="230" t="s">
        <v>1513</v>
      </c>
      <c r="E4" s="162">
        <v>9412</v>
      </c>
      <c r="F4" s="186">
        <v>2018</v>
      </c>
      <c r="G4" s="163" t="s">
        <v>1516</v>
      </c>
      <c r="H4" s="230" t="s">
        <v>1592</v>
      </c>
      <c r="I4" s="230"/>
    </row>
    <row r="5" spans="1:9" ht="28.8" x14ac:dyDescent="0.3">
      <c r="A5" s="239">
        <v>4</v>
      </c>
      <c r="B5" s="169" t="s">
        <v>275</v>
      </c>
      <c r="C5" s="169">
        <v>94</v>
      </c>
      <c r="D5" s="160" t="s">
        <v>1452</v>
      </c>
      <c r="E5" s="172" t="s">
        <v>1450</v>
      </c>
      <c r="F5" s="185">
        <v>2018</v>
      </c>
      <c r="G5" s="163" t="s">
        <v>1533</v>
      </c>
      <c r="H5" s="230" t="s">
        <v>1592</v>
      </c>
      <c r="I5" s="230"/>
    </row>
    <row r="6" spans="1:9" ht="28.8" x14ac:dyDescent="0.3">
      <c r="A6" s="160">
        <v>7</v>
      </c>
      <c r="B6" s="170" t="s">
        <v>370</v>
      </c>
      <c r="C6" s="170">
        <v>14</v>
      </c>
      <c r="D6" s="230" t="s">
        <v>1515</v>
      </c>
      <c r="E6" s="171" t="s">
        <v>1451</v>
      </c>
      <c r="F6" s="186">
        <v>2018</v>
      </c>
      <c r="G6" s="163" t="s">
        <v>1518</v>
      </c>
      <c r="H6" s="230" t="s">
        <v>1592</v>
      </c>
      <c r="I6" s="230"/>
    </row>
    <row r="7" spans="1:9" ht="28.8" x14ac:dyDescent="0.3">
      <c r="A7" s="165">
        <v>1</v>
      </c>
      <c r="B7" s="166" t="s">
        <v>275</v>
      </c>
      <c r="C7" s="166">
        <v>535</v>
      </c>
      <c r="D7" s="165" t="s">
        <v>1531</v>
      </c>
      <c r="E7" s="184">
        <v>9030</v>
      </c>
      <c r="F7" s="196">
        <v>2019</v>
      </c>
      <c r="G7" s="168" t="s">
        <v>1532</v>
      </c>
      <c r="H7" s="231" t="s">
        <v>1592</v>
      </c>
      <c r="I7" s="231"/>
    </row>
    <row r="8" spans="1:9" ht="41.4" x14ac:dyDescent="0.3">
      <c r="A8" s="160" t="s">
        <v>173</v>
      </c>
      <c r="B8" s="169" t="s">
        <v>275</v>
      </c>
      <c r="C8" s="169">
        <v>94</v>
      </c>
      <c r="D8" s="160" t="s">
        <v>1444</v>
      </c>
      <c r="E8" s="171" t="s">
        <v>1456</v>
      </c>
      <c r="F8" s="187">
        <v>2019</v>
      </c>
      <c r="G8" s="163" t="s">
        <v>1514</v>
      </c>
      <c r="H8" s="230" t="s">
        <v>1592</v>
      </c>
      <c r="I8" s="230"/>
    </row>
    <row r="9" spans="1:9" ht="30" customHeight="1" x14ac:dyDescent="0.3">
      <c r="A9" s="160">
        <v>1</v>
      </c>
      <c r="B9" s="160" t="s">
        <v>275</v>
      </c>
      <c r="C9" s="169">
        <v>35</v>
      </c>
      <c r="D9" s="160" t="s">
        <v>1584</v>
      </c>
      <c r="E9" s="171" t="s">
        <v>1542</v>
      </c>
      <c r="F9" s="193">
        <v>2020</v>
      </c>
      <c r="G9" s="163" t="s">
        <v>1491</v>
      </c>
      <c r="H9" s="230" t="s">
        <v>1592</v>
      </c>
      <c r="I9" s="230"/>
    </row>
    <row r="10" spans="1:9" ht="31.5" customHeight="1" x14ac:dyDescent="0.3">
      <c r="A10" s="160">
        <v>3</v>
      </c>
      <c r="B10" s="170" t="s">
        <v>370</v>
      </c>
      <c r="C10" s="170">
        <v>71</v>
      </c>
      <c r="D10" s="160" t="s">
        <v>1459</v>
      </c>
      <c r="E10" s="162">
        <v>6852</v>
      </c>
      <c r="F10" s="193">
        <v>2020</v>
      </c>
      <c r="G10" s="168" t="s">
        <v>1460</v>
      </c>
      <c r="H10" s="230" t="s">
        <v>1592</v>
      </c>
      <c r="I10" s="230"/>
    </row>
    <row r="11" spans="1:9" ht="36.75" customHeight="1" x14ac:dyDescent="0.3">
      <c r="A11" s="165">
        <v>6</v>
      </c>
      <c r="B11" s="166" t="s">
        <v>275</v>
      </c>
      <c r="C11" s="166">
        <v>90</v>
      </c>
      <c r="D11" s="165" t="s">
        <v>1454</v>
      </c>
      <c r="E11" s="184" t="s">
        <v>1455</v>
      </c>
      <c r="F11" s="194">
        <v>2020</v>
      </c>
      <c r="G11" s="168" t="s">
        <v>1453</v>
      </c>
      <c r="H11" s="230" t="s">
        <v>1592</v>
      </c>
      <c r="I11" s="230"/>
    </row>
    <row r="12" spans="1:9" ht="28.8" x14ac:dyDescent="0.3">
      <c r="A12" s="160" t="s">
        <v>173</v>
      </c>
      <c r="B12" s="169" t="s">
        <v>275</v>
      </c>
      <c r="C12" s="169" t="s">
        <v>1443</v>
      </c>
      <c r="D12" s="160" t="s">
        <v>1507</v>
      </c>
      <c r="E12" s="162">
        <v>5983</v>
      </c>
      <c r="F12" s="193">
        <v>2020</v>
      </c>
      <c r="G12" s="163" t="s">
        <v>1508</v>
      </c>
      <c r="H12" s="230" t="s">
        <v>1592</v>
      </c>
      <c r="I12" s="230" t="s">
        <v>1592</v>
      </c>
    </row>
    <row r="13" spans="1:9" x14ac:dyDescent="0.3">
      <c r="A13" s="173" t="s">
        <v>173</v>
      </c>
      <c r="B13" s="174" t="s">
        <v>306</v>
      </c>
      <c r="C13" s="174">
        <v>65</v>
      </c>
      <c r="D13" s="173" t="s">
        <v>1506</v>
      </c>
      <c r="E13" s="162">
        <v>2440</v>
      </c>
      <c r="F13" s="205">
        <v>2021</v>
      </c>
      <c r="G13" s="176" t="s">
        <v>1486</v>
      </c>
      <c r="H13" s="230" t="s">
        <v>1592</v>
      </c>
      <c r="I13" s="230" t="s">
        <v>1592</v>
      </c>
    </row>
    <row r="14" spans="1:9" ht="25.5" customHeight="1" x14ac:dyDescent="0.3">
      <c r="A14" s="173" t="s">
        <v>173</v>
      </c>
      <c r="B14" s="174" t="s">
        <v>306</v>
      </c>
      <c r="C14" s="174">
        <v>13</v>
      </c>
      <c r="D14" s="173"/>
      <c r="E14" s="180" t="s">
        <v>1534</v>
      </c>
      <c r="F14" s="213">
        <v>2025</v>
      </c>
      <c r="G14" s="176" t="s">
        <v>1545</v>
      </c>
      <c r="H14" s="230" t="s">
        <v>1592</v>
      </c>
      <c r="I14" s="230"/>
    </row>
    <row r="15" spans="1:9" ht="25.5" customHeight="1" x14ac:dyDescent="0.3">
      <c r="A15" s="173" t="s">
        <v>173</v>
      </c>
      <c r="B15" s="174" t="s">
        <v>275</v>
      </c>
      <c r="C15" s="174">
        <v>494</v>
      </c>
      <c r="D15" s="173"/>
      <c r="E15" s="180">
        <v>19865</v>
      </c>
      <c r="F15" s="195">
        <v>2020</v>
      </c>
      <c r="G15" s="176" t="s">
        <v>1485</v>
      </c>
      <c r="H15" s="230" t="s">
        <v>1592</v>
      </c>
      <c r="I15" s="230"/>
    </row>
    <row r="16" spans="1:9" x14ac:dyDescent="0.3">
      <c r="A16" s="165">
        <v>3</v>
      </c>
      <c r="B16" s="166" t="s">
        <v>275</v>
      </c>
      <c r="C16" s="166">
        <v>94</v>
      </c>
      <c r="D16" s="165" t="s">
        <v>1589</v>
      </c>
      <c r="E16" s="184">
        <v>86817</v>
      </c>
      <c r="F16" s="202">
        <v>2021</v>
      </c>
      <c r="G16" s="168" t="s">
        <v>1461</v>
      </c>
      <c r="H16" s="230" t="s">
        <v>1592</v>
      </c>
      <c r="I16" s="230"/>
    </row>
    <row r="17" spans="1:9" x14ac:dyDescent="0.3">
      <c r="A17" s="160">
        <v>3</v>
      </c>
      <c r="B17" s="169" t="s">
        <v>275</v>
      </c>
      <c r="C17" s="169">
        <v>94</v>
      </c>
      <c r="D17" s="160" t="s">
        <v>1589</v>
      </c>
      <c r="E17" s="171">
        <v>86818</v>
      </c>
      <c r="F17" s="188">
        <v>2021</v>
      </c>
      <c r="G17" s="163" t="s">
        <v>1462</v>
      </c>
      <c r="H17" s="230" t="s">
        <v>1592</v>
      </c>
      <c r="I17" s="230"/>
    </row>
    <row r="18" spans="1:9" ht="41.4" x14ac:dyDescent="0.3">
      <c r="A18" s="160">
        <v>6</v>
      </c>
      <c r="B18" s="169" t="s">
        <v>275</v>
      </c>
      <c r="C18" s="169">
        <v>90</v>
      </c>
      <c r="D18" s="160" t="s">
        <v>1463</v>
      </c>
      <c r="E18" s="171" t="s">
        <v>1535</v>
      </c>
      <c r="F18" s="188">
        <v>2021</v>
      </c>
      <c r="G18" s="163" t="s">
        <v>1464</v>
      </c>
      <c r="H18" s="230" t="s">
        <v>1592</v>
      </c>
      <c r="I18" s="230"/>
    </row>
    <row r="19" spans="1:9" x14ac:dyDescent="0.3">
      <c r="A19" s="160">
        <v>6</v>
      </c>
      <c r="B19" s="169" t="s">
        <v>275</v>
      </c>
      <c r="C19" s="169">
        <v>90</v>
      </c>
      <c r="D19" s="160" t="s">
        <v>1495</v>
      </c>
      <c r="E19" s="171">
        <v>9180</v>
      </c>
      <c r="F19" s="188">
        <v>2021</v>
      </c>
      <c r="G19" s="163" t="s">
        <v>1497</v>
      </c>
      <c r="H19" s="230" t="s">
        <v>1592</v>
      </c>
      <c r="I19" s="230"/>
    </row>
    <row r="20" spans="1:9" ht="27.6" x14ac:dyDescent="0.3">
      <c r="A20" s="160" t="s">
        <v>173</v>
      </c>
      <c r="B20" s="170" t="s">
        <v>306</v>
      </c>
      <c r="C20" s="170">
        <v>55</v>
      </c>
      <c r="D20" s="160" t="s">
        <v>1487</v>
      </c>
      <c r="E20" s="171" t="s">
        <v>1588</v>
      </c>
      <c r="F20" s="188">
        <v>2021</v>
      </c>
      <c r="G20" s="163" t="s">
        <v>1488</v>
      </c>
      <c r="H20" s="230" t="s">
        <v>1592</v>
      </c>
      <c r="I20" s="230" t="s">
        <v>1592</v>
      </c>
    </row>
    <row r="21" spans="1:9" x14ac:dyDescent="0.3">
      <c r="A21" s="160">
        <v>3</v>
      </c>
      <c r="B21" s="170" t="s">
        <v>370</v>
      </c>
      <c r="C21" s="170">
        <v>10</v>
      </c>
      <c r="D21" s="160" t="s">
        <v>1457</v>
      </c>
      <c r="E21" s="162">
        <v>49009</v>
      </c>
      <c r="F21" s="189">
        <v>2022</v>
      </c>
      <c r="G21" s="163" t="s">
        <v>1458</v>
      </c>
      <c r="H21" s="230" t="s">
        <v>1592</v>
      </c>
      <c r="I21" s="230"/>
    </row>
    <row r="22" spans="1:9" x14ac:dyDescent="0.3">
      <c r="A22" s="160">
        <v>3</v>
      </c>
      <c r="B22" s="170" t="s">
        <v>306</v>
      </c>
      <c r="C22" s="170">
        <v>23</v>
      </c>
      <c r="D22" s="160" t="s">
        <v>1492</v>
      </c>
      <c r="E22" s="162">
        <v>9021</v>
      </c>
      <c r="F22" s="189">
        <v>2022</v>
      </c>
      <c r="G22" s="163" t="s">
        <v>1493</v>
      </c>
      <c r="H22" s="230" t="s">
        <v>1592</v>
      </c>
      <c r="I22" s="230"/>
    </row>
    <row r="23" spans="1:9" x14ac:dyDescent="0.3">
      <c r="A23" s="160">
        <v>3</v>
      </c>
      <c r="B23" s="170" t="s">
        <v>306</v>
      </c>
      <c r="C23" s="170">
        <v>23</v>
      </c>
      <c r="D23" s="160" t="s">
        <v>1492</v>
      </c>
      <c r="E23" s="162">
        <v>9022</v>
      </c>
      <c r="F23" s="189">
        <v>2022</v>
      </c>
      <c r="G23" s="163" t="s">
        <v>1494</v>
      </c>
      <c r="H23" s="230" t="s">
        <v>1592</v>
      </c>
      <c r="I23" s="230"/>
    </row>
    <row r="24" spans="1:9" ht="28.5" customHeight="1" x14ac:dyDescent="0.3">
      <c r="A24" s="160" t="s">
        <v>173</v>
      </c>
      <c r="B24" s="170" t="s">
        <v>306</v>
      </c>
      <c r="C24" s="170">
        <v>55</v>
      </c>
      <c r="D24" s="160"/>
      <c r="E24" s="162">
        <v>4190</v>
      </c>
      <c r="F24" s="189">
        <v>2022</v>
      </c>
      <c r="G24" s="163" t="s">
        <v>1484</v>
      </c>
      <c r="H24" s="230" t="s">
        <v>1592</v>
      </c>
      <c r="I24" s="230"/>
    </row>
    <row r="25" spans="1:9" x14ac:dyDescent="0.3">
      <c r="A25" s="160" t="s">
        <v>173</v>
      </c>
      <c r="B25" s="169" t="s">
        <v>275</v>
      </c>
      <c r="C25" s="169">
        <v>94</v>
      </c>
      <c r="D25" s="160"/>
      <c r="E25" s="171">
        <v>62847</v>
      </c>
      <c r="F25" s="189">
        <v>2022</v>
      </c>
      <c r="G25" s="163" t="s">
        <v>1500</v>
      </c>
      <c r="H25" s="230" t="s">
        <v>1592</v>
      </c>
      <c r="I25" s="230"/>
    </row>
    <row r="26" spans="1:9" s="161" customFormat="1" x14ac:dyDescent="0.3">
      <c r="A26" s="240">
        <v>1</v>
      </c>
      <c r="B26" s="169" t="s">
        <v>275</v>
      </c>
      <c r="C26" s="182">
        <v>35</v>
      </c>
      <c r="D26" s="183" t="s">
        <v>1438</v>
      </c>
      <c r="E26" s="217">
        <v>9790</v>
      </c>
      <c r="F26" s="210">
        <v>2024</v>
      </c>
      <c r="G26" s="163" t="s">
        <v>1447</v>
      </c>
      <c r="H26" s="230" t="s">
        <v>1592</v>
      </c>
      <c r="I26" s="230"/>
    </row>
    <row r="27" spans="1:9" x14ac:dyDescent="0.3">
      <c r="A27" s="160">
        <v>1</v>
      </c>
      <c r="B27" s="169" t="s">
        <v>275</v>
      </c>
      <c r="C27" s="169">
        <v>35</v>
      </c>
      <c r="D27" s="160" t="s">
        <v>1439</v>
      </c>
      <c r="E27" s="167">
        <v>9789</v>
      </c>
      <c r="F27" s="210">
        <v>2024</v>
      </c>
      <c r="G27" s="250" t="s">
        <v>1440</v>
      </c>
      <c r="H27" s="230" t="s">
        <v>1592</v>
      </c>
      <c r="I27" s="230"/>
    </row>
    <row r="28" spans="1:9" ht="41.25" customHeight="1" x14ac:dyDescent="0.3">
      <c r="A28" s="173">
        <v>1</v>
      </c>
      <c r="B28" s="174" t="s">
        <v>370</v>
      </c>
      <c r="C28" s="174">
        <v>53</v>
      </c>
      <c r="D28" s="173" t="s">
        <v>1550</v>
      </c>
      <c r="E28" s="171" t="s">
        <v>1585</v>
      </c>
      <c r="F28" s="189">
        <v>2022</v>
      </c>
      <c r="G28" s="176" t="s">
        <v>1581</v>
      </c>
      <c r="H28" s="230" t="s">
        <v>1592</v>
      </c>
      <c r="I28" s="230" t="s">
        <v>1592</v>
      </c>
    </row>
    <row r="29" spans="1:9" x14ac:dyDescent="0.3">
      <c r="A29" s="173">
        <v>3</v>
      </c>
      <c r="B29" s="174" t="s">
        <v>306</v>
      </c>
      <c r="C29" s="174">
        <v>65</v>
      </c>
      <c r="D29" s="173" t="s">
        <v>1554</v>
      </c>
      <c r="E29" s="175">
        <v>6778</v>
      </c>
      <c r="F29" s="189">
        <v>2022</v>
      </c>
      <c r="G29" s="163" t="s">
        <v>1553</v>
      </c>
      <c r="H29" s="230" t="s">
        <v>1592</v>
      </c>
      <c r="I29" s="230"/>
    </row>
    <row r="30" spans="1:9" x14ac:dyDescent="0.3">
      <c r="A30" s="173">
        <v>3</v>
      </c>
      <c r="B30" s="179" t="s">
        <v>275</v>
      </c>
      <c r="C30" s="179">
        <v>94</v>
      </c>
      <c r="D30" s="160" t="s">
        <v>1468</v>
      </c>
      <c r="E30" s="162">
        <v>73876</v>
      </c>
      <c r="F30" s="191">
        <v>2023</v>
      </c>
      <c r="G30" s="163" t="s">
        <v>1442</v>
      </c>
      <c r="H30" s="230" t="s">
        <v>1592</v>
      </c>
      <c r="I30" s="230"/>
    </row>
    <row r="31" spans="1:9" x14ac:dyDescent="0.3">
      <c r="A31" s="160">
        <v>3</v>
      </c>
      <c r="B31" s="170" t="s">
        <v>306</v>
      </c>
      <c r="C31" s="170">
        <v>25</v>
      </c>
      <c r="D31" s="160" t="s">
        <v>1469</v>
      </c>
      <c r="E31" s="162">
        <v>71012</v>
      </c>
      <c r="F31" s="190">
        <v>2023</v>
      </c>
      <c r="G31" s="163" t="s">
        <v>1441</v>
      </c>
      <c r="H31" s="230" t="s">
        <v>1592</v>
      </c>
      <c r="I31" s="230"/>
    </row>
    <row r="32" spans="1:9" ht="27.6" x14ac:dyDescent="0.3">
      <c r="A32" s="173">
        <v>6</v>
      </c>
      <c r="B32" s="179" t="s">
        <v>275</v>
      </c>
      <c r="C32" s="179">
        <v>90</v>
      </c>
      <c r="D32" s="173" t="s">
        <v>1445</v>
      </c>
      <c r="E32" s="180" t="s">
        <v>1536</v>
      </c>
      <c r="F32" s="191">
        <v>2023</v>
      </c>
      <c r="G32" s="176" t="s">
        <v>1466</v>
      </c>
      <c r="H32" s="230" t="s">
        <v>1592</v>
      </c>
      <c r="I32" s="230"/>
    </row>
    <row r="33" spans="1:9" x14ac:dyDescent="0.3">
      <c r="A33" s="160">
        <v>6</v>
      </c>
      <c r="B33" s="169" t="s">
        <v>275</v>
      </c>
      <c r="C33" s="169">
        <v>90</v>
      </c>
      <c r="D33" s="160" t="s">
        <v>1445</v>
      </c>
      <c r="E33" s="171">
        <v>9179</v>
      </c>
      <c r="F33" s="190">
        <v>2023</v>
      </c>
      <c r="G33" s="163" t="s">
        <v>1574</v>
      </c>
      <c r="H33" s="230" t="s">
        <v>1592</v>
      </c>
      <c r="I33" s="230"/>
    </row>
    <row r="34" spans="1:9" x14ac:dyDescent="0.3">
      <c r="A34" s="160">
        <v>6</v>
      </c>
      <c r="B34" s="170" t="s">
        <v>370</v>
      </c>
      <c r="C34" s="170">
        <v>61</v>
      </c>
      <c r="D34" s="160" t="s">
        <v>1445</v>
      </c>
      <c r="E34" s="162">
        <v>6776</v>
      </c>
      <c r="F34" s="190">
        <v>2023</v>
      </c>
      <c r="G34" s="163" t="s">
        <v>1446</v>
      </c>
      <c r="H34" s="230" t="s">
        <v>1592</v>
      </c>
      <c r="I34" s="230"/>
    </row>
    <row r="35" spans="1:9" x14ac:dyDescent="0.3">
      <c r="A35" s="160">
        <v>8</v>
      </c>
      <c r="B35" s="170" t="s">
        <v>370</v>
      </c>
      <c r="C35" s="170">
        <v>212</v>
      </c>
      <c r="D35" s="181"/>
      <c r="E35" s="171">
        <v>12000</v>
      </c>
      <c r="F35" s="190">
        <v>2023</v>
      </c>
      <c r="G35" s="163" t="s">
        <v>1525</v>
      </c>
      <c r="H35" s="230" t="s">
        <v>1592</v>
      </c>
      <c r="I35" s="230"/>
    </row>
    <row r="36" spans="1:9" x14ac:dyDescent="0.3">
      <c r="A36" s="165" t="s">
        <v>173</v>
      </c>
      <c r="B36" s="177" t="s">
        <v>306</v>
      </c>
      <c r="C36" s="177">
        <v>610</v>
      </c>
      <c r="D36" s="165"/>
      <c r="E36" s="171">
        <v>27239</v>
      </c>
      <c r="F36" s="192">
        <v>2023</v>
      </c>
      <c r="G36" s="168" t="s">
        <v>1489</v>
      </c>
      <c r="H36" s="230" t="s">
        <v>1592</v>
      </c>
      <c r="I36" s="230"/>
    </row>
    <row r="37" spans="1:9" ht="33" customHeight="1" x14ac:dyDescent="0.3">
      <c r="A37" s="160" t="s">
        <v>173</v>
      </c>
      <c r="B37" s="169" t="s">
        <v>275</v>
      </c>
      <c r="C37" s="169">
        <v>494</v>
      </c>
      <c r="D37" s="160"/>
      <c r="E37" s="171" t="s">
        <v>1498</v>
      </c>
      <c r="F37" s="190">
        <v>2023</v>
      </c>
      <c r="G37" s="163" t="s">
        <v>1499</v>
      </c>
      <c r="H37" s="230" t="s">
        <v>1592</v>
      </c>
      <c r="I37" s="230"/>
    </row>
    <row r="38" spans="1:9" ht="41.4" x14ac:dyDescent="0.3">
      <c r="A38" s="160" t="s">
        <v>173</v>
      </c>
      <c r="B38" s="170" t="s">
        <v>306</v>
      </c>
      <c r="C38" s="170">
        <v>7</v>
      </c>
      <c r="D38" s="160"/>
      <c r="E38" s="171" t="s">
        <v>1537</v>
      </c>
      <c r="F38" s="190">
        <v>2023</v>
      </c>
      <c r="G38" s="163" t="s">
        <v>1467</v>
      </c>
      <c r="H38" s="230" t="s">
        <v>1592</v>
      </c>
      <c r="I38" s="230"/>
    </row>
    <row r="39" spans="1:9" ht="28.2" thickBot="1" x14ac:dyDescent="0.35">
      <c r="A39" s="173" t="s">
        <v>173</v>
      </c>
      <c r="B39" s="174" t="s">
        <v>306</v>
      </c>
      <c r="C39" s="174">
        <v>36</v>
      </c>
      <c r="D39" s="173"/>
      <c r="E39" s="180" t="s">
        <v>1502</v>
      </c>
      <c r="F39" s="191">
        <v>2023</v>
      </c>
      <c r="G39" s="176" t="s">
        <v>1501</v>
      </c>
      <c r="H39" s="201" t="s">
        <v>1592</v>
      </c>
      <c r="I39" s="201"/>
    </row>
    <row r="40" spans="1:9" ht="15" thickTop="1" x14ac:dyDescent="0.3">
      <c r="A40" s="198">
        <v>1</v>
      </c>
      <c r="B40" s="216" t="s">
        <v>275</v>
      </c>
      <c r="C40" s="216">
        <v>35</v>
      </c>
      <c r="D40" s="198" t="s">
        <v>1470</v>
      </c>
      <c r="E40" s="203">
        <v>9787</v>
      </c>
      <c r="F40" s="209">
        <v>2024</v>
      </c>
      <c r="G40" s="199" t="s">
        <v>1471</v>
      </c>
      <c r="H40" s="231" t="s">
        <v>1592</v>
      </c>
      <c r="I40" s="231"/>
    </row>
    <row r="41" spans="1:9" x14ac:dyDescent="0.3">
      <c r="A41" s="160">
        <v>1</v>
      </c>
      <c r="B41" s="169" t="s">
        <v>275</v>
      </c>
      <c r="C41" s="169">
        <v>35</v>
      </c>
      <c r="D41" s="160" t="s">
        <v>1472</v>
      </c>
      <c r="E41" s="162">
        <v>9788</v>
      </c>
      <c r="F41" s="210">
        <v>2024</v>
      </c>
      <c r="G41" s="163" t="s">
        <v>1473</v>
      </c>
      <c r="H41" s="230" t="s">
        <v>1592</v>
      </c>
      <c r="I41" s="230"/>
    </row>
    <row r="42" spans="1:9" x14ac:dyDescent="0.3">
      <c r="A42" s="160">
        <v>1</v>
      </c>
      <c r="B42" s="169" t="s">
        <v>275</v>
      </c>
      <c r="C42" s="169">
        <v>535</v>
      </c>
      <c r="D42" s="160" t="s">
        <v>1551</v>
      </c>
      <c r="E42" s="171">
        <v>69808</v>
      </c>
      <c r="F42" s="210">
        <v>2024</v>
      </c>
      <c r="G42" s="163" t="s">
        <v>1552</v>
      </c>
      <c r="H42" s="230" t="s">
        <v>1592</v>
      </c>
      <c r="I42" s="230"/>
    </row>
    <row r="43" spans="1:9" x14ac:dyDescent="0.3">
      <c r="A43" s="160">
        <v>1</v>
      </c>
      <c r="B43" s="169" t="s">
        <v>275</v>
      </c>
      <c r="C43" s="169">
        <v>535</v>
      </c>
      <c r="D43" s="160" t="s">
        <v>1474</v>
      </c>
      <c r="E43" s="171" t="s">
        <v>1476</v>
      </c>
      <c r="F43" s="210">
        <v>2024</v>
      </c>
      <c r="G43" s="163" t="s">
        <v>1477</v>
      </c>
      <c r="H43" s="230" t="s">
        <v>1592</v>
      </c>
      <c r="I43" s="230"/>
    </row>
    <row r="44" spans="1:9" x14ac:dyDescent="0.3">
      <c r="A44" s="160">
        <v>1</v>
      </c>
      <c r="B44" s="169" t="s">
        <v>275</v>
      </c>
      <c r="C44" s="169">
        <v>535</v>
      </c>
      <c r="D44" s="160" t="s">
        <v>1475</v>
      </c>
      <c r="E44" s="171">
        <v>69809</v>
      </c>
      <c r="F44" s="210">
        <v>2024</v>
      </c>
      <c r="G44" s="163" t="s">
        <v>1478</v>
      </c>
      <c r="H44" s="230" t="s">
        <v>1592</v>
      </c>
      <c r="I44" s="230"/>
    </row>
    <row r="45" spans="1:9" x14ac:dyDescent="0.3">
      <c r="A45" s="165">
        <v>3</v>
      </c>
      <c r="B45" s="177" t="s">
        <v>370</v>
      </c>
      <c r="C45" s="177">
        <v>71</v>
      </c>
      <c r="D45" s="165"/>
      <c r="E45" s="167">
        <v>5907</v>
      </c>
      <c r="F45" s="211">
        <v>2024</v>
      </c>
      <c r="G45" s="168" t="s">
        <v>1496</v>
      </c>
      <c r="H45" s="230" t="s">
        <v>1592</v>
      </c>
      <c r="I45" s="230"/>
    </row>
    <row r="46" spans="1:9" x14ac:dyDescent="0.3">
      <c r="A46" s="160">
        <v>3</v>
      </c>
      <c r="B46" s="177" t="s">
        <v>370</v>
      </c>
      <c r="C46" s="170">
        <v>1</v>
      </c>
      <c r="D46" s="160"/>
      <c r="E46" s="162">
        <v>5444</v>
      </c>
      <c r="F46" s="190">
        <v>2023</v>
      </c>
      <c r="G46" s="163" t="s">
        <v>1519</v>
      </c>
      <c r="H46" s="230" t="s">
        <v>1592</v>
      </c>
      <c r="I46" s="230"/>
    </row>
    <row r="47" spans="1:9" x14ac:dyDescent="0.3">
      <c r="A47" s="160">
        <v>3</v>
      </c>
      <c r="B47" s="174" t="s">
        <v>370</v>
      </c>
      <c r="C47" s="170">
        <v>10</v>
      </c>
      <c r="D47" s="160" t="s">
        <v>1557</v>
      </c>
      <c r="E47" s="171" t="s">
        <v>1555</v>
      </c>
      <c r="F47" s="210">
        <v>2024</v>
      </c>
      <c r="G47" s="163" t="s">
        <v>1556</v>
      </c>
      <c r="H47" s="230" t="s">
        <v>1592</v>
      </c>
      <c r="I47" s="230"/>
    </row>
    <row r="48" spans="1:9" ht="27.6" x14ac:dyDescent="0.3">
      <c r="A48" s="160">
        <v>4</v>
      </c>
      <c r="B48" s="169" t="s">
        <v>275</v>
      </c>
      <c r="C48" s="169">
        <v>94</v>
      </c>
      <c r="D48" s="160"/>
      <c r="E48" s="171" t="s">
        <v>1538</v>
      </c>
      <c r="F48" s="210">
        <v>2024</v>
      </c>
      <c r="G48" s="163" t="s">
        <v>1524</v>
      </c>
      <c r="H48" s="230" t="s">
        <v>1592</v>
      </c>
      <c r="I48" s="230"/>
    </row>
    <row r="49" spans="1:11" ht="27.6" x14ac:dyDescent="0.3">
      <c r="A49" s="160">
        <v>6</v>
      </c>
      <c r="B49" s="170" t="s">
        <v>370</v>
      </c>
      <c r="C49" s="170">
        <v>61</v>
      </c>
      <c r="D49" s="160" t="s">
        <v>1465</v>
      </c>
      <c r="E49" s="171" t="s">
        <v>1539</v>
      </c>
      <c r="F49" s="210">
        <v>2024</v>
      </c>
      <c r="G49" s="163" t="s">
        <v>1490</v>
      </c>
      <c r="H49" s="230" t="s">
        <v>1592</v>
      </c>
      <c r="I49" s="230"/>
    </row>
    <row r="50" spans="1:11" s="164" customFormat="1" x14ac:dyDescent="0.3">
      <c r="A50" s="160">
        <v>6</v>
      </c>
      <c r="B50" s="169" t="s">
        <v>275</v>
      </c>
      <c r="C50" s="169">
        <v>90</v>
      </c>
      <c r="D50" s="160" t="s">
        <v>1445</v>
      </c>
      <c r="E50" s="171">
        <v>6869</v>
      </c>
      <c r="F50" s="210">
        <v>2024</v>
      </c>
      <c r="G50" s="163" t="s">
        <v>1580</v>
      </c>
      <c r="H50" s="230" t="s">
        <v>1592</v>
      </c>
      <c r="I50" s="230"/>
      <c r="J50" s="161"/>
      <c r="K50" s="161"/>
    </row>
    <row r="51" spans="1:11" x14ac:dyDescent="0.3">
      <c r="A51" s="160">
        <v>6</v>
      </c>
      <c r="B51" s="170" t="s">
        <v>370</v>
      </c>
      <c r="C51" s="170">
        <v>218</v>
      </c>
      <c r="D51" s="160" t="s">
        <v>1445</v>
      </c>
      <c r="E51" s="162">
        <v>9201</v>
      </c>
      <c r="F51" s="210">
        <v>2024</v>
      </c>
      <c r="G51" s="163" t="s">
        <v>1479</v>
      </c>
      <c r="H51" s="230" t="s">
        <v>1592</v>
      </c>
      <c r="I51" s="230"/>
    </row>
    <row r="52" spans="1:11" x14ac:dyDescent="0.3">
      <c r="A52" s="160">
        <v>6</v>
      </c>
      <c r="B52" s="170" t="s">
        <v>370</v>
      </c>
      <c r="C52" s="170">
        <v>218</v>
      </c>
      <c r="D52" s="160" t="s">
        <v>1445</v>
      </c>
      <c r="E52" s="162">
        <v>50803</v>
      </c>
      <c r="F52" s="210">
        <v>2024</v>
      </c>
      <c r="G52" s="163" t="s">
        <v>1480</v>
      </c>
      <c r="H52" s="230" t="s">
        <v>1592</v>
      </c>
      <c r="I52" s="230"/>
    </row>
    <row r="53" spans="1:11" ht="27.6" x14ac:dyDescent="0.3">
      <c r="A53" s="160">
        <v>7</v>
      </c>
      <c r="B53" s="170" t="s">
        <v>370</v>
      </c>
      <c r="C53" s="170">
        <v>169</v>
      </c>
      <c r="D53" s="160"/>
      <c r="E53" s="171" t="s">
        <v>1540</v>
      </c>
      <c r="F53" s="210">
        <v>2024</v>
      </c>
      <c r="G53" s="163" t="s">
        <v>1575</v>
      </c>
      <c r="H53" s="230" t="s">
        <v>1592</v>
      </c>
      <c r="I53" s="230"/>
    </row>
    <row r="54" spans="1:11" ht="55.2" x14ac:dyDescent="0.3">
      <c r="A54" s="160">
        <v>7</v>
      </c>
      <c r="B54" s="170" t="s">
        <v>370</v>
      </c>
      <c r="C54" s="170">
        <v>169</v>
      </c>
      <c r="D54" s="160"/>
      <c r="E54" s="171" t="s">
        <v>1577</v>
      </c>
      <c r="F54" s="210">
        <v>2024</v>
      </c>
      <c r="G54" s="163" t="s">
        <v>1576</v>
      </c>
      <c r="H54" s="230" t="s">
        <v>1592</v>
      </c>
      <c r="I54" s="230"/>
    </row>
    <row r="55" spans="1:11" ht="55.2" x14ac:dyDescent="0.3">
      <c r="A55" s="160">
        <v>7</v>
      </c>
      <c r="B55" s="170" t="s">
        <v>306</v>
      </c>
      <c r="C55" s="170">
        <v>22</v>
      </c>
      <c r="D55" s="160"/>
      <c r="E55" s="171" t="s">
        <v>1579</v>
      </c>
      <c r="F55" s="210">
        <v>2024</v>
      </c>
      <c r="G55" s="163" t="s">
        <v>1578</v>
      </c>
      <c r="H55" s="230" t="s">
        <v>1592</v>
      </c>
      <c r="I55" s="230"/>
    </row>
    <row r="56" spans="1:11" ht="28.8" x14ac:dyDescent="0.3">
      <c r="A56" s="160" t="s">
        <v>173</v>
      </c>
      <c r="B56" s="170" t="s">
        <v>370</v>
      </c>
      <c r="C56" s="170">
        <v>10</v>
      </c>
      <c r="D56" s="160"/>
      <c r="E56" s="171" t="s">
        <v>1449</v>
      </c>
      <c r="F56" s="210">
        <v>2024</v>
      </c>
      <c r="G56" s="163" t="s">
        <v>1543</v>
      </c>
      <c r="H56" s="230" t="s">
        <v>1592</v>
      </c>
      <c r="I56" s="230"/>
    </row>
    <row r="57" spans="1:11" x14ac:dyDescent="0.3">
      <c r="A57" s="165" t="s">
        <v>173</v>
      </c>
      <c r="B57" s="177" t="s">
        <v>306</v>
      </c>
      <c r="C57" s="177">
        <v>55</v>
      </c>
      <c r="D57" s="165"/>
      <c r="E57" s="171">
        <v>5891</v>
      </c>
      <c r="F57" s="211">
        <v>2024</v>
      </c>
      <c r="G57" s="168" t="s">
        <v>1548</v>
      </c>
      <c r="H57" s="230" t="s">
        <v>1592</v>
      </c>
      <c r="I57" s="230"/>
    </row>
    <row r="58" spans="1:11" x14ac:dyDescent="0.3">
      <c r="A58" s="160" t="s">
        <v>173</v>
      </c>
      <c r="B58" s="169" t="s">
        <v>275</v>
      </c>
      <c r="C58" s="169">
        <v>94</v>
      </c>
      <c r="D58" s="160"/>
      <c r="E58" s="162">
        <v>62813</v>
      </c>
      <c r="F58" s="210">
        <v>2024</v>
      </c>
      <c r="G58" s="163" t="s">
        <v>1503</v>
      </c>
      <c r="H58" s="230" t="s">
        <v>1592</v>
      </c>
      <c r="I58" s="230"/>
    </row>
    <row r="59" spans="1:11" x14ac:dyDescent="0.3">
      <c r="A59" s="160" t="s">
        <v>173</v>
      </c>
      <c r="B59" s="170"/>
      <c r="C59" s="170"/>
      <c r="D59" s="160"/>
      <c r="E59" s="171">
        <v>9044</v>
      </c>
      <c r="F59" s="210">
        <v>2024</v>
      </c>
      <c r="G59" s="176" t="s">
        <v>1549</v>
      </c>
      <c r="H59" s="230" t="s">
        <v>1592</v>
      </c>
      <c r="I59" s="230"/>
    </row>
    <row r="60" spans="1:11" ht="15" thickBot="1" x14ac:dyDescent="0.35">
      <c r="A60" s="200" t="s">
        <v>173</v>
      </c>
      <c r="B60" s="170" t="s">
        <v>306</v>
      </c>
      <c r="C60" s="170">
        <v>999</v>
      </c>
      <c r="D60" s="178"/>
      <c r="E60" s="171">
        <v>27855</v>
      </c>
      <c r="F60" s="210">
        <v>2024</v>
      </c>
      <c r="G60" s="204" t="s">
        <v>1544</v>
      </c>
      <c r="H60" s="257" t="s">
        <v>1592</v>
      </c>
      <c r="I60" s="257"/>
    </row>
    <row r="61" spans="1:11" s="161" customFormat="1" ht="15" thickTop="1" x14ac:dyDescent="0.3">
      <c r="A61" s="178">
        <v>1</v>
      </c>
      <c r="B61" s="215" t="s">
        <v>275</v>
      </c>
      <c r="C61" s="215">
        <v>35</v>
      </c>
      <c r="D61" s="208" t="s">
        <v>1481</v>
      </c>
      <c r="E61" s="171" t="s">
        <v>1482</v>
      </c>
      <c r="F61" s="212">
        <v>2025</v>
      </c>
      <c r="G61" s="250" t="s">
        <v>1483</v>
      </c>
      <c r="H61" s="230" t="s">
        <v>1592</v>
      </c>
      <c r="I61" s="230"/>
    </row>
    <row r="62" spans="1:11" s="161" customFormat="1" x14ac:dyDescent="0.3">
      <c r="A62" s="160">
        <v>3</v>
      </c>
      <c r="B62" s="169" t="s">
        <v>275</v>
      </c>
      <c r="C62" s="169">
        <v>94</v>
      </c>
      <c r="D62" s="165"/>
      <c r="E62" s="233">
        <v>6896</v>
      </c>
      <c r="F62" s="210">
        <v>2024</v>
      </c>
      <c r="G62" s="168" t="s">
        <v>1558</v>
      </c>
      <c r="H62" s="230" t="s">
        <v>1592</v>
      </c>
      <c r="I62" s="230"/>
    </row>
    <row r="63" spans="1:11" s="161" customFormat="1" x14ac:dyDescent="0.3">
      <c r="A63" s="160">
        <v>3</v>
      </c>
      <c r="B63" s="179" t="s">
        <v>275</v>
      </c>
      <c r="C63" s="166">
        <v>94</v>
      </c>
      <c r="D63" s="165"/>
      <c r="E63" s="171">
        <v>73855</v>
      </c>
      <c r="F63" s="210">
        <v>2024</v>
      </c>
      <c r="G63" s="168" t="s">
        <v>1560</v>
      </c>
      <c r="H63" s="230" t="s">
        <v>1592</v>
      </c>
      <c r="I63" s="230"/>
    </row>
    <row r="64" spans="1:11" s="161" customFormat="1" x14ac:dyDescent="0.3">
      <c r="A64" s="160">
        <v>3</v>
      </c>
      <c r="B64" s="179" t="s">
        <v>275</v>
      </c>
      <c r="C64" s="166">
        <v>94</v>
      </c>
      <c r="D64" s="165"/>
      <c r="E64" s="171">
        <v>73854</v>
      </c>
      <c r="F64" s="210">
        <v>2024</v>
      </c>
      <c r="G64" s="168" t="s">
        <v>1559</v>
      </c>
      <c r="H64" s="230" t="s">
        <v>1592</v>
      </c>
      <c r="I64" s="230"/>
    </row>
    <row r="65" spans="1:9" s="161" customFormat="1" x14ac:dyDescent="0.3">
      <c r="A65" s="160">
        <v>3</v>
      </c>
      <c r="B65" s="179" t="s">
        <v>306</v>
      </c>
      <c r="C65" s="166">
        <v>101</v>
      </c>
      <c r="D65" s="165"/>
      <c r="E65" s="233">
        <v>71002</v>
      </c>
      <c r="F65" s="210">
        <v>2024</v>
      </c>
      <c r="G65" s="168" t="s">
        <v>1561</v>
      </c>
      <c r="H65" s="230" t="s">
        <v>1592</v>
      </c>
      <c r="I65" s="230"/>
    </row>
    <row r="66" spans="1:9" s="161" customFormat="1" x14ac:dyDescent="0.3">
      <c r="A66" s="160">
        <v>3</v>
      </c>
      <c r="B66" s="174" t="s">
        <v>370</v>
      </c>
      <c r="C66" s="177">
        <v>71</v>
      </c>
      <c r="D66" s="165"/>
      <c r="E66" s="233">
        <v>5428</v>
      </c>
      <c r="F66" s="210">
        <v>2024</v>
      </c>
      <c r="G66" s="163" t="s">
        <v>1520</v>
      </c>
      <c r="H66" s="230" t="s">
        <v>1592</v>
      </c>
      <c r="I66" s="230"/>
    </row>
    <row r="67" spans="1:9" s="161" customFormat="1" x14ac:dyDescent="0.3">
      <c r="A67" s="160">
        <v>3</v>
      </c>
      <c r="B67" s="169" t="s">
        <v>275</v>
      </c>
      <c r="C67" s="169">
        <v>94</v>
      </c>
      <c r="D67" s="165" t="s">
        <v>1468</v>
      </c>
      <c r="E67" s="233">
        <v>6870</v>
      </c>
      <c r="F67" s="213">
        <v>2025</v>
      </c>
      <c r="G67" s="168" t="s">
        <v>1521</v>
      </c>
      <c r="H67" s="230" t="s">
        <v>1592</v>
      </c>
      <c r="I67" s="230"/>
    </row>
    <row r="68" spans="1:9" s="161" customFormat="1" x14ac:dyDescent="0.3">
      <c r="A68" s="160">
        <v>3</v>
      </c>
      <c r="B68" s="169" t="s">
        <v>275</v>
      </c>
      <c r="C68" s="169">
        <v>94</v>
      </c>
      <c r="D68" s="165" t="s">
        <v>1468</v>
      </c>
      <c r="E68" s="233">
        <v>6897</v>
      </c>
      <c r="F68" s="213">
        <v>2025</v>
      </c>
      <c r="G68" s="168" t="s">
        <v>1522</v>
      </c>
      <c r="H68" s="230" t="s">
        <v>1592</v>
      </c>
      <c r="I68" s="230"/>
    </row>
    <row r="69" spans="1:9" s="161" customFormat="1" x14ac:dyDescent="0.3">
      <c r="A69" s="160">
        <v>3</v>
      </c>
      <c r="B69" s="169" t="s">
        <v>275</v>
      </c>
      <c r="C69" s="169">
        <v>94</v>
      </c>
      <c r="D69" s="165"/>
      <c r="E69" s="233">
        <v>73820</v>
      </c>
      <c r="F69" s="213">
        <v>2025</v>
      </c>
      <c r="G69" s="168" t="s">
        <v>1562</v>
      </c>
      <c r="H69" s="230" t="s">
        <v>1592</v>
      </c>
      <c r="I69" s="230"/>
    </row>
    <row r="70" spans="1:9" s="161" customFormat="1" x14ac:dyDescent="0.3">
      <c r="A70" s="160">
        <v>3</v>
      </c>
      <c r="B70" s="169" t="s">
        <v>275</v>
      </c>
      <c r="C70" s="169">
        <v>94</v>
      </c>
      <c r="D70" s="165"/>
      <c r="E70" s="233">
        <v>73816</v>
      </c>
      <c r="F70" s="213">
        <v>2025</v>
      </c>
      <c r="G70" s="168" t="s">
        <v>1563</v>
      </c>
      <c r="H70" s="230" t="s">
        <v>1592</v>
      </c>
      <c r="I70" s="230"/>
    </row>
    <row r="71" spans="1:9" s="161" customFormat="1" x14ac:dyDescent="0.3">
      <c r="A71" s="160">
        <v>3</v>
      </c>
      <c r="B71" s="169" t="s">
        <v>275</v>
      </c>
      <c r="C71" s="169">
        <v>94</v>
      </c>
      <c r="D71" s="165"/>
      <c r="E71" s="171">
        <v>73856</v>
      </c>
      <c r="F71" s="213">
        <v>2025</v>
      </c>
      <c r="G71" s="168" t="s">
        <v>1564</v>
      </c>
      <c r="H71" s="230" t="s">
        <v>1592</v>
      </c>
      <c r="I71" s="230"/>
    </row>
    <row r="72" spans="1:9" s="161" customFormat="1" x14ac:dyDescent="0.3">
      <c r="A72" s="160">
        <v>3</v>
      </c>
      <c r="B72" s="169" t="s">
        <v>275</v>
      </c>
      <c r="C72" s="169">
        <v>94</v>
      </c>
      <c r="D72" s="165"/>
      <c r="E72" s="233">
        <v>73875</v>
      </c>
      <c r="F72" s="190">
        <v>2023</v>
      </c>
      <c r="G72" s="168" t="s">
        <v>1523</v>
      </c>
      <c r="H72" s="230" t="s">
        <v>1592</v>
      </c>
      <c r="I72" s="230"/>
    </row>
    <row r="73" spans="1:9" s="161" customFormat="1" x14ac:dyDescent="0.3">
      <c r="A73" s="165">
        <v>6</v>
      </c>
      <c r="B73" s="170" t="s">
        <v>370</v>
      </c>
      <c r="C73" s="177">
        <v>52</v>
      </c>
      <c r="D73" s="165"/>
      <c r="E73" s="234">
        <v>9414</v>
      </c>
      <c r="F73" s="214">
        <v>2025</v>
      </c>
      <c r="G73" s="168" t="s">
        <v>1526</v>
      </c>
      <c r="H73" s="230" t="s">
        <v>1592</v>
      </c>
      <c r="I73" s="230"/>
    </row>
    <row r="74" spans="1:9" s="161" customFormat="1" ht="28.8" x14ac:dyDescent="0.3">
      <c r="A74" s="165">
        <v>6</v>
      </c>
      <c r="B74" s="170" t="s">
        <v>370</v>
      </c>
      <c r="C74" s="177">
        <v>61</v>
      </c>
      <c r="D74" s="235" t="s">
        <v>1504</v>
      </c>
      <c r="E74" s="162">
        <v>6483</v>
      </c>
      <c r="F74" s="214">
        <v>2025</v>
      </c>
      <c r="G74" s="168" t="s">
        <v>1505</v>
      </c>
      <c r="H74" s="230" t="s">
        <v>1592</v>
      </c>
      <c r="I74" s="230" t="s">
        <v>1592</v>
      </c>
    </row>
    <row r="75" spans="1:9" s="161" customFormat="1" x14ac:dyDescent="0.3">
      <c r="A75" s="165">
        <v>6</v>
      </c>
      <c r="B75" s="170" t="s">
        <v>306</v>
      </c>
      <c r="C75" s="177">
        <v>105</v>
      </c>
      <c r="D75" s="236"/>
      <c r="E75" s="234">
        <v>9183</v>
      </c>
      <c r="F75" s="214">
        <v>2025</v>
      </c>
      <c r="G75" s="168" t="s">
        <v>1527</v>
      </c>
      <c r="H75" s="230" t="s">
        <v>1592</v>
      </c>
      <c r="I75" s="230"/>
    </row>
    <row r="76" spans="1:9" s="161" customFormat="1" x14ac:dyDescent="0.3">
      <c r="A76" s="165">
        <v>6</v>
      </c>
      <c r="B76" s="177" t="s">
        <v>370</v>
      </c>
      <c r="C76" s="177">
        <v>218</v>
      </c>
      <c r="D76" s="236"/>
      <c r="E76" s="234">
        <v>50804</v>
      </c>
      <c r="F76" s="214">
        <v>2025</v>
      </c>
      <c r="G76" s="168" t="s">
        <v>1528</v>
      </c>
      <c r="H76" s="230" t="s">
        <v>1592</v>
      </c>
      <c r="I76" s="230"/>
    </row>
    <row r="77" spans="1:9" ht="15" thickBot="1" x14ac:dyDescent="0.35">
      <c r="A77" s="237" t="s">
        <v>173</v>
      </c>
      <c r="B77" s="256" t="s">
        <v>275</v>
      </c>
      <c r="C77" s="206">
        <v>394</v>
      </c>
      <c r="D77" s="200"/>
      <c r="E77" s="207">
        <v>27831</v>
      </c>
      <c r="F77" s="255">
        <v>2025</v>
      </c>
      <c r="G77" s="251" t="s">
        <v>1529</v>
      </c>
      <c r="H77" s="200" t="s">
        <v>1592</v>
      </c>
      <c r="I77" s="200" t="s">
        <v>1592</v>
      </c>
    </row>
    <row r="78" spans="1:9" ht="51.75" customHeight="1" thickTop="1" x14ac:dyDescent="0.3">
      <c r="A78" s="248" t="s">
        <v>173</v>
      </c>
      <c r="B78" s="249" t="s">
        <v>275</v>
      </c>
      <c r="C78" s="166">
        <v>394</v>
      </c>
      <c r="D78" s="165"/>
      <c r="E78" s="184" t="s">
        <v>1541</v>
      </c>
      <c r="F78" s="254">
        <v>2020</v>
      </c>
      <c r="G78" s="168" t="s">
        <v>1530</v>
      </c>
      <c r="H78" s="231" t="s">
        <v>1592</v>
      </c>
      <c r="I78" s="231" t="s">
        <v>1592</v>
      </c>
    </row>
    <row r="79" spans="1:9" ht="27.6" x14ac:dyDescent="0.3">
      <c r="A79" s="241" t="s">
        <v>173</v>
      </c>
      <c r="B79" s="170" t="s">
        <v>306</v>
      </c>
      <c r="C79" s="170">
        <v>77</v>
      </c>
      <c r="D79" s="160"/>
      <c r="E79" s="171" t="s">
        <v>1547</v>
      </c>
      <c r="F79" s="220">
        <v>2026</v>
      </c>
      <c r="G79" s="163" t="s">
        <v>1546</v>
      </c>
      <c r="H79" s="230" t="s">
        <v>1592</v>
      </c>
      <c r="I79" s="230"/>
    </row>
    <row r="80" spans="1:9" x14ac:dyDescent="0.3">
      <c r="A80" s="160">
        <v>3</v>
      </c>
      <c r="B80" s="170" t="s">
        <v>306</v>
      </c>
      <c r="C80" s="170">
        <v>15</v>
      </c>
      <c r="D80" s="235" t="s">
        <v>1571</v>
      </c>
      <c r="E80" s="171" t="s">
        <v>1573</v>
      </c>
      <c r="F80" s="220">
        <v>2026</v>
      </c>
      <c r="G80" s="163" t="s">
        <v>1565</v>
      </c>
      <c r="H80" s="230" t="s">
        <v>1592</v>
      </c>
      <c r="I80" s="230"/>
    </row>
    <row r="81" spans="1:9" x14ac:dyDescent="0.3">
      <c r="A81" s="160">
        <v>3</v>
      </c>
      <c r="B81" s="170" t="s">
        <v>306</v>
      </c>
      <c r="C81" s="170">
        <v>15</v>
      </c>
      <c r="D81" s="235" t="s">
        <v>1572</v>
      </c>
      <c r="E81" s="171">
        <v>73027</v>
      </c>
      <c r="F81" s="220">
        <v>2026</v>
      </c>
      <c r="G81" s="163" t="s">
        <v>1566</v>
      </c>
      <c r="H81" s="230" t="s">
        <v>1592</v>
      </c>
      <c r="I81" s="230"/>
    </row>
    <row r="82" spans="1:9" x14ac:dyDescent="0.3">
      <c r="A82" s="160">
        <v>3</v>
      </c>
      <c r="B82" s="170" t="s">
        <v>306</v>
      </c>
      <c r="C82" s="170">
        <v>15</v>
      </c>
      <c r="D82" s="235" t="s">
        <v>1572</v>
      </c>
      <c r="E82" s="171">
        <v>73028</v>
      </c>
      <c r="F82" s="220">
        <v>2026</v>
      </c>
      <c r="G82" s="163" t="s">
        <v>1567</v>
      </c>
      <c r="H82" s="230" t="s">
        <v>1592</v>
      </c>
      <c r="I82" s="230"/>
    </row>
    <row r="83" spans="1:9" x14ac:dyDescent="0.3">
      <c r="A83" s="160">
        <v>3</v>
      </c>
      <c r="B83" s="169" t="s">
        <v>275</v>
      </c>
      <c r="C83" s="169">
        <v>94</v>
      </c>
      <c r="D83" s="235" t="s">
        <v>1468</v>
      </c>
      <c r="E83" s="162">
        <v>73805</v>
      </c>
      <c r="F83" s="220">
        <v>2026</v>
      </c>
      <c r="G83" s="163" t="s">
        <v>1568</v>
      </c>
      <c r="H83" s="230" t="s">
        <v>1592</v>
      </c>
      <c r="I83" s="230"/>
    </row>
    <row r="84" spans="1:9" x14ac:dyDescent="0.3">
      <c r="A84" s="160">
        <v>3</v>
      </c>
      <c r="B84" s="169" t="s">
        <v>275</v>
      </c>
      <c r="C84" s="169">
        <v>94</v>
      </c>
      <c r="D84" s="235" t="s">
        <v>1468</v>
      </c>
      <c r="E84" s="162">
        <v>73809</v>
      </c>
      <c r="F84" s="220">
        <v>2026</v>
      </c>
      <c r="G84" s="163" t="s">
        <v>1569</v>
      </c>
      <c r="H84" s="230" t="s">
        <v>1592</v>
      </c>
      <c r="I84" s="230"/>
    </row>
    <row r="85" spans="1:9" x14ac:dyDescent="0.3">
      <c r="A85" s="160">
        <v>3</v>
      </c>
      <c r="B85" s="169" t="s">
        <v>275</v>
      </c>
      <c r="C85" s="169">
        <v>94</v>
      </c>
      <c r="D85" s="235" t="s">
        <v>1468</v>
      </c>
      <c r="E85" s="162">
        <v>73811</v>
      </c>
      <c r="F85" s="220">
        <v>2026</v>
      </c>
      <c r="G85" s="163" t="s">
        <v>1570</v>
      </c>
      <c r="H85" s="230" t="s">
        <v>1592</v>
      </c>
      <c r="I85" s="230"/>
    </row>
    <row r="86" spans="1:9" ht="28.8" x14ac:dyDescent="0.3">
      <c r="A86" s="244">
        <v>1</v>
      </c>
      <c r="B86" s="169" t="s">
        <v>275</v>
      </c>
      <c r="C86" s="169">
        <v>35</v>
      </c>
      <c r="D86" s="160"/>
      <c r="E86" s="171" t="s">
        <v>1582</v>
      </c>
      <c r="F86" s="229">
        <v>2026</v>
      </c>
      <c r="G86" s="163" t="s">
        <v>1583</v>
      </c>
      <c r="H86" s="230" t="s">
        <v>1592</v>
      </c>
      <c r="I86" s="230" t="s">
        <v>1592</v>
      </c>
    </row>
    <row r="87" spans="1:9" ht="29.4" thickBot="1" x14ac:dyDescent="0.35">
      <c r="A87" s="160">
        <v>1</v>
      </c>
      <c r="B87" s="170" t="s">
        <v>275</v>
      </c>
      <c r="C87" s="170">
        <v>535</v>
      </c>
      <c r="D87" s="235" t="s">
        <v>1587</v>
      </c>
      <c r="E87" s="171">
        <v>9030</v>
      </c>
      <c r="F87" s="252">
        <v>2028</v>
      </c>
      <c r="G87" s="163" t="s">
        <v>1586</v>
      </c>
      <c r="H87" s="230" t="s">
        <v>1592</v>
      </c>
      <c r="I87" s="230" t="s">
        <v>1592</v>
      </c>
    </row>
    <row r="88" spans="1:9" s="227" customFormat="1" ht="30" thickTop="1" thickBot="1" x14ac:dyDescent="0.35">
      <c r="A88" s="242" t="s">
        <v>43</v>
      </c>
      <c r="B88" s="225" t="s">
        <v>44</v>
      </c>
      <c r="C88" s="225" t="s">
        <v>45</v>
      </c>
      <c r="D88" s="225" t="s">
        <v>47</v>
      </c>
      <c r="E88" s="226" t="s">
        <v>1448</v>
      </c>
      <c r="F88" s="225" t="s">
        <v>48</v>
      </c>
      <c r="G88" s="219" t="s">
        <v>1510</v>
      </c>
      <c r="H88" s="219"/>
      <c r="I88" s="219"/>
    </row>
    <row r="89" spans="1:9" ht="15" thickTop="1" x14ac:dyDescent="0.3">
      <c r="A89" s="198">
        <v>3</v>
      </c>
      <c r="B89" s="197" t="s">
        <v>370</v>
      </c>
      <c r="C89" s="197">
        <v>169</v>
      </c>
      <c r="D89" s="165" t="s">
        <v>1509</v>
      </c>
      <c r="E89" s="184">
        <v>5265</v>
      </c>
      <c r="F89" s="228">
        <v>2017</v>
      </c>
      <c r="G89" s="232" t="s">
        <v>1517</v>
      </c>
      <c r="H89" s="253"/>
      <c r="I89" s="253"/>
    </row>
    <row r="90" spans="1:9" x14ac:dyDescent="0.3">
      <c r="A90" s="246"/>
      <c r="B90" s="161"/>
      <c r="C90" s="245"/>
      <c r="D90" s="247"/>
      <c r="E90" s="247"/>
      <c r="F90" s="247"/>
    </row>
  </sheetData>
  <autoFilter ref="A1:K89"/>
  <sortState ref="A1:CK304">
    <sortCondition ref="F3:F170"/>
    <sortCondition ref="A3:A170"/>
  </sortState>
  <mergeCells count="2">
    <mergeCell ref="H1:H2"/>
    <mergeCell ref="I1:I2"/>
  </mergeCells>
  <dataValidations count="4">
    <dataValidation type="list" allowBlank="1" showInputMessage="1" showErrorMessage="1" sqref="A12 A3:A10 A17:A32 A62:A89 A57:A59 A51:A55 A34:A47">
      <formula1>ATP</formula1>
    </dataValidation>
    <dataValidation type="list" allowBlank="1" showInputMessage="1" showErrorMessage="1" sqref="B12 B3:B10 B17:B32 B34 B62:B89 B57:B59 B51:B55 B36:B47">
      <formula1>Route_System</formula1>
    </dataValidation>
    <dataValidation allowBlank="1" showErrorMessage="1" sqref="G34:I34 G27:I32"/>
    <dataValidation allowBlank="1" showErrorMessage="1" promptTitle="REFERENCE POINTS" prompt="Please enter reference points in the following format: xxx+xx.xxx" sqref="G62:I76"/>
  </dataValidations>
  <printOptions horizontalCentered="1" verticalCentered="1"/>
  <pageMargins left="0.25" right="0.25" top="0.75" bottom="0.75" header="0.3" footer="0.3"/>
  <pageSetup paperSize="17" scale="77" fitToWidth="2" orientation="landscape" r:id="rId1"/>
  <headerFooter>
    <oddHeader>&amp;L&amp;"-,Bold"&amp;24&amp;KFF0000&amp;D&amp;R&amp;"-,Bold"&amp;24Statewide Performance Program
Bridge</oddHeader>
    <oddFooter>&amp;R&amp;"-,Italic"&amp;Z&amp;F</oddFooter>
  </headerFooter>
  <rowBreaks count="1" manualBreakCount="1">
    <brk id="60" max="16383" man="1"/>
  </rowBreaks>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'[2]ATIP DROP DOWNS'!#REF!</xm:f>
          </x14:formula1>
          <xm:sqref>A60:B60</xm:sqref>
        </x14:dataValidation>
        <x14:dataValidation type="list" allowBlank="1" showInputMessage="1" showErrorMessage="1">
          <x14:formula1>
            <xm:f>'[3]ATIP DROP DOWNS'!#REF!</xm:f>
          </x14:formula1>
          <xm:sqref>A11:B11</xm:sqref>
        </x14:dataValidation>
        <x14:dataValidation type="list" allowBlank="1" showInputMessage="1" showErrorMessage="1">
          <x14:formula1>
            <xm:f>'[4]ATIP DROP DOWNS'!#REF!</xm:f>
          </x14:formula1>
          <xm:sqref>A50:B50 A33:B33 A61:B61 B48 A16:B16</xm:sqref>
        </x14:dataValidation>
        <x14:dataValidation type="list" allowBlank="1" showInputMessage="1" showErrorMessage="1">
          <x14:formula1>
            <xm:f>'[6]DROP DOWNS'!#REF!</xm:f>
          </x14:formula1>
          <xm:sqref>F6 F8</xm:sqref>
        </x14:dataValidation>
        <x14:dataValidation type="list" allowBlank="1" showInputMessage="1" showErrorMessage="1">
          <x14:formula1>
            <xm:f>'[5]ATIP DROP DOWNS'!#REF!</xm:f>
          </x14:formula1>
          <xm:sqref>B35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4</vt:i4>
      </vt:variant>
    </vt:vector>
  </HeadingPairs>
  <TitlesOfParts>
    <vt:vector size="16" baseType="lpstr">
      <vt:lpstr>pivot table summary</vt:lpstr>
      <vt:lpstr>DROP DOWNS</vt:lpstr>
      <vt:lpstr>drop down lists</vt:lpstr>
      <vt:lpstr>D-1</vt:lpstr>
      <vt:lpstr>D-2</vt:lpstr>
      <vt:lpstr>D-3</vt:lpstr>
      <vt:lpstr>D-4</vt:lpstr>
      <vt:lpstr>Metro</vt:lpstr>
      <vt:lpstr>D-6</vt:lpstr>
      <vt:lpstr>D-7</vt:lpstr>
      <vt:lpstr>D-8</vt:lpstr>
      <vt:lpstr>Master List</vt:lpstr>
      <vt:lpstr>'DROP DOWNS'!AllData</vt:lpstr>
      <vt:lpstr>'Master List'!Print_Area</vt:lpstr>
      <vt:lpstr>'pivot table summary'!Print_Area</vt:lpstr>
      <vt:lpstr>'DROP DOWNS'!Print_Titles</vt:lpstr>
    </vt:vector>
  </TitlesOfParts>
  <Company>MNDOT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Kathleen Mayell</dc:creator>
  <cp:lastModifiedBy>Paul Rowekamp</cp:lastModifiedBy>
  <cp:lastPrinted>2016-10-07T20:20:00Z</cp:lastPrinted>
  <dcterms:created xsi:type="dcterms:W3CDTF">2013-01-07T20:27:24Z</dcterms:created>
  <dcterms:modified xsi:type="dcterms:W3CDTF">2017-01-02T17:17:12Z</dcterms:modified>
</cp:coreProperties>
</file>